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codeName="ThisWorkbook"/>
  <workbookProtection workbookPassword="CBF3" lockStructure="1"/>
  <bookViews>
    <workbookView xWindow="240" yWindow="2115" windowWidth="13815" windowHeight="9465" tabRatio="923" firstSheet="1" activeTab="1"/>
  </bookViews>
  <sheets>
    <sheet name="Paramètres" sheetId="40" r:id="rId1"/>
    <sheet name="Recherche" sheetId="48" r:id="rId2"/>
    <sheet name="A) Base RI" sheetId="42" state="hidden" r:id="rId3"/>
    <sheet name="B) D RI" sheetId="19" r:id="rId4"/>
    <sheet name="C) Prél. conj." sheetId="32" r:id="rId5"/>
    <sheet name="D) Ecrêtage" sheetId="33" r:id="rId6"/>
    <sheet name="E) Fact soc" sheetId="9" r:id="rId7"/>
    <sheet name="F) Population" sheetId="36" r:id="rId8"/>
    <sheet name="G) Solidarité" sheetId="37" r:id="rId9"/>
    <sheet name="H) Péréquation directe" sheetId="34" r:id="rId10"/>
    <sheet name="I) Dépenses thématiques" sheetId="11" r:id="rId11"/>
    <sheet name="J) Plafonnement effort" sheetId="12" r:id="rId12"/>
    <sheet name="K) Plafonnement aide" sheetId="39" r:id="rId13"/>
    <sheet name="L) Plafonnement taux" sheetId="13" r:id="rId14"/>
    <sheet name="M) Police" sheetId="49" r:id="rId15"/>
    <sheet name="Synthèse" sheetId="25" r:id="rId16"/>
    <sheet name="Feuil1" sheetId="52" r:id="rId17"/>
  </sheets>
  <definedNames>
    <definedName name="_xlnm._FilterDatabase" localSheetId="4" hidden="1">'C) Prél. conj.'!$A$3:$H$314</definedName>
    <definedName name="_xlnm._FilterDatabase" localSheetId="6" hidden="1">'E) Fact soc'!$A$9:$G$320</definedName>
    <definedName name="_xlnm._FilterDatabase" localSheetId="9" hidden="1">'H) Péréquation directe'!$A$14:$I$325</definedName>
    <definedName name="_xlnm._FilterDatabase" localSheetId="15" hidden="1">Synthèse!$A$4:$L$317</definedName>
    <definedName name="_xlnm.Database">#REF!</definedName>
    <definedName name="_xlnm.Print_Titles" localSheetId="4">'C) Prél. conj.'!$3:$4</definedName>
    <definedName name="_xlnm.Print_Titles" localSheetId="6">'E) Fact soc'!$9:$10</definedName>
    <definedName name="_xlnm.Print_Titles" localSheetId="10">'I) Dépenses thématiques'!$3:$4</definedName>
    <definedName name="_xlnm.Print_Titles" localSheetId="11">'J) Plafonnement effort'!$3:$4</definedName>
    <definedName name="_xlnm.Print_Titles" localSheetId="13">'L) Plafonnement taux'!$4:$5</definedName>
    <definedName name="_xlnm.Print_Titles" localSheetId="14">'M) Police'!$4:$4</definedName>
    <definedName name="_xlnm.Print_Titles" localSheetId="15">Synthèse!$4:$5</definedName>
    <definedName name="ind">2</definedName>
    <definedName name="_xlnm.Print_Area" localSheetId="2">'A) Base RI'!$A:$AM</definedName>
    <definedName name="_xlnm.Print_Area" localSheetId="9">'H) Péréquation directe'!$316:$347</definedName>
    <definedName name="_xlnm.Print_Area" localSheetId="13">'L) Plafonnement taux'!$A$1:$R$316</definedName>
    <definedName name="_xlnm.Print_Area" localSheetId="14">'M) Police'!$A$1:$O$315</definedName>
    <definedName name="_xlnm.Print_Area" localSheetId="1">Recherche!$B$6:$F$56</definedName>
    <definedName name="_xlnm.Print_Area" localSheetId="15">Synthèse!$A$1:$N$315</definedName>
  </definedNames>
  <calcPr calcId="145621"/>
</workbook>
</file>

<file path=xl/calcChain.xml><?xml version="1.0" encoding="utf-8"?>
<calcChain xmlns="http://schemas.openxmlformats.org/spreadsheetml/2006/main">
  <c r="E314" i="39" l="1"/>
  <c r="E314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5" i="12"/>
  <c r="P314" i="11"/>
  <c r="P6" i="11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5" i="11"/>
  <c r="E6" i="39"/>
  <c r="E7" i="39"/>
  <c r="E8" i="39"/>
  <c r="E9" i="39"/>
  <c r="E10" i="39"/>
  <c r="E11" i="39"/>
  <c r="E12" i="39"/>
  <c r="E13" i="39"/>
  <c r="E14" i="39"/>
  <c r="E15" i="39"/>
  <c r="E16" i="39"/>
  <c r="E17" i="39"/>
  <c r="E18" i="39"/>
  <c r="E19" i="39"/>
  <c r="E20" i="39"/>
  <c r="E21" i="39"/>
  <c r="E22" i="39"/>
  <c r="E23" i="39"/>
  <c r="E24" i="39"/>
  <c r="E25" i="39"/>
  <c r="E26" i="39"/>
  <c r="E27" i="39"/>
  <c r="E28" i="39"/>
  <c r="E29" i="39"/>
  <c r="E30" i="39"/>
  <c r="E31" i="39"/>
  <c r="E32" i="39"/>
  <c r="E33" i="39"/>
  <c r="E34" i="39"/>
  <c r="E35" i="39"/>
  <c r="E36" i="39"/>
  <c r="E37" i="39"/>
  <c r="E38" i="39"/>
  <c r="E39" i="39"/>
  <c r="E40" i="39"/>
  <c r="E41" i="39"/>
  <c r="E42" i="39"/>
  <c r="E43" i="39"/>
  <c r="E44" i="39"/>
  <c r="E45" i="39"/>
  <c r="E46" i="39"/>
  <c r="E47" i="39"/>
  <c r="E48" i="39"/>
  <c r="E49" i="39"/>
  <c r="E50" i="39"/>
  <c r="E51" i="39"/>
  <c r="E52" i="39"/>
  <c r="E53" i="39"/>
  <c r="E54" i="39"/>
  <c r="E55" i="39"/>
  <c r="E56" i="39"/>
  <c r="E57" i="39"/>
  <c r="E58" i="39"/>
  <c r="E59" i="39"/>
  <c r="E60" i="39"/>
  <c r="E61" i="39"/>
  <c r="E62" i="39"/>
  <c r="E63" i="39"/>
  <c r="E64" i="39"/>
  <c r="E65" i="39"/>
  <c r="E66" i="39"/>
  <c r="E67" i="39"/>
  <c r="E68" i="39"/>
  <c r="E69" i="39"/>
  <c r="E70" i="39"/>
  <c r="E71" i="39"/>
  <c r="E72" i="39"/>
  <c r="E73" i="39"/>
  <c r="E74" i="39"/>
  <c r="E75" i="39"/>
  <c r="E76" i="39"/>
  <c r="E77" i="39"/>
  <c r="E78" i="39"/>
  <c r="E79" i="39"/>
  <c r="E80" i="39"/>
  <c r="E81" i="39"/>
  <c r="E82" i="39"/>
  <c r="E83" i="39"/>
  <c r="E84" i="39"/>
  <c r="E85" i="39"/>
  <c r="E86" i="39"/>
  <c r="E87" i="39"/>
  <c r="E88" i="39"/>
  <c r="E89" i="39"/>
  <c r="E90" i="39"/>
  <c r="E91" i="39"/>
  <c r="E92" i="39"/>
  <c r="E93" i="39"/>
  <c r="E94" i="39"/>
  <c r="E95" i="39"/>
  <c r="E96" i="39"/>
  <c r="E97" i="39"/>
  <c r="E98" i="39"/>
  <c r="E99" i="39"/>
  <c r="E100" i="39"/>
  <c r="E101" i="39"/>
  <c r="E102" i="39"/>
  <c r="E103" i="39"/>
  <c r="E104" i="39"/>
  <c r="E105" i="39"/>
  <c r="E106" i="39"/>
  <c r="E107" i="39"/>
  <c r="E108" i="39"/>
  <c r="E109" i="39"/>
  <c r="E110" i="39"/>
  <c r="E111" i="39"/>
  <c r="E112" i="39"/>
  <c r="E113" i="39"/>
  <c r="E114" i="39"/>
  <c r="E115" i="39"/>
  <c r="E116" i="39"/>
  <c r="E117" i="39"/>
  <c r="E118" i="39"/>
  <c r="E119" i="39"/>
  <c r="E120" i="39"/>
  <c r="E121" i="39"/>
  <c r="E122" i="39"/>
  <c r="E123" i="39"/>
  <c r="E124" i="39"/>
  <c r="E125" i="39"/>
  <c r="E126" i="39"/>
  <c r="E127" i="39"/>
  <c r="E128" i="39"/>
  <c r="E129" i="39"/>
  <c r="E130" i="39"/>
  <c r="E131" i="39"/>
  <c r="E132" i="39"/>
  <c r="E133" i="39"/>
  <c r="E134" i="39"/>
  <c r="E135" i="39"/>
  <c r="E136" i="39"/>
  <c r="E137" i="39"/>
  <c r="E138" i="39"/>
  <c r="E139" i="39"/>
  <c r="E140" i="39"/>
  <c r="E141" i="39"/>
  <c r="E142" i="39"/>
  <c r="E143" i="39"/>
  <c r="E144" i="39"/>
  <c r="E145" i="39"/>
  <c r="E146" i="39"/>
  <c r="E147" i="39"/>
  <c r="E148" i="39"/>
  <c r="E149" i="39"/>
  <c r="E150" i="39"/>
  <c r="E151" i="39"/>
  <c r="E152" i="39"/>
  <c r="E153" i="39"/>
  <c r="E154" i="39"/>
  <c r="E155" i="39"/>
  <c r="E156" i="39"/>
  <c r="E157" i="39"/>
  <c r="E158" i="39"/>
  <c r="E159" i="39"/>
  <c r="E160" i="39"/>
  <c r="E161" i="39"/>
  <c r="E162" i="39"/>
  <c r="E163" i="39"/>
  <c r="E164" i="39"/>
  <c r="E165" i="39"/>
  <c r="E166" i="39"/>
  <c r="E167" i="39"/>
  <c r="E168" i="39"/>
  <c r="E169" i="39"/>
  <c r="E170" i="39"/>
  <c r="E171" i="39"/>
  <c r="E172" i="39"/>
  <c r="E173" i="39"/>
  <c r="E174" i="39"/>
  <c r="E175" i="39"/>
  <c r="E176" i="39"/>
  <c r="E177" i="39"/>
  <c r="E178" i="39"/>
  <c r="E179" i="39"/>
  <c r="E180" i="39"/>
  <c r="E181" i="39"/>
  <c r="E182" i="39"/>
  <c r="E183" i="39"/>
  <c r="E184" i="39"/>
  <c r="E185" i="39"/>
  <c r="E186" i="39"/>
  <c r="E187" i="39"/>
  <c r="E188" i="39"/>
  <c r="E189" i="39"/>
  <c r="E190" i="39"/>
  <c r="E191" i="39"/>
  <c r="E192" i="39"/>
  <c r="E193" i="39"/>
  <c r="E194" i="39"/>
  <c r="E195" i="39"/>
  <c r="E196" i="39"/>
  <c r="E197" i="39"/>
  <c r="E198" i="39"/>
  <c r="E199" i="39"/>
  <c r="E200" i="39"/>
  <c r="E201" i="39"/>
  <c r="E202" i="39"/>
  <c r="E203" i="39"/>
  <c r="E204" i="39"/>
  <c r="E205" i="39"/>
  <c r="E206" i="39"/>
  <c r="E207" i="39"/>
  <c r="E208" i="39"/>
  <c r="E209" i="39"/>
  <c r="E210" i="39"/>
  <c r="E211" i="39"/>
  <c r="E212" i="39"/>
  <c r="E213" i="39"/>
  <c r="E214" i="39"/>
  <c r="E215" i="39"/>
  <c r="E216" i="39"/>
  <c r="E217" i="39"/>
  <c r="E218" i="39"/>
  <c r="E219" i="39"/>
  <c r="E220" i="39"/>
  <c r="E221" i="39"/>
  <c r="E222" i="39"/>
  <c r="E223" i="39"/>
  <c r="E224" i="39"/>
  <c r="E225" i="39"/>
  <c r="E226" i="39"/>
  <c r="E227" i="39"/>
  <c r="E228" i="39"/>
  <c r="E229" i="39"/>
  <c r="E230" i="39"/>
  <c r="E231" i="39"/>
  <c r="E232" i="39"/>
  <c r="E233" i="39"/>
  <c r="E234" i="39"/>
  <c r="E235" i="39"/>
  <c r="E236" i="39"/>
  <c r="E237" i="39"/>
  <c r="E238" i="39"/>
  <c r="E239" i="39"/>
  <c r="E240" i="39"/>
  <c r="E241" i="39"/>
  <c r="E242" i="39"/>
  <c r="E243" i="39"/>
  <c r="E244" i="39"/>
  <c r="E245" i="39"/>
  <c r="E246" i="39"/>
  <c r="E247" i="39"/>
  <c r="E248" i="39"/>
  <c r="E249" i="39"/>
  <c r="E250" i="39"/>
  <c r="E251" i="39"/>
  <c r="E252" i="39"/>
  <c r="E253" i="39"/>
  <c r="E254" i="39"/>
  <c r="E255" i="39"/>
  <c r="E256" i="39"/>
  <c r="E257" i="39"/>
  <c r="E258" i="39"/>
  <c r="E259" i="39"/>
  <c r="E260" i="39"/>
  <c r="E261" i="39"/>
  <c r="E262" i="39"/>
  <c r="E263" i="39"/>
  <c r="E264" i="39"/>
  <c r="E265" i="39"/>
  <c r="E266" i="39"/>
  <c r="E267" i="39"/>
  <c r="E268" i="39"/>
  <c r="E269" i="39"/>
  <c r="E270" i="39"/>
  <c r="E271" i="39"/>
  <c r="E272" i="39"/>
  <c r="E273" i="39"/>
  <c r="E274" i="39"/>
  <c r="E275" i="39"/>
  <c r="E276" i="39"/>
  <c r="E277" i="39"/>
  <c r="E278" i="39"/>
  <c r="E279" i="39"/>
  <c r="E280" i="39"/>
  <c r="E281" i="39"/>
  <c r="E282" i="39"/>
  <c r="E283" i="39"/>
  <c r="E284" i="39"/>
  <c r="E285" i="39"/>
  <c r="E286" i="39"/>
  <c r="E287" i="39"/>
  <c r="E288" i="39"/>
  <c r="E289" i="39"/>
  <c r="E290" i="39"/>
  <c r="E291" i="39"/>
  <c r="E292" i="39"/>
  <c r="E293" i="39"/>
  <c r="E294" i="39"/>
  <c r="E295" i="39"/>
  <c r="E296" i="39"/>
  <c r="E297" i="39"/>
  <c r="E298" i="39"/>
  <c r="E299" i="39"/>
  <c r="E300" i="39"/>
  <c r="E301" i="39"/>
  <c r="E302" i="39"/>
  <c r="E303" i="39"/>
  <c r="E304" i="39"/>
  <c r="E305" i="39"/>
  <c r="E306" i="39"/>
  <c r="E307" i="39"/>
  <c r="E308" i="39"/>
  <c r="E309" i="39"/>
  <c r="E310" i="39"/>
  <c r="E311" i="39"/>
  <c r="E312" i="39"/>
  <c r="E313" i="39"/>
  <c r="E5" i="39"/>
  <c r="C177" i="42" l="1"/>
  <c r="C312" i="42"/>
  <c r="C207" i="42"/>
  <c r="G270" i="42"/>
  <c r="G67" i="42"/>
  <c r="G109" i="42"/>
  <c r="I15" i="42"/>
  <c r="G58" i="42"/>
  <c r="C280" i="42"/>
  <c r="G201" i="42"/>
  <c r="G82" i="42"/>
  <c r="H188" i="42"/>
  <c r="G188" i="42"/>
  <c r="C222" i="42"/>
  <c r="C188" i="42"/>
  <c r="C98" i="42"/>
  <c r="C24" i="42"/>
  <c r="I188" i="42" l="1"/>
  <c r="D188" i="42"/>
  <c r="O183" i="42" l="1"/>
  <c r="R200" i="42" l="1"/>
  <c r="O15" i="42" l="1"/>
  <c r="M4" i="33" l="1"/>
  <c r="D63" i="11"/>
  <c r="R61" i="42"/>
  <c r="P61" i="42"/>
  <c r="O151" i="42"/>
  <c r="R132" i="42"/>
  <c r="P132" i="42"/>
  <c r="O24" i="42"/>
  <c r="K303" i="49" l="1"/>
  <c r="K244" i="13" l="1"/>
  <c r="K170" i="13"/>
  <c r="K219" i="13"/>
  <c r="G218" i="11" l="1"/>
  <c r="G243" i="11"/>
  <c r="G169" i="11"/>
  <c r="G6" i="11" l="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9" i="11"/>
  <c r="G220" i="11"/>
  <c r="G221" i="11"/>
  <c r="G222" i="11"/>
  <c r="G223" i="11"/>
  <c r="G224" i="11"/>
  <c r="G225" i="11"/>
  <c r="G226" i="11"/>
  <c r="G227" i="11"/>
  <c r="G228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D17" i="34"/>
  <c r="D18" i="34"/>
  <c r="D19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3" i="34"/>
  <c r="D154" i="34"/>
  <c r="D155" i="34"/>
  <c r="D156" i="34"/>
  <c r="D157" i="34"/>
  <c r="D158" i="34"/>
  <c r="D159" i="34"/>
  <c r="D160" i="34"/>
  <c r="D161" i="34"/>
  <c r="D162" i="34"/>
  <c r="D163" i="34"/>
  <c r="D164" i="34"/>
  <c r="D165" i="34"/>
  <c r="D166" i="34"/>
  <c r="D167" i="34"/>
  <c r="D168" i="34"/>
  <c r="D169" i="34"/>
  <c r="D170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0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5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29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C6" i="37"/>
  <c r="G6" i="37"/>
  <c r="C7" i="37"/>
  <c r="G7" i="37"/>
  <c r="C8" i="37"/>
  <c r="G8" i="37"/>
  <c r="C9" i="37"/>
  <c r="G9" i="37"/>
  <c r="C10" i="37"/>
  <c r="G10" i="37"/>
  <c r="C11" i="37"/>
  <c r="G11" i="37"/>
  <c r="C12" i="37"/>
  <c r="G12" i="37"/>
  <c r="C13" i="37"/>
  <c r="G13" i="37"/>
  <c r="C14" i="37"/>
  <c r="G14" i="37"/>
  <c r="C15" i="37"/>
  <c r="G15" i="37"/>
  <c r="C16" i="37"/>
  <c r="G16" i="37"/>
  <c r="C17" i="37"/>
  <c r="G17" i="37"/>
  <c r="C18" i="37"/>
  <c r="G18" i="37"/>
  <c r="C19" i="37"/>
  <c r="G19" i="37"/>
  <c r="C20" i="37"/>
  <c r="G20" i="37"/>
  <c r="C21" i="37"/>
  <c r="G21" i="37"/>
  <c r="C22" i="37"/>
  <c r="G22" i="37"/>
  <c r="C23" i="37"/>
  <c r="G23" i="37"/>
  <c r="C24" i="37"/>
  <c r="G24" i="37"/>
  <c r="C25" i="37"/>
  <c r="G25" i="37"/>
  <c r="C26" i="37"/>
  <c r="G26" i="37"/>
  <c r="C27" i="37"/>
  <c r="G27" i="37"/>
  <c r="C28" i="37"/>
  <c r="G28" i="37"/>
  <c r="C29" i="37"/>
  <c r="G29" i="37"/>
  <c r="C30" i="37"/>
  <c r="G30" i="37"/>
  <c r="C31" i="37"/>
  <c r="G31" i="37"/>
  <c r="C32" i="37"/>
  <c r="G32" i="37"/>
  <c r="C33" i="37"/>
  <c r="G33" i="37"/>
  <c r="C34" i="37"/>
  <c r="G34" i="37"/>
  <c r="C35" i="37"/>
  <c r="G35" i="37"/>
  <c r="C36" i="37"/>
  <c r="G36" i="37"/>
  <c r="C37" i="37"/>
  <c r="G37" i="37"/>
  <c r="C38" i="37"/>
  <c r="G38" i="37"/>
  <c r="C39" i="37"/>
  <c r="G39" i="37"/>
  <c r="C40" i="37"/>
  <c r="G40" i="37"/>
  <c r="C41" i="37"/>
  <c r="G41" i="37"/>
  <c r="C42" i="37"/>
  <c r="G42" i="37"/>
  <c r="C43" i="37"/>
  <c r="G43" i="37"/>
  <c r="C44" i="37"/>
  <c r="G44" i="37"/>
  <c r="C45" i="37"/>
  <c r="G45" i="37"/>
  <c r="C46" i="37"/>
  <c r="G46" i="37"/>
  <c r="C47" i="37"/>
  <c r="G47" i="37"/>
  <c r="C48" i="37"/>
  <c r="G48" i="37"/>
  <c r="C49" i="37"/>
  <c r="G49" i="37"/>
  <c r="C50" i="37"/>
  <c r="G50" i="37"/>
  <c r="C51" i="37"/>
  <c r="G51" i="37"/>
  <c r="C52" i="37"/>
  <c r="G52" i="37"/>
  <c r="C53" i="37"/>
  <c r="G53" i="37"/>
  <c r="C54" i="37"/>
  <c r="G54" i="37"/>
  <c r="C55" i="37"/>
  <c r="G55" i="37"/>
  <c r="C56" i="37"/>
  <c r="G56" i="37"/>
  <c r="C57" i="37"/>
  <c r="G57" i="37"/>
  <c r="C58" i="37"/>
  <c r="G58" i="37"/>
  <c r="C59" i="37"/>
  <c r="G59" i="37"/>
  <c r="C60" i="37"/>
  <c r="G60" i="37"/>
  <c r="C61" i="37"/>
  <c r="G61" i="37"/>
  <c r="C62" i="37"/>
  <c r="G62" i="37"/>
  <c r="C63" i="37"/>
  <c r="G63" i="37"/>
  <c r="C64" i="37"/>
  <c r="G64" i="37"/>
  <c r="C65" i="37"/>
  <c r="G65" i="37"/>
  <c r="C66" i="37"/>
  <c r="G66" i="37"/>
  <c r="C67" i="37"/>
  <c r="G67" i="37"/>
  <c r="C68" i="37"/>
  <c r="G68" i="37"/>
  <c r="C69" i="37"/>
  <c r="G69" i="37"/>
  <c r="C70" i="37"/>
  <c r="G70" i="37"/>
  <c r="C71" i="37"/>
  <c r="G71" i="37"/>
  <c r="C72" i="37"/>
  <c r="G72" i="37"/>
  <c r="C73" i="37"/>
  <c r="G73" i="37"/>
  <c r="C74" i="37"/>
  <c r="G74" i="37"/>
  <c r="C75" i="37"/>
  <c r="G75" i="37"/>
  <c r="C76" i="37"/>
  <c r="G76" i="37"/>
  <c r="C77" i="37"/>
  <c r="G77" i="37"/>
  <c r="C78" i="37"/>
  <c r="G78" i="37"/>
  <c r="C79" i="37"/>
  <c r="G79" i="37"/>
  <c r="C80" i="37"/>
  <c r="G80" i="37"/>
  <c r="C81" i="37"/>
  <c r="G81" i="37"/>
  <c r="C82" i="37"/>
  <c r="G82" i="37"/>
  <c r="C83" i="37"/>
  <c r="G83" i="37"/>
  <c r="C84" i="37"/>
  <c r="G84" i="37"/>
  <c r="C85" i="37"/>
  <c r="G85" i="37"/>
  <c r="C86" i="37"/>
  <c r="G86" i="37"/>
  <c r="C87" i="37"/>
  <c r="G87" i="37"/>
  <c r="C88" i="37"/>
  <c r="G88" i="37"/>
  <c r="C89" i="37"/>
  <c r="G89" i="37"/>
  <c r="C90" i="37"/>
  <c r="G90" i="37"/>
  <c r="C91" i="37"/>
  <c r="G91" i="37"/>
  <c r="C92" i="37"/>
  <c r="G92" i="37"/>
  <c r="C93" i="37"/>
  <c r="G93" i="37"/>
  <c r="C94" i="37"/>
  <c r="G94" i="37"/>
  <c r="C95" i="37"/>
  <c r="G95" i="37"/>
  <c r="C96" i="37"/>
  <c r="G96" i="37"/>
  <c r="C97" i="37"/>
  <c r="G97" i="37"/>
  <c r="C98" i="37"/>
  <c r="G98" i="37"/>
  <c r="C99" i="37"/>
  <c r="G99" i="37"/>
  <c r="C100" i="37"/>
  <c r="G100" i="37"/>
  <c r="C101" i="37"/>
  <c r="G101" i="37"/>
  <c r="C102" i="37"/>
  <c r="G102" i="37"/>
  <c r="C103" i="37"/>
  <c r="G103" i="37"/>
  <c r="C104" i="37"/>
  <c r="G104" i="37"/>
  <c r="C105" i="37"/>
  <c r="G105" i="37"/>
  <c r="C106" i="37"/>
  <c r="G106" i="37"/>
  <c r="C107" i="37"/>
  <c r="G107" i="37"/>
  <c r="C108" i="37"/>
  <c r="G108" i="37"/>
  <c r="C109" i="37"/>
  <c r="G109" i="37"/>
  <c r="C110" i="37"/>
  <c r="G110" i="37"/>
  <c r="C111" i="37"/>
  <c r="G111" i="37"/>
  <c r="C112" i="37"/>
  <c r="G112" i="37"/>
  <c r="C113" i="37"/>
  <c r="G113" i="37"/>
  <c r="C114" i="37"/>
  <c r="G114" i="37"/>
  <c r="C115" i="37"/>
  <c r="G115" i="37"/>
  <c r="C116" i="37"/>
  <c r="G116" i="37"/>
  <c r="C117" i="37"/>
  <c r="G117" i="37"/>
  <c r="C118" i="37"/>
  <c r="G118" i="37"/>
  <c r="C119" i="37"/>
  <c r="G119" i="37"/>
  <c r="C120" i="37"/>
  <c r="G120" i="37"/>
  <c r="C121" i="37"/>
  <c r="G121" i="37"/>
  <c r="C122" i="37"/>
  <c r="G122" i="37"/>
  <c r="C123" i="37"/>
  <c r="G123" i="37"/>
  <c r="C124" i="37"/>
  <c r="G124" i="37"/>
  <c r="C125" i="37"/>
  <c r="G125" i="37"/>
  <c r="C126" i="37"/>
  <c r="G126" i="37"/>
  <c r="C127" i="37"/>
  <c r="G127" i="37"/>
  <c r="C128" i="37"/>
  <c r="G128" i="37"/>
  <c r="C129" i="37"/>
  <c r="G129" i="37"/>
  <c r="C130" i="37"/>
  <c r="G130" i="37"/>
  <c r="C131" i="37"/>
  <c r="G131" i="37"/>
  <c r="C132" i="37"/>
  <c r="G132" i="37"/>
  <c r="C133" i="37"/>
  <c r="G133" i="37"/>
  <c r="C134" i="37"/>
  <c r="G134" i="37"/>
  <c r="C135" i="37"/>
  <c r="G135" i="37"/>
  <c r="C136" i="37"/>
  <c r="G136" i="37"/>
  <c r="C137" i="37"/>
  <c r="G137" i="37"/>
  <c r="C138" i="37"/>
  <c r="G138" i="37"/>
  <c r="C139" i="37"/>
  <c r="G139" i="37"/>
  <c r="C140" i="37"/>
  <c r="G140" i="37"/>
  <c r="C141" i="37"/>
  <c r="G141" i="37"/>
  <c r="C142" i="37"/>
  <c r="G142" i="37"/>
  <c r="C143" i="37"/>
  <c r="G143" i="37"/>
  <c r="C144" i="37"/>
  <c r="G144" i="37"/>
  <c r="C145" i="37"/>
  <c r="G145" i="37"/>
  <c r="C146" i="37"/>
  <c r="G146" i="37"/>
  <c r="C147" i="37"/>
  <c r="G147" i="37"/>
  <c r="C148" i="37"/>
  <c r="G148" i="37"/>
  <c r="C149" i="37"/>
  <c r="G149" i="37"/>
  <c r="C150" i="37"/>
  <c r="G150" i="37"/>
  <c r="C151" i="37"/>
  <c r="G151" i="37"/>
  <c r="C152" i="37"/>
  <c r="G152" i="37"/>
  <c r="C153" i="37"/>
  <c r="G153" i="37"/>
  <c r="C154" i="37"/>
  <c r="G154" i="37"/>
  <c r="C155" i="37"/>
  <c r="G155" i="37"/>
  <c r="C156" i="37"/>
  <c r="G156" i="37"/>
  <c r="C157" i="37"/>
  <c r="G157" i="37"/>
  <c r="C158" i="37"/>
  <c r="G158" i="37"/>
  <c r="C159" i="37"/>
  <c r="G159" i="37"/>
  <c r="C160" i="37"/>
  <c r="G160" i="37"/>
  <c r="C161" i="37"/>
  <c r="G161" i="37"/>
  <c r="C162" i="37"/>
  <c r="G162" i="37"/>
  <c r="C163" i="37"/>
  <c r="G163" i="37"/>
  <c r="C164" i="37"/>
  <c r="G164" i="37"/>
  <c r="C165" i="37"/>
  <c r="G165" i="37"/>
  <c r="C166" i="37"/>
  <c r="G166" i="37"/>
  <c r="C167" i="37"/>
  <c r="G167" i="37"/>
  <c r="C168" i="37"/>
  <c r="G168" i="37"/>
  <c r="C169" i="37"/>
  <c r="G169" i="37"/>
  <c r="C170" i="37"/>
  <c r="G170" i="37"/>
  <c r="C171" i="37"/>
  <c r="G171" i="37"/>
  <c r="C172" i="37"/>
  <c r="G172" i="37"/>
  <c r="C173" i="37"/>
  <c r="G173" i="37"/>
  <c r="C174" i="37"/>
  <c r="G174" i="37"/>
  <c r="C175" i="37"/>
  <c r="G175" i="37"/>
  <c r="C176" i="37"/>
  <c r="G176" i="37"/>
  <c r="C177" i="37"/>
  <c r="G177" i="37"/>
  <c r="C178" i="37"/>
  <c r="G178" i="37"/>
  <c r="C179" i="37"/>
  <c r="G179" i="37"/>
  <c r="C180" i="37"/>
  <c r="G180" i="37"/>
  <c r="C181" i="37"/>
  <c r="G181" i="37"/>
  <c r="C182" i="37"/>
  <c r="G182" i="37"/>
  <c r="C183" i="37"/>
  <c r="G183" i="37"/>
  <c r="C184" i="37"/>
  <c r="G184" i="37"/>
  <c r="C185" i="37"/>
  <c r="G185" i="37"/>
  <c r="C186" i="37"/>
  <c r="G186" i="37"/>
  <c r="C187" i="37"/>
  <c r="G187" i="37"/>
  <c r="C188" i="37"/>
  <c r="G188" i="37"/>
  <c r="C189" i="37"/>
  <c r="G189" i="37"/>
  <c r="C190" i="37"/>
  <c r="G190" i="37"/>
  <c r="C191" i="37"/>
  <c r="G191" i="37"/>
  <c r="C192" i="37"/>
  <c r="G192" i="37"/>
  <c r="C193" i="37"/>
  <c r="G193" i="37"/>
  <c r="C194" i="37"/>
  <c r="G194" i="37"/>
  <c r="C195" i="37"/>
  <c r="G195" i="37"/>
  <c r="C196" i="37"/>
  <c r="G196" i="37"/>
  <c r="C197" i="37"/>
  <c r="G197" i="37"/>
  <c r="C198" i="37"/>
  <c r="G198" i="37"/>
  <c r="C199" i="37"/>
  <c r="G199" i="37"/>
  <c r="C200" i="37"/>
  <c r="G200" i="37"/>
  <c r="C201" i="37"/>
  <c r="G201" i="37"/>
  <c r="C202" i="37"/>
  <c r="G202" i="37"/>
  <c r="C203" i="37"/>
  <c r="G203" i="37"/>
  <c r="C204" i="37"/>
  <c r="G204" i="37"/>
  <c r="C205" i="37"/>
  <c r="G205" i="37"/>
  <c r="C206" i="37"/>
  <c r="G206" i="37"/>
  <c r="C207" i="37"/>
  <c r="G207" i="37"/>
  <c r="C208" i="37"/>
  <c r="G208" i="37"/>
  <c r="C209" i="37"/>
  <c r="G209" i="37"/>
  <c r="C210" i="37"/>
  <c r="G210" i="37"/>
  <c r="C211" i="37"/>
  <c r="G211" i="37"/>
  <c r="C212" i="37"/>
  <c r="G212" i="37"/>
  <c r="C213" i="37"/>
  <c r="G213" i="37"/>
  <c r="C214" i="37"/>
  <c r="G214" i="37"/>
  <c r="C215" i="37"/>
  <c r="G215" i="37"/>
  <c r="C216" i="37"/>
  <c r="G216" i="37"/>
  <c r="C217" i="37"/>
  <c r="G217" i="37"/>
  <c r="C218" i="37"/>
  <c r="G218" i="37"/>
  <c r="C219" i="37"/>
  <c r="G219" i="37"/>
  <c r="C220" i="37"/>
  <c r="G220" i="37"/>
  <c r="C221" i="37"/>
  <c r="G221" i="37"/>
  <c r="C222" i="37"/>
  <c r="G222" i="37"/>
  <c r="C223" i="37"/>
  <c r="G223" i="37"/>
  <c r="C224" i="37"/>
  <c r="G224" i="37"/>
  <c r="C225" i="37"/>
  <c r="G225" i="37"/>
  <c r="C226" i="37"/>
  <c r="G226" i="37"/>
  <c r="C227" i="37"/>
  <c r="G227" i="37"/>
  <c r="C228" i="37"/>
  <c r="G228" i="37"/>
  <c r="C229" i="37"/>
  <c r="G229" i="37"/>
  <c r="C230" i="37"/>
  <c r="G230" i="37"/>
  <c r="C231" i="37"/>
  <c r="G231" i="37"/>
  <c r="C232" i="37"/>
  <c r="G232" i="37"/>
  <c r="C233" i="37"/>
  <c r="G233" i="37"/>
  <c r="C234" i="37"/>
  <c r="G234" i="37"/>
  <c r="C235" i="37"/>
  <c r="G235" i="37"/>
  <c r="C236" i="37"/>
  <c r="G236" i="37"/>
  <c r="C237" i="37"/>
  <c r="G237" i="37"/>
  <c r="C238" i="37"/>
  <c r="G238" i="37"/>
  <c r="C239" i="37"/>
  <c r="G239" i="37"/>
  <c r="C240" i="37"/>
  <c r="G240" i="37"/>
  <c r="C241" i="37"/>
  <c r="G241" i="37"/>
  <c r="C242" i="37"/>
  <c r="G242" i="37"/>
  <c r="C243" i="37"/>
  <c r="G243" i="37"/>
  <c r="C244" i="37"/>
  <c r="G244" i="37"/>
  <c r="C245" i="37"/>
  <c r="G245" i="37"/>
  <c r="C246" i="37"/>
  <c r="G246" i="37"/>
  <c r="C247" i="37"/>
  <c r="G247" i="37"/>
  <c r="C248" i="37"/>
  <c r="G248" i="37"/>
  <c r="C249" i="37"/>
  <c r="G249" i="37"/>
  <c r="C250" i="37"/>
  <c r="G250" i="37"/>
  <c r="C251" i="37"/>
  <c r="G251" i="37"/>
  <c r="C252" i="37"/>
  <c r="G252" i="37"/>
  <c r="C253" i="37"/>
  <c r="G253" i="37"/>
  <c r="C254" i="37"/>
  <c r="G254" i="37"/>
  <c r="C255" i="37"/>
  <c r="G255" i="37"/>
  <c r="C256" i="37"/>
  <c r="G256" i="37"/>
  <c r="C257" i="37"/>
  <c r="G257" i="37"/>
  <c r="C258" i="37"/>
  <c r="G258" i="37"/>
  <c r="C259" i="37"/>
  <c r="G259" i="37"/>
  <c r="C260" i="37"/>
  <c r="G260" i="37"/>
  <c r="C261" i="37"/>
  <c r="G261" i="37"/>
  <c r="C262" i="37"/>
  <c r="G262" i="37"/>
  <c r="C263" i="37"/>
  <c r="G263" i="37"/>
  <c r="C264" i="37"/>
  <c r="G264" i="37"/>
  <c r="C265" i="37"/>
  <c r="G265" i="37"/>
  <c r="C266" i="37"/>
  <c r="G266" i="37"/>
  <c r="C267" i="37"/>
  <c r="G267" i="37"/>
  <c r="C268" i="37"/>
  <c r="G268" i="37"/>
  <c r="C269" i="37"/>
  <c r="G269" i="37"/>
  <c r="C270" i="37"/>
  <c r="G270" i="37"/>
  <c r="C271" i="37"/>
  <c r="G271" i="37"/>
  <c r="C272" i="37"/>
  <c r="G272" i="37"/>
  <c r="C273" i="37"/>
  <c r="G273" i="37"/>
  <c r="C274" i="37"/>
  <c r="G274" i="37"/>
  <c r="C275" i="37"/>
  <c r="G275" i="37"/>
  <c r="C276" i="37"/>
  <c r="G276" i="37"/>
  <c r="C277" i="37"/>
  <c r="G277" i="37"/>
  <c r="C278" i="37"/>
  <c r="G278" i="37"/>
  <c r="C279" i="37"/>
  <c r="G279" i="37"/>
  <c r="C280" i="37"/>
  <c r="G280" i="37"/>
  <c r="C281" i="37"/>
  <c r="G281" i="37"/>
  <c r="C282" i="37"/>
  <c r="G282" i="37"/>
  <c r="C283" i="37"/>
  <c r="G283" i="37"/>
  <c r="C284" i="37"/>
  <c r="G284" i="37"/>
  <c r="C285" i="37"/>
  <c r="G285" i="37"/>
  <c r="C286" i="37"/>
  <c r="G286" i="37"/>
  <c r="C287" i="37"/>
  <c r="G287" i="37"/>
  <c r="C288" i="37"/>
  <c r="G288" i="37"/>
  <c r="C289" i="37"/>
  <c r="G289" i="37"/>
  <c r="C290" i="37"/>
  <c r="G290" i="37"/>
  <c r="C291" i="37"/>
  <c r="G291" i="37"/>
  <c r="C292" i="37"/>
  <c r="G292" i="37"/>
  <c r="C293" i="37"/>
  <c r="G293" i="37"/>
  <c r="C294" i="37"/>
  <c r="G294" i="37"/>
  <c r="C295" i="37"/>
  <c r="G295" i="37"/>
  <c r="C296" i="37"/>
  <c r="G296" i="37"/>
  <c r="C297" i="37"/>
  <c r="G297" i="37"/>
  <c r="C298" i="37"/>
  <c r="G298" i="37"/>
  <c r="C299" i="37"/>
  <c r="G299" i="37"/>
  <c r="C300" i="37"/>
  <c r="G300" i="37"/>
  <c r="C301" i="37"/>
  <c r="G301" i="37"/>
  <c r="C302" i="37"/>
  <c r="G302" i="37"/>
  <c r="C303" i="37"/>
  <c r="G303" i="37"/>
  <c r="C304" i="37"/>
  <c r="G304" i="37"/>
  <c r="C305" i="37"/>
  <c r="G305" i="37"/>
  <c r="C306" i="37"/>
  <c r="G306" i="37"/>
  <c r="C307" i="37"/>
  <c r="G307" i="37"/>
  <c r="C308" i="37"/>
  <c r="G308" i="37"/>
  <c r="C309" i="37"/>
  <c r="G309" i="37"/>
  <c r="C310" i="37"/>
  <c r="G310" i="37"/>
  <c r="C311" i="37"/>
  <c r="G311" i="37"/>
  <c r="C312" i="37"/>
  <c r="G312" i="37"/>
  <c r="C313" i="37"/>
  <c r="G313" i="37"/>
  <c r="C9" i="36"/>
  <c r="C10" i="36"/>
  <c r="C11" i="36"/>
  <c r="C12" i="36"/>
  <c r="C13" i="36"/>
  <c r="C14" i="36"/>
  <c r="C15" i="36"/>
  <c r="C16" i="36"/>
  <c r="C17" i="36"/>
  <c r="C18" i="36"/>
  <c r="C19" i="36"/>
  <c r="C20" i="36"/>
  <c r="C21" i="36"/>
  <c r="C22" i="36"/>
  <c r="C23" i="36"/>
  <c r="C24" i="36"/>
  <c r="C25" i="36"/>
  <c r="C26" i="36"/>
  <c r="C27" i="36"/>
  <c r="C28" i="36"/>
  <c r="C29" i="36"/>
  <c r="C30" i="36"/>
  <c r="C31" i="36"/>
  <c r="C32" i="36"/>
  <c r="C33" i="36"/>
  <c r="C34" i="36"/>
  <c r="C35" i="36"/>
  <c r="C36" i="36"/>
  <c r="C37" i="36"/>
  <c r="C38" i="36"/>
  <c r="C39" i="36"/>
  <c r="C40" i="36"/>
  <c r="C41" i="36"/>
  <c r="C42" i="36"/>
  <c r="C43" i="36"/>
  <c r="C44" i="36"/>
  <c r="C45" i="36"/>
  <c r="C46" i="36"/>
  <c r="C47" i="36"/>
  <c r="C48" i="36"/>
  <c r="C49" i="36"/>
  <c r="C50" i="36"/>
  <c r="C51" i="36"/>
  <c r="C52" i="36"/>
  <c r="C53" i="36"/>
  <c r="C54" i="36"/>
  <c r="C55" i="36"/>
  <c r="C56" i="36"/>
  <c r="C57" i="36"/>
  <c r="C58" i="36"/>
  <c r="C59" i="36"/>
  <c r="C60" i="36"/>
  <c r="C61" i="36"/>
  <c r="C62" i="36"/>
  <c r="C63" i="36"/>
  <c r="C64" i="36"/>
  <c r="C65" i="36"/>
  <c r="C66" i="36"/>
  <c r="C67" i="36"/>
  <c r="C68" i="36"/>
  <c r="C69" i="36"/>
  <c r="C70" i="36"/>
  <c r="C71" i="36"/>
  <c r="C72" i="36"/>
  <c r="C73" i="36"/>
  <c r="C74" i="36"/>
  <c r="C75" i="36"/>
  <c r="C76" i="36"/>
  <c r="C77" i="36"/>
  <c r="C78" i="36"/>
  <c r="C79" i="36"/>
  <c r="C80" i="36"/>
  <c r="C81" i="36"/>
  <c r="C82" i="36"/>
  <c r="C83" i="36"/>
  <c r="C84" i="36"/>
  <c r="C85" i="36"/>
  <c r="C86" i="36"/>
  <c r="C87" i="36"/>
  <c r="C88" i="36"/>
  <c r="C89" i="36"/>
  <c r="C90" i="36"/>
  <c r="C91" i="36"/>
  <c r="C92" i="36"/>
  <c r="C93" i="36"/>
  <c r="C94" i="36"/>
  <c r="C95" i="36"/>
  <c r="C96" i="36"/>
  <c r="C97" i="36"/>
  <c r="C98" i="36"/>
  <c r="C99" i="36"/>
  <c r="C100" i="36"/>
  <c r="C101" i="36"/>
  <c r="C102" i="36"/>
  <c r="C103" i="36"/>
  <c r="C104" i="36"/>
  <c r="C105" i="36"/>
  <c r="C106" i="36"/>
  <c r="C107" i="36"/>
  <c r="C108" i="36"/>
  <c r="C109" i="36"/>
  <c r="C110" i="36"/>
  <c r="C111" i="36"/>
  <c r="C112" i="36"/>
  <c r="C113" i="36"/>
  <c r="C114" i="36"/>
  <c r="C115" i="36"/>
  <c r="C116" i="36"/>
  <c r="C117" i="36"/>
  <c r="C118" i="36"/>
  <c r="C119" i="36"/>
  <c r="C120" i="36"/>
  <c r="C121" i="36"/>
  <c r="C122" i="36"/>
  <c r="C123" i="36"/>
  <c r="C124" i="36"/>
  <c r="C125" i="36"/>
  <c r="C126" i="36"/>
  <c r="C127" i="36"/>
  <c r="C128" i="36"/>
  <c r="C129" i="36"/>
  <c r="C130" i="36"/>
  <c r="C131" i="36"/>
  <c r="C132" i="36"/>
  <c r="C133" i="36"/>
  <c r="C134" i="36"/>
  <c r="C135" i="36"/>
  <c r="C136" i="36"/>
  <c r="C137" i="36"/>
  <c r="C138" i="36"/>
  <c r="C139" i="36"/>
  <c r="C140" i="36"/>
  <c r="C141" i="36"/>
  <c r="C142" i="36"/>
  <c r="C143" i="36"/>
  <c r="C144" i="36"/>
  <c r="C145" i="36"/>
  <c r="C146" i="36"/>
  <c r="C147" i="36"/>
  <c r="C148" i="36"/>
  <c r="C149" i="36"/>
  <c r="C150" i="36"/>
  <c r="C151" i="36"/>
  <c r="C152" i="36"/>
  <c r="C153" i="36"/>
  <c r="C154" i="36"/>
  <c r="C155" i="36"/>
  <c r="C156" i="36"/>
  <c r="C157" i="36"/>
  <c r="C158" i="36"/>
  <c r="C159" i="36"/>
  <c r="C160" i="36"/>
  <c r="C161" i="36"/>
  <c r="C162" i="36"/>
  <c r="C163" i="36"/>
  <c r="C164" i="36"/>
  <c r="C165" i="36"/>
  <c r="C166" i="36"/>
  <c r="C167" i="36"/>
  <c r="C168" i="36"/>
  <c r="C169" i="36"/>
  <c r="C170" i="36"/>
  <c r="C171" i="36"/>
  <c r="C172" i="36"/>
  <c r="C173" i="36"/>
  <c r="C174" i="36"/>
  <c r="C175" i="36"/>
  <c r="C176" i="36"/>
  <c r="C177" i="36"/>
  <c r="C178" i="36"/>
  <c r="C179" i="36"/>
  <c r="C180" i="36"/>
  <c r="C181" i="36"/>
  <c r="C182" i="36"/>
  <c r="C183" i="36"/>
  <c r="C184" i="36"/>
  <c r="C185" i="36"/>
  <c r="C186" i="36"/>
  <c r="C187" i="36"/>
  <c r="C188" i="36"/>
  <c r="C189" i="36"/>
  <c r="C190" i="36"/>
  <c r="C191" i="36"/>
  <c r="C192" i="36"/>
  <c r="C193" i="36"/>
  <c r="C194" i="36"/>
  <c r="C195" i="36"/>
  <c r="C196" i="36"/>
  <c r="C197" i="36"/>
  <c r="C198" i="36"/>
  <c r="C199" i="36"/>
  <c r="C200" i="36"/>
  <c r="C201" i="36"/>
  <c r="C202" i="36"/>
  <c r="C203" i="36"/>
  <c r="C204" i="36"/>
  <c r="C205" i="36"/>
  <c r="C206" i="36"/>
  <c r="C207" i="36"/>
  <c r="C208" i="36"/>
  <c r="C209" i="36"/>
  <c r="C210" i="36"/>
  <c r="C211" i="36"/>
  <c r="C212" i="36"/>
  <c r="C213" i="36"/>
  <c r="C214" i="36"/>
  <c r="C215" i="36"/>
  <c r="C216" i="36"/>
  <c r="C217" i="36"/>
  <c r="C218" i="36"/>
  <c r="C219" i="36"/>
  <c r="C220" i="36"/>
  <c r="C221" i="36"/>
  <c r="C222" i="36"/>
  <c r="C223" i="36"/>
  <c r="C224" i="36"/>
  <c r="C225" i="36"/>
  <c r="C226" i="36"/>
  <c r="C227" i="36"/>
  <c r="C228" i="36"/>
  <c r="C229" i="36"/>
  <c r="C230" i="36"/>
  <c r="C231" i="36"/>
  <c r="C232" i="36"/>
  <c r="C233" i="36"/>
  <c r="C234" i="36"/>
  <c r="C235" i="36"/>
  <c r="C236" i="36"/>
  <c r="C237" i="36"/>
  <c r="C238" i="36"/>
  <c r="C239" i="36"/>
  <c r="C240" i="36"/>
  <c r="C241" i="36"/>
  <c r="C242" i="36"/>
  <c r="C243" i="36"/>
  <c r="C244" i="36"/>
  <c r="C245" i="36"/>
  <c r="C246" i="36"/>
  <c r="C247" i="36"/>
  <c r="C248" i="36"/>
  <c r="C249" i="36"/>
  <c r="C250" i="36"/>
  <c r="C251" i="36"/>
  <c r="C252" i="36"/>
  <c r="C253" i="36"/>
  <c r="C254" i="36"/>
  <c r="C255" i="36"/>
  <c r="C256" i="36"/>
  <c r="C257" i="36"/>
  <c r="C258" i="36"/>
  <c r="C259" i="36"/>
  <c r="C260" i="36"/>
  <c r="C261" i="36"/>
  <c r="C262" i="36"/>
  <c r="C263" i="36"/>
  <c r="C264" i="36"/>
  <c r="C265" i="36"/>
  <c r="C266" i="36"/>
  <c r="C267" i="36"/>
  <c r="C268" i="36"/>
  <c r="C269" i="36"/>
  <c r="C270" i="36"/>
  <c r="C271" i="36"/>
  <c r="C272" i="36"/>
  <c r="C273" i="36"/>
  <c r="C274" i="36"/>
  <c r="C275" i="36"/>
  <c r="C276" i="36"/>
  <c r="C277" i="36"/>
  <c r="C278" i="36"/>
  <c r="C279" i="36"/>
  <c r="C280" i="36"/>
  <c r="C281" i="36"/>
  <c r="C282" i="36"/>
  <c r="C283" i="36"/>
  <c r="C284" i="36"/>
  <c r="C285" i="36"/>
  <c r="C286" i="36"/>
  <c r="C287" i="36"/>
  <c r="C288" i="36"/>
  <c r="C289" i="36"/>
  <c r="C290" i="36"/>
  <c r="C291" i="36"/>
  <c r="C292" i="36"/>
  <c r="C293" i="36"/>
  <c r="C294" i="36"/>
  <c r="C295" i="36"/>
  <c r="C296" i="36"/>
  <c r="C297" i="36"/>
  <c r="C298" i="36"/>
  <c r="C299" i="36"/>
  <c r="C300" i="36"/>
  <c r="C301" i="36"/>
  <c r="C302" i="36"/>
  <c r="C303" i="36"/>
  <c r="C304" i="36"/>
  <c r="C305" i="36"/>
  <c r="C306" i="36"/>
  <c r="C307" i="36"/>
  <c r="C308" i="36"/>
  <c r="C309" i="36"/>
  <c r="C310" i="36"/>
  <c r="C311" i="36"/>
  <c r="C312" i="36"/>
  <c r="C313" i="36"/>
  <c r="C314" i="36"/>
  <c r="C315" i="36"/>
  <c r="C316" i="36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6" i="33"/>
  <c r="D6" i="33"/>
  <c r="E6" i="33"/>
  <c r="C7" i="33"/>
  <c r="D7" i="33"/>
  <c r="E7" i="33" s="1"/>
  <c r="C8" i="33"/>
  <c r="D8" i="33"/>
  <c r="E8" i="33"/>
  <c r="C9" i="33"/>
  <c r="D9" i="33"/>
  <c r="E9" i="33" s="1"/>
  <c r="C10" i="33"/>
  <c r="D10" i="33"/>
  <c r="E10" i="33"/>
  <c r="C11" i="33"/>
  <c r="D11" i="33"/>
  <c r="E11" i="33" s="1"/>
  <c r="C12" i="33"/>
  <c r="D12" i="33"/>
  <c r="E12" i="33"/>
  <c r="D13" i="33"/>
  <c r="C14" i="33"/>
  <c r="D14" i="33"/>
  <c r="E14" i="33"/>
  <c r="C15" i="33"/>
  <c r="D15" i="33"/>
  <c r="E15" i="33" s="1"/>
  <c r="C16" i="33"/>
  <c r="D16" i="33"/>
  <c r="E16" i="33"/>
  <c r="C17" i="33"/>
  <c r="D17" i="33"/>
  <c r="E17" i="33" s="1"/>
  <c r="C18" i="33"/>
  <c r="D18" i="33"/>
  <c r="E18" i="33"/>
  <c r="C19" i="33"/>
  <c r="D19" i="33"/>
  <c r="E19" i="33" s="1"/>
  <c r="C20" i="33"/>
  <c r="D20" i="33"/>
  <c r="E20" i="33"/>
  <c r="C21" i="33"/>
  <c r="D21" i="33"/>
  <c r="E21" i="33" s="1"/>
  <c r="D22" i="33"/>
  <c r="C23" i="33"/>
  <c r="D23" i="33"/>
  <c r="E23" i="33" s="1"/>
  <c r="C24" i="33"/>
  <c r="D24" i="33"/>
  <c r="E24" i="33"/>
  <c r="C25" i="33"/>
  <c r="D25" i="33"/>
  <c r="E25" i="33" s="1"/>
  <c r="C26" i="33"/>
  <c r="D26" i="33"/>
  <c r="E26" i="33"/>
  <c r="C27" i="33"/>
  <c r="D27" i="33"/>
  <c r="E27" i="33" s="1"/>
  <c r="C28" i="33"/>
  <c r="D28" i="33"/>
  <c r="E28" i="33"/>
  <c r="C29" i="33"/>
  <c r="D29" i="33"/>
  <c r="E29" i="33" s="1"/>
  <c r="C30" i="33"/>
  <c r="D30" i="33"/>
  <c r="E30" i="33"/>
  <c r="C31" i="33"/>
  <c r="D31" i="33"/>
  <c r="E31" i="33"/>
  <c r="C32" i="33"/>
  <c r="D32" i="33"/>
  <c r="E32" i="33" s="1"/>
  <c r="C33" i="33"/>
  <c r="D33" i="33"/>
  <c r="E33" i="33"/>
  <c r="C34" i="33"/>
  <c r="D34" i="33"/>
  <c r="E34" i="33" s="1"/>
  <c r="C35" i="33"/>
  <c r="D35" i="33"/>
  <c r="E35" i="33"/>
  <c r="C36" i="33"/>
  <c r="D36" i="33"/>
  <c r="E36" i="33" s="1"/>
  <c r="C37" i="33"/>
  <c r="D37" i="33"/>
  <c r="E37" i="33"/>
  <c r="C38" i="33"/>
  <c r="D38" i="33"/>
  <c r="E38" i="33" s="1"/>
  <c r="C39" i="33"/>
  <c r="D39" i="33"/>
  <c r="E39" i="33"/>
  <c r="C40" i="33"/>
  <c r="D40" i="33"/>
  <c r="E40" i="33" s="1"/>
  <c r="C41" i="33"/>
  <c r="D41" i="33"/>
  <c r="E41" i="33"/>
  <c r="C42" i="33"/>
  <c r="D42" i="33"/>
  <c r="E42" i="33" s="1"/>
  <c r="C43" i="33"/>
  <c r="D43" i="33"/>
  <c r="E43" i="33"/>
  <c r="C44" i="33"/>
  <c r="D44" i="33"/>
  <c r="E44" i="33" s="1"/>
  <c r="C45" i="33"/>
  <c r="D45" i="33"/>
  <c r="E45" i="33"/>
  <c r="C46" i="33"/>
  <c r="D46" i="33"/>
  <c r="E46" i="33" s="1"/>
  <c r="C47" i="33"/>
  <c r="D47" i="33"/>
  <c r="E47" i="33"/>
  <c r="C48" i="33"/>
  <c r="D48" i="33"/>
  <c r="E48" i="33" s="1"/>
  <c r="C49" i="33"/>
  <c r="D49" i="33"/>
  <c r="E49" i="33"/>
  <c r="C50" i="33"/>
  <c r="D50" i="33"/>
  <c r="E50" i="33" s="1"/>
  <c r="C51" i="33"/>
  <c r="D51" i="33"/>
  <c r="E51" i="33"/>
  <c r="C52" i="33"/>
  <c r="D52" i="33"/>
  <c r="E52" i="33" s="1"/>
  <c r="C53" i="33"/>
  <c r="D53" i="33"/>
  <c r="E53" i="33"/>
  <c r="C54" i="33"/>
  <c r="D54" i="33"/>
  <c r="E54" i="33" s="1"/>
  <c r="C55" i="33"/>
  <c r="D55" i="33"/>
  <c r="E55" i="33"/>
  <c r="D56" i="33"/>
  <c r="C57" i="33"/>
  <c r="D57" i="33"/>
  <c r="E57" i="33"/>
  <c r="C58" i="33"/>
  <c r="D58" i="33"/>
  <c r="E58" i="33" s="1"/>
  <c r="C59" i="33"/>
  <c r="D59" i="33"/>
  <c r="E59" i="33"/>
  <c r="C60" i="33"/>
  <c r="D60" i="33"/>
  <c r="E60" i="33" s="1"/>
  <c r="C61" i="33"/>
  <c r="D61" i="33"/>
  <c r="E61" i="33"/>
  <c r="C62" i="33"/>
  <c r="D62" i="33"/>
  <c r="E62" i="33" s="1"/>
  <c r="C63" i="33"/>
  <c r="D63" i="33"/>
  <c r="E63" i="33"/>
  <c r="C64" i="33"/>
  <c r="D64" i="33"/>
  <c r="E64" i="33" s="1"/>
  <c r="D65" i="33"/>
  <c r="C66" i="33"/>
  <c r="D66" i="33"/>
  <c r="E66" i="33" s="1"/>
  <c r="C67" i="33"/>
  <c r="D67" i="33"/>
  <c r="E67" i="33"/>
  <c r="C68" i="33"/>
  <c r="D68" i="33"/>
  <c r="E68" i="33" s="1"/>
  <c r="C69" i="33"/>
  <c r="D69" i="33"/>
  <c r="E69" i="33"/>
  <c r="C70" i="33"/>
  <c r="D70" i="33"/>
  <c r="E70" i="33" s="1"/>
  <c r="C71" i="33"/>
  <c r="D71" i="33"/>
  <c r="E71" i="33"/>
  <c r="C72" i="33"/>
  <c r="D72" i="33"/>
  <c r="E72" i="33" s="1"/>
  <c r="C73" i="33"/>
  <c r="D73" i="33"/>
  <c r="E73" i="33"/>
  <c r="C74" i="33"/>
  <c r="D74" i="33"/>
  <c r="E74" i="33" s="1"/>
  <c r="C75" i="33"/>
  <c r="D75" i="33"/>
  <c r="E75" i="33"/>
  <c r="C76" i="33"/>
  <c r="D76" i="33"/>
  <c r="E76" i="33" s="1"/>
  <c r="C77" i="33"/>
  <c r="D77" i="33"/>
  <c r="E77" i="33"/>
  <c r="C78" i="33"/>
  <c r="D78" i="33"/>
  <c r="E78" i="33" s="1"/>
  <c r="C79" i="33"/>
  <c r="D79" i="33"/>
  <c r="E79" i="33"/>
  <c r="D80" i="33"/>
  <c r="C81" i="33"/>
  <c r="D81" i="33"/>
  <c r="E81" i="33"/>
  <c r="C82" i="33"/>
  <c r="D82" i="33"/>
  <c r="E82" i="33" s="1"/>
  <c r="C83" i="33"/>
  <c r="D83" i="33"/>
  <c r="E83" i="33"/>
  <c r="C84" i="33"/>
  <c r="D84" i="33"/>
  <c r="E84" i="33" s="1"/>
  <c r="C85" i="33"/>
  <c r="D85" i="33"/>
  <c r="E85" i="33"/>
  <c r="C86" i="33"/>
  <c r="D86" i="33"/>
  <c r="E86" i="33" s="1"/>
  <c r="C87" i="33"/>
  <c r="D87" i="33"/>
  <c r="E87" i="33"/>
  <c r="C88" i="33"/>
  <c r="D88" i="33"/>
  <c r="E88" i="33" s="1"/>
  <c r="C89" i="33"/>
  <c r="D89" i="33"/>
  <c r="E89" i="33"/>
  <c r="C90" i="33"/>
  <c r="D90" i="33"/>
  <c r="E90" i="33" s="1"/>
  <c r="C91" i="33"/>
  <c r="D91" i="33"/>
  <c r="E91" i="33"/>
  <c r="C92" i="33"/>
  <c r="D92" i="33"/>
  <c r="E92" i="33" s="1"/>
  <c r="C93" i="33"/>
  <c r="D93" i="33"/>
  <c r="E93" i="33"/>
  <c r="C94" i="33"/>
  <c r="D94" i="33"/>
  <c r="E94" i="33" s="1"/>
  <c r="C95" i="33"/>
  <c r="D95" i="33"/>
  <c r="E95" i="33"/>
  <c r="D96" i="33"/>
  <c r="C97" i="33"/>
  <c r="D97" i="33"/>
  <c r="E97" i="33"/>
  <c r="C98" i="33"/>
  <c r="D98" i="33"/>
  <c r="E98" i="33" s="1"/>
  <c r="C99" i="33"/>
  <c r="D99" i="33"/>
  <c r="E99" i="33"/>
  <c r="C100" i="33"/>
  <c r="D100" i="33"/>
  <c r="E100" i="33" s="1"/>
  <c r="C101" i="33"/>
  <c r="D101" i="33"/>
  <c r="E101" i="33"/>
  <c r="C102" i="33"/>
  <c r="D102" i="33"/>
  <c r="E102" i="33" s="1"/>
  <c r="C103" i="33"/>
  <c r="D103" i="33"/>
  <c r="E103" i="33"/>
  <c r="C104" i="33"/>
  <c r="D104" i="33"/>
  <c r="E104" i="33" s="1"/>
  <c r="C105" i="33"/>
  <c r="D105" i="33"/>
  <c r="E105" i="33"/>
  <c r="C106" i="33"/>
  <c r="D106" i="33"/>
  <c r="E106" i="33" s="1"/>
  <c r="D107" i="33"/>
  <c r="C108" i="33"/>
  <c r="D108" i="33"/>
  <c r="E108" i="33" s="1"/>
  <c r="C109" i="33"/>
  <c r="D109" i="33"/>
  <c r="E109" i="33"/>
  <c r="C110" i="33"/>
  <c r="D110" i="33"/>
  <c r="E110" i="33" s="1"/>
  <c r="C111" i="33"/>
  <c r="D111" i="33"/>
  <c r="E111" i="33"/>
  <c r="C112" i="33"/>
  <c r="D112" i="33"/>
  <c r="E112" i="33" s="1"/>
  <c r="C113" i="33"/>
  <c r="D113" i="33"/>
  <c r="E113" i="33"/>
  <c r="C114" i="33"/>
  <c r="D114" i="33"/>
  <c r="E114" i="33" s="1"/>
  <c r="C115" i="33"/>
  <c r="D115" i="33"/>
  <c r="E115" i="33"/>
  <c r="C116" i="33"/>
  <c r="D116" i="33"/>
  <c r="E116" i="33" s="1"/>
  <c r="C117" i="33"/>
  <c r="D117" i="33"/>
  <c r="E117" i="33"/>
  <c r="C118" i="33"/>
  <c r="D118" i="33"/>
  <c r="E118" i="33" s="1"/>
  <c r="C119" i="33"/>
  <c r="D119" i="33"/>
  <c r="E119" i="33"/>
  <c r="C120" i="33"/>
  <c r="D120" i="33"/>
  <c r="E120" i="33" s="1"/>
  <c r="C121" i="33"/>
  <c r="D121" i="33"/>
  <c r="E121" i="33"/>
  <c r="C122" i="33"/>
  <c r="D122" i="33"/>
  <c r="E122" i="33" s="1"/>
  <c r="C123" i="33"/>
  <c r="D123" i="33"/>
  <c r="E123" i="33"/>
  <c r="C124" i="33"/>
  <c r="D124" i="33"/>
  <c r="E124" i="33" s="1"/>
  <c r="C125" i="33"/>
  <c r="D125" i="33"/>
  <c r="E125" i="33"/>
  <c r="C126" i="33"/>
  <c r="D126" i="33"/>
  <c r="E126" i="33" s="1"/>
  <c r="C127" i="33"/>
  <c r="D127" i="33"/>
  <c r="E127" i="33"/>
  <c r="C128" i="33"/>
  <c r="D128" i="33"/>
  <c r="E128" i="33" s="1"/>
  <c r="C129" i="33"/>
  <c r="D129" i="33"/>
  <c r="E129" i="33"/>
  <c r="C130" i="33"/>
  <c r="D130" i="33"/>
  <c r="E130" i="33" s="1"/>
  <c r="C131" i="33"/>
  <c r="D131" i="33"/>
  <c r="E131" i="33"/>
  <c r="C132" i="33"/>
  <c r="D132" i="33"/>
  <c r="E132" i="33" s="1"/>
  <c r="C133" i="33"/>
  <c r="D133" i="33"/>
  <c r="E133" i="33"/>
  <c r="C134" i="33"/>
  <c r="D134" i="33"/>
  <c r="E134" i="33" s="1"/>
  <c r="C135" i="33"/>
  <c r="D135" i="33"/>
  <c r="E135" i="33"/>
  <c r="C136" i="33"/>
  <c r="D136" i="33"/>
  <c r="E136" i="33" s="1"/>
  <c r="C137" i="33"/>
  <c r="D137" i="33"/>
  <c r="E137" i="33"/>
  <c r="C138" i="33"/>
  <c r="D138" i="33"/>
  <c r="E138" i="33" s="1"/>
  <c r="C139" i="33"/>
  <c r="D139" i="33"/>
  <c r="E139" i="33"/>
  <c r="C140" i="33"/>
  <c r="D140" i="33"/>
  <c r="E140" i="33" s="1"/>
  <c r="C141" i="33"/>
  <c r="D141" i="33"/>
  <c r="E141" i="33"/>
  <c r="C142" i="33"/>
  <c r="D142" i="33"/>
  <c r="E142" i="33" s="1"/>
  <c r="C143" i="33"/>
  <c r="D143" i="33"/>
  <c r="E143" i="33"/>
  <c r="C144" i="33"/>
  <c r="D144" i="33"/>
  <c r="E144" i="33" s="1"/>
  <c r="C145" i="33"/>
  <c r="D145" i="33"/>
  <c r="E145" i="33"/>
  <c r="C146" i="33"/>
  <c r="D146" i="33"/>
  <c r="E146" i="33" s="1"/>
  <c r="C147" i="33"/>
  <c r="D147" i="33"/>
  <c r="E147" i="33"/>
  <c r="C148" i="33"/>
  <c r="D148" i="33"/>
  <c r="E148" i="33" s="1"/>
  <c r="C149" i="33"/>
  <c r="D149" i="33"/>
  <c r="E149" i="33"/>
  <c r="C150" i="33"/>
  <c r="D150" i="33"/>
  <c r="E150" i="33" s="1"/>
  <c r="C151" i="33"/>
  <c r="D151" i="33"/>
  <c r="E151" i="33"/>
  <c r="C152" i="33"/>
  <c r="D152" i="33"/>
  <c r="E152" i="33" s="1"/>
  <c r="C153" i="33"/>
  <c r="D153" i="33"/>
  <c r="E153" i="33"/>
  <c r="C154" i="33"/>
  <c r="D154" i="33"/>
  <c r="E154" i="33" s="1"/>
  <c r="C155" i="33"/>
  <c r="D155" i="33"/>
  <c r="E155" i="33"/>
  <c r="C156" i="33"/>
  <c r="D156" i="33"/>
  <c r="E156" i="33" s="1"/>
  <c r="C157" i="33"/>
  <c r="D157" i="33"/>
  <c r="E157" i="33"/>
  <c r="C158" i="33"/>
  <c r="D158" i="33"/>
  <c r="E158" i="33" s="1"/>
  <c r="C159" i="33"/>
  <c r="D159" i="33"/>
  <c r="E159" i="33"/>
  <c r="C160" i="33"/>
  <c r="D160" i="33"/>
  <c r="E160" i="33" s="1"/>
  <c r="C161" i="33"/>
  <c r="D161" i="33"/>
  <c r="E161" i="33"/>
  <c r="C162" i="33"/>
  <c r="D162" i="33"/>
  <c r="E162" i="33" s="1"/>
  <c r="C163" i="33"/>
  <c r="D163" i="33"/>
  <c r="E163" i="33"/>
  <c r="C164" i="33"/>
  <c r="D164" i="33"/>
  <c r="E164" i="33" s="1"/>
  <c r="C165" i="33"/>
  <c r="D165" i="33"/>
  <c r="E165" i="33"/>
  <c r="C166" i="33"/>
  <c r="D166" i="33"/>
  <c r="E166" i="33" s="1"/>
  <c r="C167" i="33"/>
  <c r="D167" i="33"/>
  <c r="E167" i="33"/>
  <c r="C168" i="33"/>
  <c r="D168" i="33"/>
  <c r="E168" i="33" s="1"/>
  <c r="C170" i="33"/>
  <c r="D170" i="33"/>
  <c r="E170" i="33" s="1"/>
  <c r="C171" i="33"/>
  <c r="D171" i="33"/>
  <c r="E171" i="33"/>
  <c r="C172" i="33"/>
  <c r="D172" i="33"/>
  <c r="E172" i="33" s="1"/>
  <c r="C173" i="33"/>
  <c r="D173" i="33"/>
  <c r="E173" i="33"/>
  <c r="C174" i="33"/>
  <c r="D174" i="33"/>
  <c r="E174" i="33" s="1"/>
  <c r="D175" i="33"/>
  <c r="C176" i="33"/>
  <c r="D176" i="33"/>
  <c r="E176" i="33" s="1"/>
  <c r="C177" i="33"/>
  <c r="D177" i="33"/>
  <c r="E177" i="33"/>
  <c r="C178" i="33"/>
  <c r="D178" i="33"/>
  <c r="E178" i="33" s="1"/>
  <c r="C179" i="33"/>
  <c r="D179" i="33"/>
  <c r="E179" i="33"/>
  <c r="C180" i="33"/>
  <c r="D180" i="33"/>
  <c r="E180" i="33" s="1"/>
  <c r="C181" i="33"/>
  <c r="D181" i="33"/>
  <c r="E181" i="33"/>
  <c r="C182" i="33"/>
  <c r="D182" i="33"/>
  <c r="E182" i="33" s="1"/>
  <c r="C183" i="33"/>
  <c r="D183" i="33"/>
  <c r="E183" i="33"/>
  <c r="C184" i="33"/>
  <c r="D184" i="33"/>
  <c r="E184" i="33" s="1"/>
  <c r="C185" i="33"/>
  <c r="D185" i="33"/>
  <c r="E185" i="33"/>
  <c r="D186" i="33"/>
  <c r="C187" i="33"/>
  <c r="D187" i="33"/>
  <c r="E187" i="33"/>
  <c r="C188" i="33"/>
  <c r="D188" i="33"/>
  <c r="E188" i="33" s="1"/>
  <c r="C189" i="33"/>
  <c r="D189" i="33"/>
  <c r="E189" i="33"/>
  <c r="C190" i="33"/>
  <c r="D190" i="33"/>
  <c r="E190" i="33" s="1"/>
  <c r="C191" i="33"/>
  <c r="D191" i="33"/>
  <c r="E191" i="33"/>
  <c r="C192" i="33"/>
  <c r="D192" i="33"/>
  <c r="E192" i="33" s="1"/>
  <c r="C193" i="33"/>
  <c r="D193" i="33"/>
  <c r="E193" i="33"/>
  <c r="C194" i="33"/>
  <c r="D194" i="33"/>
  <c r="E194" i="33" s="1"/>
  <c r="C195" i="33"/>
  <c r="D195" i="33"/>
  <c r="E195" i="33"/>
  <c r="C196" i="33"/>
  <c r="D196" i="33"/>
  <c r="E196" i="33" s="1"/>
  <c r="C197" i="33"/>
  <c r="D197" i="33"/>
  <c r="E197" i="33"/>
  <c r="C198" i="33"/>
  <c r="D198" i="33"/>
  <c r="E198" i="33" s="1"/>
  <c r="D199" i="33"/>
  <c r="C200" i="33"/>
  <c r="D200" i="33"/>
  <c r="E200" i="33" s="1"/>
  <c r="C201" i="33"/>
  <c r="D201" i="33"/>
  <c r="E201" i="33"/>
  <c r="C202" i="33"/>
  <c r="D202" i="33"/>
  <c r="E202" i="33" s="1"/>
  <c r="C203" i="33"/>
  <c r="D203" i="33"/>
  <c r="E203" i="33"/>
  <c r="C204" i="33"/>
  <c r="D204" i="33"/>
  <c r="E204" i="33" s="1"/>
  <c r="D205" i="33"/>
  <c r="C206" i="33"/>
  <c r="D206" i="33"/>
  <c r="E206" i="33" s="1"/>
  <c r="C207" i="33"/>
  <c r="D207" i="33"/>
  <c r="E207" i="33"/>
  <c r="C208" i="33"/>
  <c r="D208" i="33"/>
  <c r="E208" i="33" s="1"/>
  <c r="C209" i="33"/>
  <c r="D209" i="33"/>
  <c r="E209" i="33"/>
  <c r="C210" i="33"/>
  <c r="D210" i="33"/>
  <c r="E210" i="33" s="1"/>
  <c r="C211" i="33"/>
  <c r="D211" i="33"/>
  <c r="E211" i="33"/>
  <c r="C212" i="33"/>
  <c r="D212" i="33"/>
  <c r="E212" i="33" s="1"/>
  <c r="C213" i="33"/>
  <c r="D213" i="33"/>
  <c r="E213" i="33"/>
  <c r="C214" i="33"/>
  <c r="D214" i="33"/>
  <c r="E214" i="33" s="1"/>
  <c r="C215" i="33"/>
  <c r="D215" i="33"/>
  <c r="E215" i="33"/>
  <c r="C216" i="33"/>
  <c r="D216" i="33"/>
  <c r="E216" i="33" s="1"/>
  <c r="C217" i="33"/>
  <c r="D217" i="33"/>
  <c r="E217" i="33"/>
  <c r="C219" i="33"/>
  <c r="D219" i="33"/>
  <c r="E219" i="33"/>
  <c r="D220" i="33"/>
  <c r="C221" i="33"/>
  <c r="D221" i="33"/>
  <c r="E221" i="33"/>
  <c r="C222" i="33"/>
  <c r="D222" i="33"/>
  <c r="E222" i="33" s="1"/>
  <c r="C223" i="33"/>
  <c r="D223" i="33"/>
  <c r="E223" i="33"/>
  <c r="C224" i="33"/>
  <c r="D224" i="33"/>
  <c r="E224" i="33" s="1"/>
  <c r="C225" i="33"/>
  <c r="D225" i="33"/>
  <c r="E225" i="33"/>
  <c r="C226" i="33"/>
  <c r="D226" i="33"/>
  <c r="E226" i="33" s="1"/>
  <c r="C227" i="33"/>
  <c r="D227" i="33"/>
  <c r="E227" i="33"/>
  <c r="C228" i="33"/>
  <c r="D228" i="33"/>
  <c r="E228" i="33" s="1"/>
  <c r="C229" i="33"/>
  <c r="D229" i="33"/>
  <c r="E229" i="33"/>
  <c r="C230" i="33"/>
  <c r="D230" i="33"/>
  <c r="E230" i="33" s="1"/>
  <c r="C231" i="33"/>
  <c r="D231" i="33"/>
  <c r="E231" i="33"/>
  <c r="C232" i="33"/>
  <c r="D232" i="33"/>
  <c r="E232" i="33" s="1"/>
  <c r="C233" i="33"/>
  <c r="D233" i="33"/>
  <c r="E233" i="33"/>
  <c r="C234" i="33"/>
  <c r="D234" i="33"/>
  <c r="E234" i="33" s="1"/>
  <c r="C235" i="33"/>
  <c r="D235" i="33"/>
  <c r="E235" i="33"/>
  <c r="C236" i="33"/>
  <c r="D236" i="33"/>
  <c r="E236" i="33" s="1"/>
  <c r="C237" i="33"/>
  <c r="D237" i="33"/>
  <c r="E237" i="33"/>
  <c r="C238" i="33"/>
  <c r="D238" i="33"/>
  <c r="E238" i="33" s="1"/>
  <c r="C239" i="33"/>
  <c r="D239" i="33"/>
  <c r="E239" i="33"/>
  <c r="C240" i="33"/>
  <c r="D240" i="33"/>
  <c r="E240" i="33" s="1"/>
  <c r="C241" i="33"/>
  <c r="D241" i="33"/>
  <c r="E241" i="33"/>
  <c r="C242" i="33"/>
  <c r="D242" i="33"/>
  <c r="E242" i="33" s="1"/>
  <c r="C244" i="33"/>
  <c r="D244" i="33"/>
  <c r="E244" i="33" s="1"/>
  <c r="C245" i="33"/>
  <c r="D245" i="33"/>
  <c r="E245" i="33"/>
  <c r="C246" i="33"/>
  <c r="D246" i="33"/>
  <c r="E246" i="33" s="1"/>
  <c r="C247" i="33"/>
  <c r="D247" i="33"/>
  <c r="E247" i="33"/>
  <c r="C248" i="33"/>
  <c r="D248" i="33"/>
  <c r="E248" i="33" s="1"/>
  <c r="C249" i="33"/>
  <c r="D249" i="33"/>
  <c r="E249" i="33"/>
  <c r="C250" i="33"/>
  <c r="D250" i="33"/>
  <c r="E250" i="33" s="1"/>
  <c r="C251" i="33"/>
  <c r="D251" i="33"/>
  <c r="E251" i="33"/>
  <c r="C252" i="33"/>
  <c r="D252" i="33"/>
  <c r="E252" i="33" s="1"/>
  <c r="C253" i="33"/>
  <c r="D253" i="33"/>
  <c r="E253" i="33"/>
  <c r="C254" i="33"/>
  <c r="D254" i="33"/>
  <c r="E254" i="33" s="1"/>
  <c r="C255" i="33"/>
  <c r="D255" i="33"/>
  <c r="E255" i="33"/>
  <c r="C256" i="33"/>
  <c r="D256" i="33"/>
  <c r="E256" i="33" s="1"/>
  <c r="C257" i="33"/>
  <c r="D257" i="33"/>
  <c r="E257" i="33"/>
  <c r="C258" i="33"/>
  <c r="D258" i="33"/>
  <c r="E258" i="33" s="1"/>
  <c r="C259" i="33"/>
  <c r="D259" i="33"/>
  <c r="E259" i="33"/>
  <c r="C260" i="33"/>
  <c r="D260" i="33"/>
  <c r="E260" i="33" s="1"/>
  <c r="C261" i="33"/>
  <c r="D261" i="33"/>
  <c r="E261" i="33"/>
  <c r="C262" i="33"/>
  <c r="D262" i="33"/>
  <c r="E262" i="33" s="1"/>
  <c r="C263" i="33"/>
  <c r="D263" i="33"/>
  <c r="E263" i="33"/>
  <c r="C264" i="33"/>
  <c r="D264" i="33"/>
  <c r="E264" i="33" s="1"/>
  <c r="C265" i="33"/>
  <c r="D265" i="33"/>
  <c r="E265" i="33"/>
  <c r="C266" i="33"/>
  <c r="D266" i="33"/>
  <c r="E266" i="33" s="1"/>
  <c r="C267" i="33"/>
  <c r="D267" i="33"/>
  <c r="E267" i="33"/>
  <c r="D268" i="33"/>
  <c r="C269" i="33"/>
  <c r="D269" i="33"/>
  <c r="E269" i="33"/>
  <c r="C270" i="33"/>
  <c r="D270" i="33"/>
  <c r="E270" i="33" s="1"/>
  <c r="C271" i="33"/>
  <c r="D271" i="33"/>
  <c r="E271" i="33"/>
  <c r="C272" i="33"/>
  <c r="D272" i="33"/>
  <c r="E272" i="33" s="1"/>
  <c r="C273" i="33"/>
  <c r="D273" i="33"/>
  <c r="E273" i="33"/>
  <c r="C274" i="33"/>
  <c r="D274" i="33"/>
  <c r="E274" i="33" s="1"/>
  <c r="C275" i="33"/>
  <c r="D275" i="33"/>
  <c r="E275" i="33"/>
  <c r="C276" i="33"/>
  <c r="D276" i="33"/>
  <c r="E276" i="33" s="1"/>
  <c r="C277" i="33"/>
  <c r="D277" i="33"/>
  <c r="E277" i="33"/>
  <c r="D278" i="33"/>
  <c r="C279" i="33"/>
  <c r="D279" i="33"/>
  <c r="E279" i="33"/>
  <c r="C280" i="33"/>
  <c r="D280" i="33"/>
  <c r="E280" i="33" s="1"/>
  <c r="C281" i="33"/>
  <c r="D281" i="33"/>
  <c r="E281" i="33"/>
  <c r="C282" i="33"/>
  <c r="D282" i="33"/>
  <c r="E282" i="33" s="1"/>
  <c r="C283" i="33"/>
  <c r="D283" i="33"/>
  <c r="E283" i="33"/>
  <c r="C284" i="33"/>
  <c r="D284" i="33"/>
  <c r="E284" i="33" s="1"/>
  <c r="C285" i="33"/>
  <c r="D285" i="33"/>
  <c r="E285" i="33"/>
  <c r="C286" i="33"/>
  <c r="D286" i="33"/>
  <c r="E286" i="33" s="1"/>
  <c r="C287" i="33"/>
  <c r="D287" i="33"/>
  <c r="E287" i="33"/>
  <c r="C288" i="33"/>
  <c r="D288" i="33"/>
  <c r="E288" i="33" s="1"/>
  <c r="C289" i="33"/>
  <c r="D289" i="33"/>
  <c r="E289" i="33"/>
  <c r="C290" i="33"/>
  <c r="D290" i="33"/>
  <c r="E290" i="33" s="1"/>
  <c r="C291" i="33"/>
  <c r="D291" i="33"/>
  <c r="E291" i="33"/>
  <c r="C292" i="33"/>
  <c r="D292" i="33"/>
  <c r="E292" i="33" s="1"/>
  <c r="C293" i="33"/>
  <c r="D293" i="33"/>
  <c r="E293" i="33"/>
  <c r="C294" i="33"/>
  <c r="D294" i="33"/>
  <c r="E294" i="33" s="1"/>
  <c r="C295" i="33"/>
  <c r="D295" i="33"/>
  <c r="E295" i="33"/>
  <c r="C296" i="33"/>
  <c r="D296" i="33"/>
  <c r="E296" i="33" s="1"/>
  <c r="C297" i="33"/>
  <c r="D297" i="33"/>
  <c r="E297" i="33"/>
  <c r="C298" i="33"/>
  <c r="D298" i="33"/>
  <c r="E298" i="33" s="1"/>
  <c r="C299" i="33"/>
  <c r="D299" i="33"/>
  <c r="E299" i="33"/>
  <c r="C300" i="33"/>
  <c r="D300" i="33"/>
  <c r="E300" i="33" s="1"/>
  <c r="C301" i="33"/>
  <c r="D301" i="33"/>
  <c r="E301" i="33"/>
  <c r="C302" i="33"/>
  <c r="D302" i="33"/>
  <c r="E302" i="33" s="1"/>
  <c r="C303" i="33"/>
  <c r="D303" i="33"/>
  <c r="E303" i="33"/>
  <c r="C304" i="33"/>
  <c r="D304" i="33"/>
  <c r="E304" i="33" s="1"/>
  <c r="C305" i="33"/>
  <c r="D305" i="33"/>
  <c r="E305" i="33"/>
  <c r="C306" i="33"/>
  <c r="D306" i="33"/>
  <c r="E306" i="33" s="1"/>
  <c r="C307" i="33"/>
  <c r="D307" i="33"/>
  <c r="E307" i="33"/>
  <c r="C308" i="33"/>
  <c r="D308" i="33"/>
  <c r="E308" i="33" s="1"/>
  <c r="C309" i="33"/>
  <c r="D309" i="33"/>
  <c r="E309" i="33"/>
  <c r="D310" i="33"/>
  <c r="C311" i="33"/>
  <c r="D311" i="33"/>
  <c r="E311" i="33"/>
  <c r="C312" i="33"/>
  <c r="D312" i="33"/>
  <c r="E312" i="33" s="1"/>
  <c r="C313" i="33"/>
  <c r="D313" i="33"/>
  <c r="E313" i="33"/>
  <c r="C6" i="32"/>
  <c r="D6" i="32"/>
  <c r="E6" i="32"/>
  <c r="F6" i="32"/>
  <c r="G6" i="32"/>
  <c r="C7" i="32"/>
  <c r="D7" i="32"/>
  <c r="E7" i="32"/>
  <c r="F7" i="32"/>
  <c r="G7" i="32"/>
  <c r="C8" i="32"/>
  <c r="D8" i="32"/>
  <c r="E8" i="32"/>
  <c r="F8" i="32"/>
  <c r="G8" i="32"/>
  <c r="C9" i="32"/>
  <c r="D9" i="32"/>
  <c r="E9" i="32"/>
  <c r="F9" i="32"/>
  <c r="G9" i="32"/>
  <c r="C10" i="32"/>
  <c r="D10" i="32"/>
  <c r="E10" i="32" s="1"/>
  <c r="G10" i="32" s="1"/>
  <c r="F10" i="32"/>
  <c r="C11" i="32"/>
  <c r="D11" i="32"/>
  <c r="E11" i="32"/>
  <c r="F11" i="32"/>
  <c r="G11" i="32"/>
  <c r="C12" i="32"/>
  <c r="D12" i="32"/>
  <c r="E12" i="32"/>
  <c r="F12" i="32"/>
  <c r="G12" i="32" s="1"/>
  <c r="D13" i="32"/>
  <c r="C14" i="32"/>
  <c r="D14" i="32"/>
  <c r="E14" i="32" s="1"/>
  <c r="G14" i="32" s="1"/>
  <c r="F14" i="32"/>
  <c r="C15" i="32"/>
  <c r="D15" i="32"/>
  <c r="E15" i="32" s="1"/>
  <c r="G15" i="32" s="1"/>
  <c r="F15" i="32"/>
  <c r="C16" i="32"/>
  <c r="D16" i="32"/>
  <c r="E16" i="32" s="1"/>
  <c r="G16" i="32" s="1"/>
  <c r="F16" i="32"/>
  <c r="C17" i="32"/>
  <c r="D17" i="32"/>
  <c r="E17" i="32" s="1"/>
  <c r="G17" i="32" s="1"/>
  <c r="F17" i="32"/>
  <c r="C18" i="32"/>
  <c r="D18" i="32"/>
  <c r="E18" i="32" s="1"/>
  <c r="G18" i="32" s="1"/>
  <c r="F18" i="32"/>
  <c r="C19" i="32"/>
  <c r="D19" i="32"/>
  <c r="E19" i="32" s="1"/>
  <c r="G19" i="32" s="1"/>
  <c r="F19" i="32"/>
  <c r="C20" i="32"/>
  <c r="D20" i="32"/>
  <c r="E20" i="32" s="1"/>
  <c r="G20" i="32" s="1"/>
  <c r="F20" i="32"/>
  <c r="C21" i="32"/>
  <c r="D21" i="32"/>
  <c r="E21" i="32" s="1"/>
  <c r="G21" i="32" s="1"/>
  <c r="F21" i="32"/>
  <c r="D22" i="32"/>
  <c r="C23" i="32"/>
  <c r="D23" i="32"/>
  <c r="E23" i="32" s="1"/>
  <c r="G23" i="32" s="1"/>
  <c r="F23" i="32"/>
  <c r="C24" i="32"/>
  <c r="D24" i="32"/>
  <c r="E24" i="32" s="1"/>
  <c r="G24" i="32" s="1"/>
  <c r="F24" i="32"/>
  <c r="C25" i="32"/>
  <c r="D25" i="32"/>
  <c r="E25" i="32" s="1"/>
  <c r="G25" i="32" s="1"/>
  <c r="F25" i="32"/>
  <c r="C26" i="32"/>
  <c r="D26" i="32"/>
  <c r="E26" i="32" s="1"/>
  <c r="G26" i="32" s="1"/>
  <c r="F26" i="32"/>
  <c r="C27" i="32"/>
  <c r="D27" i="32"/>
  <c r="E27" i="32" s="1"/>
  <c r="G27" i="32" s="1"/>
  <c r="F27" i="32"/>
  <c r="C28" i="32"/>
  <c r="D28" i="32"/>
  <c r="E28" i="32" s="1"/>
  <c r="G28" i="32" s="1"/>
  <c r="F28" i="32"/>
  <c r="C29" i="32"/>
  <c r="D29" i="32"/>
  <c r="E29" i="32" s="1"/>
  <c r="G29" i="32" s="1"/>
  <c r="F29" i="32"/>
  <c r="C30" i="32"/>
  <c r="D30" i="32"/>
  <c r="E30" i="32" s="1"/>
  <c r="G30" i="32" s="1"/>
  <c r="F30" i="32"/>
  <c r="C31" i="32"/>
  <c r="D31" i="32"/>
  <c r="E31" i="32" s="1"/>
  <c r="G31" i="32" s="1"/>
  <c r="F31" i="32"/>
  <c r="C32" i="32"/>
  <c r="D32" i="32"/>
  <c r="E32" i="32" s="1"/>
  <c r="G32" i="32" s="1"/>
  <c r="F32" i="32"/>
  <c r="C33" i="32"/>
  <c r="D33" i="32"/>
  <c r="E33" i="32" s="1"/>
  <c r="G33" i="32" s="1"/>
  <c r="F33" i="32"/>
  <c r="C34" i="32"/>
  <c r="D34" i="32"/>
  <c r="E34" i="32" s="1"/>
  <c r="G34" i="32" s="1"/>
  <c r="F34" i="32"/>
  <c r="C35" i="32"/>
  <c r="D35" i="32"/>
  <c r="E35" i="32" s="1"/>
  <c r="G35" i="32" s="1"/>
  <c r="F35" i="32"/>
  <c r="C36" i="32"/>
  <c r="D36" i="32"/>
  <c r="E36" i="32" s="1"/>
  <c r="G36" i="32" s="1"/>
  <c r="F36" i="32"/>
  <c r="C37" i="32"/>
  <c r="D37" i="32"/>
  <c r="E37" i="32" s="1"/>
  <c r="G37" i="32" s="1"/>
  <c r="F37" i="32"/>
  <c r="C38" i="32"/>
  <c r="D38" i="32"/>
  <c r="E38" i="32" s="1"/>
  <c r="G38" i="32" s="1"/>
  <c r="F38" i="32"/>
  <c r="C39" i="32"/>
  <c r="D39" i="32"/>
  <c r="E39" i="32" s="1"/>
  <c r="G39" i="32" s="1"/>
  <c r="F39" i="32"/>
  <c r="C40" i="32"/>
  <c r="D40" i="32"/>
  <c r="E40" i="32" s="1"/>
  <c r="G40" i="32" s="1"/>
  <c r="F40" i="32"/>
  <c r="C41" i="32"/>
  <c r="D41" i="32"/>
  <c r="E41" i="32" s="1"/>
  <c r="G41" i="32" s="1"/>
  <c r="F41" i="32"/>
  <c r="C42" i="32"/>
  <c r="D42" i="32"/>
  <c r="E42" i="32" s="1"/>
  <c r="G42" i="32" s="1"/>
  <c r="F42" i="32"/>
  <c r="C43" i="32"/>
  <c r="D43" i="32"/>
  <c r="E43" i="32" s="1"/>
  <c r="G43" i="32" s="1"/>
  <c r="F43" i="32"/>
  <c r="C44" i="32"/>
  <c r="D44" i="32"/>
  <c r="E44" i="32" s="1"/>
  <c r="G44" i="32" s="1"/>
  <c r="F44" i="32"/>
  <c r="C45" i="32"/>
  <c r="D45" i="32"/>
  <c r="E45" i="32" s="1"/>
  <c r="G45" i="32" s="1"/>
  <c r="F45" i="32"/>
  <c r="C46" i="32"/>
  <c r="D46" i="32"/>
  <c r="E46" i="32" s="1"/>
  <c r="G46" i="32" s="1"/>
  <c r="F46" i="32"/>
  <c r="C47" i="32"/>
  <c r="D47" i="32"/>
  <c r="E47" i="32" s="1"/>
  <c r="G47" i="32" s="1"/>
  <c r="F47" i="32"/>
  <c r="C48" i="32"/>
  <c r="D48" i="32"/>
  <c r="E48" i="32" s="1"/>
  <c r="G48" i="32" s="1"/>
  <c r="F48" i="32"/>
  <c r="C49" i="32"/>
  <c r="D49" i="32"/>
  <c r="E49" i="32" s="1"/>
  <c r="G49" i="32" s="1"/>
  <c r="F49" i="32"/>
  <c r="C50" i="32"/>
  <c r="D50" i="32"/>
  <c r="E50" i="32" s="1"/>
  <c r="G50" i="32" s="1"/>
  <c r="F50" i="32"/>
  <c r="C51" i="32"/>
  <c r="D51" i="32"/>
  <c r="E51" i="32" s="1"/>
  <c r="G51" i="32" s="1"/>
  <c r="F51" i="32"/>
  <c r="C52" i="32"/>
  <c r="D52" i="32"/>
  <c r="E52" i="32" s="1"/>
  <c r="G52" i="32" s="1"/>
  <c r="F52" i="32"/>
  <c r="C53" i="32"/>
  <c r="D53" i="32"/>
  <c r="E53" i="32" s="1"/>
  <c r="G53" i="32" s="1"/>
  <c r="F53" i="32"/>
  <c r="C54" i="32"/>
  <c r="D54" i="32"/>
  <c r="E54" i="32" s="1"/>
  <c r="G54" i="32" s="1"/>
  <c r="F54" i="32"/>
  <c r="C55" i="32"/>
  <c r="D55" i="32"/>
  <c r="E55" i="32" s="1"/>
  <c r="G55" i="32" s="1"/>
  <c r="F55" i="32"/>
  <c r="C56" i="32"/>
  <c r="D56" i="32"/>
  <c r="E56" i="32" s="1"/>
  <c r="C57" i="32"/>
  <c r="D57" i="32"/>
  <c r="E57" i="32" s="1"/>
  <c r="G57" i="32" s="1"/>
  <c r="F57" i="32"/>
  <c r="C58" i="32"/>
  <c r="D58" i="32"/>
  <c r="E58" i="32" s="1"/>
  <c r="G58" i="32" s="1"/>
  <c r="F58" i="32"/>
  <c r="D59" i="32"/>
  <c r="F59" i="32"/>
  <c r="C60" i="32"/>
  <c r="D60" i="32"/>
  <c r="E60" i="32" s="1"/>
  <c r="G60" i="32" s="1"/>
  <c r="F60" i="32"/>
  <c r="C61" i="32"/>
  <c r="D61" i="32"/>
  <c r="E61" i="32" s="1"/>
  <c r="G61" i="32" s="1"/>
  <c r="F61" i="32"/>
  <c r="C62" i="32"/>
  <c r="D62" i="32"/>
  <c r="E62" i="32" s="1"/>
  <c r="G62" i="32" s="1"/>
  <c r="F62" i="32"/>
  <c r="C63" i="32"/>
  <c r="D63" i="32"/>
  <c r="E63" i="32" s="1"/>
  <c r="G63" i="32" s="1"/>
  <c r="F63" i="32"/>
  <c r="C64" i="32"/>
  <c r="D64" i="32"/>
  <c r="E64" i="32" s="1"/>
  <c r="G64" i="32" s="1"/>
  <c r="F64" i="32"/>
  <c r="C65" i="32"/>
  <c r="D65" i="32"/>
  <c r="E65" i="32" s="1"/>
  <c r="C66" i="32"/>
  <c r="D66" i="32"/>
  <c r="E66" i="32" s="1"/>
  <c r="G66" i="32" s="1"/>
  <c r="F66" i="32"/>
  <c r="C67" i="32"/>
  <c r="D67" i="32"/>
  <c r="E67" i="32" s="1"/>
  <c r="G67" i="32" s="1"/>
  <c r="F67" i="32"/>
  <c r="C68" i="32"/>
  <c r="D68" i="32"/>
  <c r="E68" i="32" s="1"/>
  <c r="G68" i="32" s="1"/>
  <c r="F68" i="32"/>
  <c r="C69" i="32"/>
  <c r="D69" i="32"/>
  <c r="E69" i="32" s="1"/>
  <c r="G69" i="32" s="1"/>
  <c r="F69" i="32"/>
  <c r="C70" i="32"/>
  <c r="D70" i="32"/>
  <c r="E70" i="32" s="1"/>
  <c r="G70" i="32" s="1"/>
  <c r="F70" i="32"/>
  <c r="C71" i="32"/>
  <c r="D71" i="32"/>
  <c r="E71" i="32" s="1"/>
  <c r="G71" i="32" s="1"/>
  <c r="F71" i="32"/>
  <c r="C72" i="32"/>
  <c r="D72" i="32"/>
  <c r="E72" i="32" s="1"/>
  <c r="G72" i="32" s="1"/>
  <c r="F72" i="32"/>
  <c r="C73" i="32"/>
  <c r="D73" i="32"/>
  <c r="E73" i="32" s="1"/>
  <c r="G73" i="32" s="1"/>
  <c r="F73" i="32"/>
  <c r="C74" i="32"/>
  <c r="D74" i="32"/>
  <c r="E74" i="32" s="1"/>
  <c r="G74" i="32" s="1"/>
  <c r="F74" i="32"/>
  <c r="C75" i="32"/>
  <c r="D75" i="32"/>
  <c r="E75" i="32" s="1"/>
  <c r="G75" i="32" s="1"/>
  <c r="F75" i="32"/>
  <c r="C76" i="32"/>
  <c r="D76" i="32"/>
  <c r="E76" i="32" s="1"/>
  <c r="G76" i="32" s="1"/>
  <c r="F76" i="32"/>
  <c r="C77" i="32"/>
  <c r="D77" i="32"/>
  <c r="E77" i="32" s="1"/>
  <c r="G77" i="32" s="1"/>
  <c r="F77" i="32"/>
  <c r="C78" i="32"/>
  <c r="D78" i="32"/>
  <c r="E78" i="32" s="1"/>
  <c r="G78" i="32" s="1"/>
  <c r="F78" i="32"/>
  <c r="C79" i="32"/>
  <c r="D79" i="32"/>
  <c r="E79" i="32" s="1"/>
  <c r="G79" i="32" s="1"/>
  <c r="F79" i="32"/>
  <c r="C80" i="32"/>
  <c r="D80" i="32"/>
  <c r="E80" i="32" s="1"/>
  <c r="C81" i="32"/>
  <c r="D81" i="32"/>
  <c r="E81" i="32" s="1"/>
  <c r="G81" i="32" s="1"/>
  <c r="F81" i="32"/>
  <c r="C82" i="32"/>
  <c r="D82" i="32"/>
  <c r="E82" i="32" s="1"/>
  <c r="G82" i="32" s="1"/>
  <c r="F82" i="32"/>
  <c r="C83" i="32"/>
  <c r="D83" i="32"/>
  <c r="E83" i="32" s="1"/>
  <c r="G83" i="32" s="1"/>
  <c r="F83" i="32"/>
  <c r="C84" i="32"/>
  <c r="D84" i="32"/>
  <c r="E84" i="32" s="1"/>
  <c r="G84" i="32" s="1"/>
  <c r="F84" i="32"/>
  <c r="C85" i="32"/>
  <c r="D85" i="32"/>
  <c r="E85" i="32" s="1"/>
  <c r="G85" i="32" s="1"/>
  <c r="F85" i="32"/>
  <c r="C86" i="32"/>
  <c r="D86" i="32"/>
  <c r="E86" i="32" s="1"/>
  <c r="G86" i="32" s="1"/>
  <c r="F86" i="32"/>
  <c r="C87" i="32"/>
  <c r="D87" i="32"/>
  <c r="E87" i="32" s="1"/>
  <c r="G87" i="32" s="1"/>
  <c r="F87" i="32"/>
  <c r="C88" i="32"/>
  <c r="D88" i="32"/>
  <c r="E88" i="32" s="1"/>
  <c r="G88" i="32" s="1"/>
  <c r="F88" i="32"/>
  <c r="C89" i="32"/>
  <c r="D89" i="32"/>
  <c r="E89" i="32" s="1"/>
  <c r="G89" i="32" s="1"/>
  <c r="F89" i="32"/>
  <c r="C90" i="32"/>
  <c r="D90" i="32"/>
  <c r="E90" i="32" s="1"/>
  <c r="G90" i="32" s="1"/>
  <c r="F90" i="32"/>
  <c r="C91" i="32"/>
  <c r="D91" i="32"/>
  <c r="E91" i="32" s="1"/>
  <c r="G91" i="32" s="1"/>
  <c r="F91" i="32"/>
  <c r="C92" i="32"/>
  <c r="D92" i="32"/>
  <c r="E92" i="32" s="1"/>
  <c r="G92" i="32" s="1"/>
  <c r="F92" i="32"/>
  <c r="C93" i="32"/>
  <c r="D93" i="32"/>
  <c r="E93" i="32" s="1"/>
  <c r="G93" i="32" s="1"/>
  <c r="F93" i="32"/>
  <c r="C94" i="32"/>
  <c r="D94" i="32"/>
  <c r="E94" i="32" s="1"/>
  <c r="G94" i="32" s="1"/>
  <c r="F94" i="32"/>
  <c r="C95" i="32"/>
  <c r="D95" i="32"/>
  <c r="E95" i="32" s="1"/>
  <c r="G95" i="32" s="1"/>
  <c r="F95" i="32"/>
  <c r="C96" i="32"/>
  <c r="D96" i="32"/>
  <c r="E96" i="32" s="1"/>
  <c r="C97" i="32"/>
  <c r="D97" i="32"/>
  <c r="E97" i="32"/>
  <c r="F97" i="32"/>
  <c r="G97" i="32"/>
  <c r="C98" i="32"/>
  <c r="D98" i="32"/>
  <c r="E98" i="32"/>
  <c r="F98" i="32"/>
  <c r="G98" i="32"/>
  <c r="C99" i="32"/>
  <c r="D99" i="32"/>
  <c r="E99" i="32"/>
  <c r="F99" i="32"/>
  <c r="G99" i="32"/>
  <c r="C100" i="32"/>
  <c r="D100" i="32"/>
  <c r="E100" i="32"/>
  <c r="F100" i="32"/>
  <c r="G100" i="32"/>
  <c r="C101" i="32"/>
  <c r="D101" i="32"/>
  <c r="E101" i="32"/>
  <c r="F101" i="32"/>
  <c r="G101" i="32"/>
  <c r="C102" i="32"/>
  <c r="D102" i="32"/>
  <c r="E102" i="32"/>
  <c r="F102" i="32"/>
  <c r="G102" i="32"/>
  <c r="C103" i="32"/>
  <c r="D103" i="32"/>
  <c r="E103" i="32"/>
  <c r="F103" i="32"/>
  <c r="G103" i="32"/>
  <c r="C104" i="32"/>
  <c r="D104" i="32"/>
  <c r="E104" i="32"/>
  <c r="F104" i="32"/>
  <c r="G104" i="32"/>
  <c r="C105" i="32"/>
  <c r="D105" i="32"/>
  <c r="E105" i="32"/>
  <c r="F105" i="32"/>
  <c r="G105" i="32"/>
  <c r="C106" i="32"/>
  <c r="D106" i="32"/>
  <c r="E106" i="32"/>
  <c r="F106" i="32"/>
  <c r="G106" i="32"/>
  <c r="C107" i="32"/>
  <c r="D107" i="32"/>
  <c r="E107" i="32"/>
  <c r="C108" i="32"/>
  <c r="D108" i="32"/>
  <c r="E108" i="32"/>
  <c r="F108" i="32"/>
  <c r="G108" i="32"/>
  <c r="C109" i="32"/>
  <c r="D109" i="32"/>
  <c r="E109" i="32"/>
  <c r="F109" i="32"/>
  <c r="G109" i="32"/>
  <c r="C110" i="32"/>
  <c r="D110" i="32"/>
  <c r="E110" i="32"/>
  <c r="F110" i="32"/>
  <c r="G110" i="32"/>
  <c r="C111" i="32"/>
  <c r="D111" i="32"/>
  <c r="E111" i="32"/>
  <c r="F111" i="32"/>
  <c r="G111" i="32"/>
  <c r="C112" i="32"/>
  <c r="D112" i="32"/>
  <c r="E112" i="32"/>
  <c r="F112" i="32"/>
  <c r="G112" i="32"/>
  <c r="C113" i="32"/>
  <c r="D113" i="32"/>
  <c r="E113" i="32"/>
  <c r="F113" i="32"/>
  <c r="G113" i="32"/>
  <c r="C114" i="32"/>
  <c r="D114" i="32"/>
  <c r="E114" i="32"/>
  <c r="F114" i="32"/>
  <c r="G114" i="32"/>
  <c r="C115" i="32"/>
  <c r="D115" i="32"/>
  <c r="E115" i="32"/>
  <c r="F115" i="32"/>
  <c r="G115" i="32"/>
  <c r="C116" i="32"/>
  <c r="D116" i="32"/>
  <c r="E116" i="32"/>
  <c r="F116" i="32"/>
  <c r="G116" i="32"/>
  <c r="C117" i="32"/>
  <c r="D117" i="32"/>
  <c r="E117" i="32"/>
  <c r="F117" i="32"/>
  <c r="G117" i="32"/>
  <c r="C118" i="32"/>
  <c r="D118" i="32"/>
  <c r="E118" i="32"/>
  <c r="F118" i="32"/>
  <c r="G118" i="32"/>
  <c r="C119" i="32"/>
  <c r="D119" i="32"/>
  <c r="E119" i="32"/>
  <c r="F119" i="32"/>
  <c r="G119" i="32"/>
  <c r="C120" i="32"/>
  <c r="D120" i="32"/>
  <c r="E120" i="32"/>
  <c r="F120" i="32"/>
  <c r="G120" i="32"/>
  <c r="C121" i="32"/>
  <c r="D121" i="32"/>
  <c r="E121" i="32"/>
  <c r="F121" i="32"/>
  <c r="G121" i="32"/>
  <c r="C122" i="32"/>
  <c r="D122" i="32"/>
  <c r="E122" i="32"/>
  <c r="F122" i="32"/>
  <c r="G122" i="32"/>
  <c r="C123" i="32"/>
  <c r="D123" i="32"/>
  <c r="E123" i="32"/>
  <c r="F123" i="32"/>
  <c r="G123" i="32"/>
  <c r="C124" i="32"/>
  <c r="D124" i="32"/>
  <c r="E124" i="32"/>
  <c r="F124" i="32"/>
  <c r="G124" i="32"/>
  <c r="C125" i="32"/>
  <c r="D125" i="32"/>
  <c r="E125" i="32"/>
  <c r="F125" i="32"/>
  <c r="G125" i="32"/>
  <c r="C126" i="32"/>
  <c r="D126" i="32"/>
  <c r="E126" i="32"/>
  <c r="F126" i="32"/>
  <c r="G126" i="32"/>
  <c r="C127" i="32"/>
  <c r="D127" i="32"/>
  <c r="E127" i="32"/>
  <c r="F127" i="32"/>
  <c r="G127" i="32"/>
  <c r="C128" i="32"/>
  <c r="D128" i="32"/>
  <c r="E128" i="32"/>
  <c r="F128" i="32"/>
  <c r="G128" i="32"/>
  <c r="C129" i="32"/>
  <c r="D129" i="32"/>
  <c r="E129" i="32"/>
  <c r="F129" i="32"/>
  <c r="G129" i="32"/>
  <c r="D130" i="32"/>
  <c r="F130" i="32"/>
  <c r="C131" i="32"/>
  <c r="D131" i="32"/>
  <c r="E131" i="32"/>
  <c r="F131" i="32"/>
  <c r="G131" i="32"/>
  <c r="C132" i="32"/>
  <c r="D132" i="32"/>
  <c r="E132" i="32"/>
  <c r="F132" i="32"/>
  <c r="G132" i="32"/>
  <c r="C133" i="32"/>
  <c r="D133" i="32"/>
  <c r="E133" i="32"/>
  <c r="F133" i="32"/>
  <c r="G133" i="32"/>
  <c r="C134" i="32"/>
  <c r="D134" i="32"/>
  <c r="E134" i="32"/>
  <c r="F134" i="32"/>
  <c r="G134" i="32"/>
  <c r="C135" i="32"/>
  <c r="D135" i="32"/>
  <c r="E135" i="32"/>
  <c r="F135" i="32"/>
  <c r="G135" i="32"/>
  <c r="C136" i="32"/>
  <c r="D136" i="32"/>
  <c r="E136" i="32"/>
  <c r="F136" i="32"/>
  <c r="G136" i="32"/>
  <c r="C137" i="32"/>
  <c r="D137" i="32"/>
  <c r="E137" i="32"/>
  <c r="F137" i="32"/>
  <c r="G137" i="32"/>
  <c r="C138" i="32"/>
  <c r="D138" i="32"/>
  <c r="E138" i="32"/>
  <c r="F138" i="32"/>
  <c r="G138" i="32"/>
  <c r="C139" i="32"/>
  <c r="D139" i="32"/>
  <c r="E139" i="32"/>
  <c r="F139" i="32"/>
  <c r="G139" i="32"/>
  <c r="C140" i="32"/>
  <c r="D140" i="32"/>
  <c r="E140" i="32"/>
  <c r="F140" i="32"/>
  <c r="G140" i="32"/>
  <c r="C141" i="32"/>
  <c r="D141" i="32"/>
  <c r="E141" i="32"/>
  <c r="F141" i="32"/>
  <c r="G141" i="32"/>
  <c r="C142" i="32"/>
  <c r="D142" i="32"/>
  <c r="E142" i="32"/>
  <c r="F142" i="32"/>
  <c r="G142" i="32"/>
  <c r="C143" i="32"/>
  <c r="D143" i="32"/>
  <c r="E143" i="32"/>
  <c r="F143" i="32"/>
  <c r="G143" i="32"/>
  <c r="C144" i="32"/>
  <c r="D144" i="32"/>
  <c r="E144" i="32"/>
  <c r="F144" i="32"/>
  <c r="G144" i="32"/>
  <c r="C145" i="32"/>
  <c r="D145" i="32"/>
  <c r="E145" i="32"/>
  <c r="F145" i="32"/>
  <c r="G145" i="32"/>
  <c r="C146" i="32"/>
  <c r="D146" i="32"/>
  <c r="E146" i="32"/>
  <c r="F146" i="32"/>
  <c r="G146" i="32"/>
  <c r="C147" i="32"/>
  <c r="D147" i="32"/>
  <c r="E147" i="32"/>
  <c r="F147" i="32"/>
  <c r="G147" i="32"/>
  <c r="C148" i="32"/>
  <c r="D148" i="32"/>
  <c r="E148" i="32"/>
  <c r="F148" i="32"/>
  <c r="G148" i="32"/>
  <c r="D149" i="32"/>
  <c r="F149" i="32"/>
  <c r="C150" i="32"/>
  <c r="D150" i="32"/>
  <c r="E150" i="32"/>
  <c r="F150" i="32"/>
  <c r="G150" i="32"/>
  <c r="C151" i="32"/>
  <c r="D151" i="32"/>
  <c r="E151" i="32"/>
  <c r="F151" i="32"/>
  <c r="G151" i="32"/>
  <c r="C152" i="32"/>
  <c r="D152" i="32"/>
  <c r="E152" i="32"/>
  <c r="F152" i="32"/>
  <c r="G152" i="32"/>
  <c r="C153" i="32"/>
  <c r="D153" i="32"/>
  <c r="E153" i="32"/>
  <c r="F153" i="32"/>
  <c r="G153" i="32"/>
  <c r="C154" i="32"/>
  <c r="D154" i="32"/>
  <c r="E154" i="32"/>
  <c r="F154" i="32"/>
  <c r="G154" i="32"/>
  <c r="C155" i="32"/>
  <c r="D155" i="32"/>
  <c r="E155" i="32"/>
  <c r="F155" i="32"/>
  <c r="G155" i="32"/>
  <c r="C156" i="32"/>
  <c r="D156" i="32"/>
  <c r="E156" i="32"/>
  <c r="F156" i="32"/>
  <c r="G156" i="32"/>
  <c r="C157" i="32"/>
  <c r="D157" i="32"/>
  <c r="E157" i="32"/>
  <c r="F157" i="32"/>
  <c r="G157" i="32"/>
  <c r="C158" i="32"/>
  <c r="D158" i="32"/>
  <c r="E158" i="32"/>
  <c r="F158" i="32"/>
  <c r="G158" i="32"/>
  <c r="C159" i="32"/>
  <c r="D159" i="32"/>
  <c r="E159" i="32"/>
  <c r="F159" i="32"/>
  <c r="G159" i="32"/>
  <c r="C160" i="32"/>
  <c r="D160" i="32"/>
  <c r="E160" i="32"/>
  <c r="F160" i="32"/>
  <c r="G160" i="32"/>
  <c r="C161" i="32"/>
  <c r="D161" i="32"/>
  <c r="E161" i="32"/>
  <c r="F161" i="32"/>
  <c r="G161" i="32"/>
  <c r="C162" i="32"/>
  <c r="D162" i="32"/>
  <c r="E162" i="32"/>
  <c r="F162" i="32"/>
  <c r="G162" i="32"/>
  <c r="C163" i="32"/>
  <c r="D163" i="32"/>
  <c r="E163" i="32"/>
  <c r="F163" i="32"/>
  <c r="G163" i="32"/>
  <c r="C164" i="32"/>
  <c r="D164" i="32"/>
  <c r="E164" i="32"/>
  <c r="F164" i="32"/>
  <c r="G164" i="32"/>
  <c r="C165" i="32"/>
  <c r="D165" i="32"/>
  <c r="E165" i="32"/>
  <c r="F165" i="32"/>
  <c r="G165" i="32"/>
  <c r="C166" i="32"/>
  <c r="D166" i="32"/>
  <c r="E166" i="32"/>
  <c r="F166" i="32"/>
  <c r="G166" i="32"/>
  <c r="C167" i="32"/>
  <c r="D167" i="32"/>
  <c r="E167" i="32"/>
  <c r="F167" i="32"/>
  <c r="G167" i="32"/>
  <c r="C168" i="32"/>
  <c r="D168" i="32"/>
  <c r="E168" i="32"/>
  <c r="F168" i="32"/>
  <c r="G168" i="32"/>
  <c r="C170" i="32"/>
  <c r="D170" i="32"/>
  <c r="E170" i="32"/>
  <c r="F170" i="32"/>
  <c r="G170" i="32"/>
  <c r="C171" i="32"/>
  <c r="D171" i="32"/>
  <c r="E171" i="32"/>
  <c r="F171" i="32"/>
  <c r="G171" i="32"/>
  <c r="C172" i="32"/>
  <c r="D172" i="32"/>
  <c r="E172" i="32"/>
  <c r="F172" i="32"/>
  <c r="G172" i="32"/>
  <c r="C173" i="32"/>
  <c r="D173" i="32"/>
  <c r="E173" i="32"/>
  <c r="F173" i="32"/>
  <c r="G173" i="32"/>
  <c r="C174" i="32"/>
  <c r="D174" i="32"/>
  <c r="E174" i="32"/>
  <c r="F174" i="32"/>
  <c r="G174" i="32"/>
  <c r="C175" i="32"/>
  <c r="D175" i="32"/>
  <c r="E175" i="32"/>
  <c r="C176" i="32"/>
  <c r="D176" i="32"/>
  <c r="E176" i="32"/>
  <c r="F176" i="32"/>
  <c r="G176" i="32"/>
  <c r="C177" i="32"/>
  <c r="D177" i="32"/>
  <c r="E177" i="32"/>
  <c r="F177" i="32"/>
  <c r="G177" i="32"/>
  <c r="C178" i="32"/>
  <c r="D178" i="32"/>
  <c r="E178" i="32"/>
  <c r="F178" i="32"/>
  <c r="G178" i="32"/>
  <c r="C179" i="32"/>
  <c r="D179" i="32"/>
  <c r="E179" i="32"/>
  <c r="F179" i="32"/>
  <c r="G179" i="32"/>
  <c r="C180" i="32"/>
  <c r="D180" i="32"/>
  <c r="E180" i="32"/>
  <c r="F180" i="32"/>
  <c r="G180" i="32"/>
  <c r="D181" i="32"/>
  <c r="F181" i="32"/>
  <c r="C182" i="32"/>
  <c r="D182" i="32"/>
  <c r="E182" i="32"/>
  <c r="F182" i="32"/>
  <c r="G182" i="32"/>
  <c r="C183" i="32"/>
  <c r="D183" i="32"/>
  <c r="E183" i="32"/>
  <c r="F183" i="32"/>
  <c r="G183" i="32"/>
  <c r="C184" i="32"/>
  <c r="D184" i="32"/>
  <c r="E184" i="32"/>
  <c r="F184" i="32"/>
  <c r="G184" i="32"/>
  <c r="C185" i="32"/>
  <c r="D185" i="32"/>
  <c r="E185" i="32"/>
  <c r="F185" i="32"/>
  <c r="G185" i="32"/>
  <c r="C186" i="32"/>
  <c r="D186" i="32"/>
  <c r="E186" i="32"/>
  <c r="C187" i="32"/>
  <c r="D187" i="32"/>
  <c r="E187" i="32"/>
  <c r="F187" i="32"/>
  <c r="G187" i="32"/>
  <c r="C188" i="32"/>
  <c r="D188" i="32"/>
  <c r="E188" i="32"/>
  <c r="F188" i="32"/>
  <c r="G188" i="32"/>
  <c r="C189" i="32"/>
  <c r="D189" i="32"/>
  <c r="E189" i="32"/>
  <c r="F189" i="32"/>
  <c r="G189" i="32"/>
  <c r="C190" i="32"/>
  <c r="D190" i="32"/>
  <c r="E190" i="32"/>
  <c r="F190" i="32"/>
  <c r="G190" i="32"/>
  <c r="C191" i="32"/>
  <c r="D191" i="32"/>
  <c r="E191" i="32"/>
  <c r="F191" i="32"/>
  <c r="G191" i="32"/>
  <c r="C192" i="32"/>
  <c r="D192" i="32"/>
  <c r="E192" i="32"/>
  <c r="F192" i="32"/>
  <c r="G192" i="32"/>
  <c r="C193" i="32"/>
  <c r="D193" i="32"/>
  <c r="E193" i="32"/>
  <c r="F193" i="32"/>
  <c r="G193" i="32"/>
  <c r="C194" i="32"/>
  <c r="D194" i="32"/>
  <c r="E194" i="32"/>
  <c r="F194" i="32"/>
  <c r="G194" i="32"/>
  <c r="C195" i="32"/>
  <c r="D195" i="32"/>
  <c r="E195" i="32"/>
  <c r="F195" i="32"/>
  <c r="G195" i="32"/>
  <c r="C196" i="32"/>
  <c r="D196" i="32"/>
  <c r="E196" i="32"/>
  <c r="F196" i="32"/>
  <c r="G196" i="32"/>
  <c r="C197" i="32"/>
  <c r="D197" i="32"/>
  <c r="E197" i="32"/>
  <c r="F197" i="32"/>
  <c r="G197" i="32"/>
  <c r="D198" i="32"/>
  <c r="F198" i="32"/>
  <c r="C199" i="32"/>
  <c r="D199" i="32"/>
  <c r="E199" i="32"/>
  <c r="C200" i="32"/>
  <c r="D200" i="32"/>
  <c r="E200" i="32"/>
  <c r="F200" i="32"/>
  <c r="G200" i="32"/>
  <c r="C201" i="32"/>
  <c r="D201" i="32"/>
  <c r="E201" i="32"/>
  <c r="F201" i="32"/>
  <c r="G201" i="32"/>
  <c r="C202" i="32"/>
  <c r="D202" i="32"/>
  <c r="E202" i="32"/>
  <c r="F202" i="32"/>
  <c r="G202" i="32"/>
  <c r="C203" i="32"/>
  <c r="D203" i="32"/>
  <c r="E203" i="32"/>
  <c r="F203" i="32"/>
  <c r="G203" i="32"/>
  <c r="C204" i="32"/>
  <c r="D204" i="32"/>
  <c r="E204" i="32"/>
  <c r="F204" i="32"/>
  <c r="G204" i="32"/>
  <c r="C205" i="32"/>
  <c r="D205" i="32"/>
  <c r="E205" i="32"/>
  <c r="C206" i="32"/>
  <c r="D206" i="32"/>
  <c r="E206" i="32"/>
  <c r="F206" i="32"/>
  <c r="G206" i="32"/>
  <c r="C207" i="32"/>
  <c r="D207" i="32"/>
  <c r="E207" i="32"/>
  <c r="F207" i="32"/>
  <c r="G207" i="32"/>
  <c r="C208" i="32"/>
  <c r="D208" i="32"/>
  <c r="E208" i="32"/>
  <c r="F208" i="32"/>
  <c r="G208" i="32"/>
  <c r="C209" i="32"/>
  <c r="D209" i="32"/>
  <c r="E209" i="32"/>
  <c r="F209" i="32"/>
  <c r="G209" i="32"/>
  <c r="C210" i="32"/>
  <c r="D210" i="32"/>
  <c r="E210" i="32"/>
  <c r="F210" i="32"/>
  <c r="G210" i="32"/>
  <c r="C211" i="32"/>
  <c r="D211" i="32"/>
  <c r="E211" i="32"/>
  <c r="F211" i="32"/>
  <c r="G211" i="32"/>
  <c r="C212" i="32"/>
  <c r="D212" i="32"/>
  <c r="E212" i="32"/>
  <c r="F212" i="32"/>
  <c r="G212" i="32"/>
  <c r="C213" i="32"/>
  <c r="D213" i="32"/>
  <c r="E213" i="32"/>
  <c r="F213" i="32"/>
  <c r="G213" i="32"/>
  <c r="C214" i="32"/>
  <c r="D214" i="32"/>
  <c r="E214" i="32"/>
  <c r="F214" i="32"/>
  <c r="G214" i="32"/>
  <c r="C215" i="32"/>
  <c r="D215" i="32"/>
  <c r="E215" i="32"/>
  <c r="F215" i="32"/>
  <c r="G215" i="32"/>
  <c r="C216" i="32"/>
  <c r="D216" i="32"/>
  <c r="E216" i="32"/>
  <c r="F216" i="32"/>
  <c r="G216" i="32"/>
  <c r="C217" i="32"/>
  <c r="D217" i="32"/>
  <c r="E217" i="32"/>
  <c r="F217" i="32"/>
  <c r="G217" i="32"/>
  <c r="C219" i="32"/>
  <c r="D219" i="32"/>
  <c r="E219" i="32"/>
  <c r="F219" i="32"/>
  <c r="G219" i="32"/>
  <c r="C220" i="32"/>
  <c r="D220" i="32"/>
  <c r="E220" i="32"/>
  <c r="C221" i="32"/>
  <c r="D221" i="32"/>
  <c r="E221" i="32"/>
  <c r="F221" i="32"/>
  <c r="G221" i="32"/>
  <c r="C222" i="32"/>
  <c r="D222" i="32"/>
  <c r="E222" i="32"/>
  <c r="F222" i="32"/>
  <c r="G222" i="32"/>
  <c r="C223" i="32"/>
  <c r="D223" i="32"/>
  <c r="E223" i="32"/>
  <c r="F223" i="32"/>
  <c r="G223" i="32"/>
  <c r="C224" i="32"/>
  <c r="D224" i="32"/>
  <c r="E224" i="32"/>
  <c r="F224" i="32"/>
  <c r="G224" i="32"/>
  <c r="C225" i="32"/>
  <c r="D225" i="32"/>
  <c r="E225" i="32"/>
  <c r="F225" i="32"/>
  <c r="G225" i="32"/>
  <c r="C226" i="32"/>
  <c r="D226" i="32"/>
  <c r="E226" i="32"/>
  <c r="F226" i="32"/>
  <c r="G226" i="32"/>
  <c r="C227" i="32"/>
  <c r="D227" i="32"/>
  <c r="E227" i="32"/>
  <c r="F227" i="32"/>
  <c r="G227" i="32"/>
  <c r="C228" i="32"/>
  <c r="D228" i="32"/>
  <c r="E228" i="32"/>
  <c r="F228" i="32"/>
  <c r="G228" i="32"/>
  <c r="C229" i="32"/>
  <c r="D229" i="32"/>
  <c r="E229" i="32"/>
  <c r="F229" i="32"/>
  <c r="G229" i="32"/>
  <c r="C230" i="32"/>
  <c r="D230" i="32"/>
  <c r="E230" i="32"/>
  <c r="F230" i="32"/>
  <c r="G230" i="32"/>
  <c r="C231" i="32"/>
  <c r="D231" i="32"/>
  <c r="E231" i="32"/>
  <c r="F231" i="32"/>
  <c r="G231" i="32"/>
  <c r="C232" i="32"/>
  <c r="D232" i="32"/>
  <c r="E232" i="32"/>
  <c r="F232" i="32"/>
  <c r="G232" i="32"/>
  <c r="C233" i="32"/>
  <c r="D233" i="32"/>
  <c r="E233" i="32"/>
  <c r="F233" i="32"/>
  <c r="G233" i="32"/>
  <c r="C234" i="32"/>
  <c r="D234" i="32"/>
  <c r="E234" i="32"/>
  <c r="F234" i="32"/>
  <c r="G234" i="32"/>
  <c r="C235" i="32"/>
  <c r="D235" i="32"/>
  <c r="E235" i="32"/>
  <c r="F235" i="32"/>
  <c r="G235" i="32"/>
  <c r="C236" i="32"/>
  <c r="D236" i="32"/>
  <c r="E236" i="32"/>
  <c r="F236" i="32"/>
  <c r="G236" i="32"/>
  <c r="C237" i="32"/>
  <c r="D237" i="32"/>
  <c r="E237" i="32"/>
  <c r="F237" i="32"/>
  <c r="G237" i="32"/>
  <c r="C238" i="32"/>
  <c r="D238" i="32"/>
  <c r="E238" i="32"/>
  <c r="F238" i="32"/>
  <c r="G238" i="32"/>
  <c r="C239" i="32"/>
  <c r="D239" i="32"/>
  <c r="E239" i="32"/>
  <c r="F239" i="32"/>
  <c r="G239" i="32"/>
  <c r="C240" i="32"/>
  <c r="D240" i="32"/>
  <c r="E240" i="32"/>
  <c r="F240" i="32"/>
  <c r="G240" i="32"/>
  <c r="C241" i="32"/>
  <c r="D241" i="32"/>
  <c r="E241" i="32"/>
  <c r="F241" i="32"/>
  <c r="G241" i="32"/>
  <c r="C242" i="32"/>
  <c r="D242" i="32"/>
  <c r="E242" i="32"/>
  <c r="F242" i="32"/>
  <c r="G242" i="32"/>
  <c r="C244" i="32"/>
  <c r="D244" i="32"/>
  <c r="E244" i="32"/>
  <c r="F244" i="32"/>
  <c r="G244" i="32"/>
  <c r="C245" i="32"/>
  <c r="D245" i="32"/>
  <c r="E245" i="32"/>
  <c r="F245" i="32"/>
  <c r="G245" i="32"/>
  <c r="C246" i="32"/>
  <c r="D246" i="32"/>
  <c r="E246" i="32"/>
  <c r="F246" i="32"/>
  <c r="G246" i="32"/>
  <c r="C247" i="32"/>
  <c r="D247" i="32"/>
  <c r="E247" i="32"/>
  <c r="F247" i="32"/>
  <c r="G247" i="32"/>
  <c r="C248" i="32"/>
  <c r="D248" i="32"/>
  <c r="E248" i="32"/>
  <c r="F248" i="32"/>
  <c r="G248" i="32"/>
  <c r="C249" i="32"/>
  <c r="D249" i="32"/>
  <c r="E249" i="32"/>
  <c r="F249" i="32"/>
  <c r="G249" i="32"/>
  <c r="C250" i="32"/>
  <c r="D250" i="32"/>
  <c r="E250" i="32"/>
  <c r="F250" i="32"/>
  <c r="G250" i="32"/>
  <c r="C251" i="32"/>
  <c r="D251" i="32"/>
  <c r="E251" i="32"/>
  <c r="F251" i="32"/>
  <c r="G251" i="32"/>
  <c r="C252" i="32"/>
  <c r="D252" i="32"/>
  <c r="E252" i="32"/>
  <c r="F252" i="32"/>
  <c r="G252" i="32"/>
  <c r="C253" i="32"/>
  <c r="D253" i="32"/>
  <c r="E253" i="32"/>
  <c r="F253" i="32"/>
  <c r="G253" i="32"/>
  <c r="C254" i="32"/>
  <c r="D254" i="32"/>
  <c r="E254" i="32"/>
  <c r="F254" i="32"/>
  <c r="G254" i="32"/>
  <c r="C255" i="32"/>
  <c r="D255" i="32"/>
  <c r="E255" i="32"/>
  <c r="F255" i="32"/>
  <c r="G255" i="32"/>
  <c r="C256" i="32"/>
  <c r="D256" i="32"/>
  <c r="E256" i="32"/>
  <c r="F256" i="32"/>
  <c r="G256" i="32"/>
  <c r="C257" i="32"/>
  <c r="D257" i="32"/>
  <c r="E257" i="32"/>
  <c r="F257" i="32"/>
  <c r="G257" i="32"/>
  <c r="C258" i="32"/>
  <c r="D258" i="32"/>
  <c r="E258" i="32"/>
  <c r="F258" i="32"/>
  <c r="G258" i="32"/>
  <c r="C259" i="32"/>
  <c r="D259" i="32"/>
  <c r="E259" i="32"/>
  <c r="F259" i="32"/>
  <c r="G259" i="32"/>
  <c r="C260" i="32"/>
  <c r="D260" i="32"/>
  <c r="E260" i="32"/>
  <c r="F260" i="32"/>
  <c r="G260" i="32"/>
  <c r="C261" i="32"/>
  <c r="D261" i="32"/>
  <c r="E261" i="32"/>
  <c r="F261" i="32"/>
  <c r="G261" i="32"/>
  <c r="C262" i="32"/>
  <c r="D262" i="32"/>
  <c r="E262" i="32"/>
  <c r="F262" i="32"/>
  <c r="G262" i="32"/>
  <c r="C263" i="32"/>
  <c r="D263" i="32"/>
  <c r="E263" i="32"/>
  <c r="F263" i="32"/>
  <c r="G263" i="32"/>
  <c r="C264" i="32"/>
  <c r="D264" i="32"/>
  <c r="E264" i="32"/>
  <c r="F264" i="32"/>
  <c r="G264" i="32"/>
  <c r="C265" i="32"/>
  <c r="D265" i="32"/>
  <c r="E265" i="32"/>
  <c r="F265" i="32"/>
  <c r="G265" i="32"/>
  <c r="C266" i="32"/>
  <c r="D266" i="32"/>
  <c r="E266" i="32"/>
  <c r="F266" i="32"/>
  <c r="G266" i="32"/>
  <c r="C267" i="32"/>
  <c r="D267" i="32"/>
  <c r="E267" i="32"/>
  <c r="F267" i="32"/>
  <c r="G267" i="32"/>
  <c r="C268" i="32"/>
  <c r="D268" i="32"/>
  <c r="E268" i="32"/>
  <c r="C269" i="32"/>
  <c r="D269" i="32"/>
  <c r="E269" i="32"/>
  <c r="F269" i="32"/>
  <c r="G269" i="32"/>
  <c r="C270" i="32"/>
  <c r="D270" i="32"/>
  <c r="E270" i="32"/>
  <c r="F270" i="32"/>
  <c r="G270" i="32"/>
  <c r="C271" i="32"/>
  <c r="D271" i="32"/>
  <c r="E271" i="32"/>
  <c r="F271" i="32"/>
  <c r="G271" i="32"/>
  <c r="C272" i="32"/>
  <c r="D272" i="32"/>
  <c r="E272" i="32"/>
  <c r="F272" i="32"/>
  <c r="G272" i="32"/>
  <c r="C273" i="32"/>
  <c r="D273" i="32"/>
  <c r="E273" i="32"/>
  <c r="F273" i="32"/>
  <c r="G273" i="32"/>
  <c r="C274" i="32"/>
  <c r="D274" i="32"/>
  <c r="E274" i="32"/>
  <c r="F274" i="32"/>
  <c r="G274" i="32"/>
  <c r="C275" i="32"/>
  <c r="D275" i="32"/>
  <c r="E275" i="32"/>
  <c r="F275" i="32"/>
  <c r="G275" i="32"/>
  <c r="C276" i="32"/>
  <c r="D276" i="32"/>
  <c r="E276" i="32"/>
  <c r="F276" i="32"/>
  <c r="G276" i="32"/>
  <c r="C277" i="32"/>
  <c r="D277" i="32"/>
  <c r="E277" i="32"/>
  <c r="F277" i="32"/>
  <c r="G277" i="32"/>
  <c r="C278" i="32"/>
  <c r="D278" i="32"/>
  <c r="E278" i="32"/>
  <c r="C279" i="32"/>
  <c r="D279" i="32"/>
  <c r="E279" i="32"/>
  <c r="F279" i="32"/>
  <c r="G279" i="32"/>
  <c r="C280" i="32"/>
  <c r="D280" i="32"/>
  <c r="E280" i="32"/>
  <c r="F280" i="32"/>
  <c r="G280" i="32"/>
  <c r="C281" i="32"/>
  <c r="D281" i="32"/>
  <c r="E281" i="32"/>
  <c r="F281" i="32"/>
  <c r="G281" i="32"/>
  <c r="C282" i="32"/>
  <c r="D282" i="32"/>
  <c r="E282" i="32"/>
  <c r="F282" i="32"/>
  <c r="G282" i="32"/>
  <c r="C283" i="32"/>
  <c r="D283" i="32"/>
  <c r="E283" i="32"/>
  <c r="F283" i="32"/>
  <c r="G283" i="32"/>
  <c r="C284" i="32"/>
  <c r="D284" i="32"/>
  <c r="E284" i="32"/>
  <c r="F284" i="32"/>
  <c r="G284" i="32"/>
  <c r="C285" i="32"/>
  <c r="D285" i="32"/>
  <c r="E285" i="32"/>
  <c r="F285" i="32"/>
  <c r="G285" i="32"/>
  <c r="C286" i="32"/>
  <c r="D286" i="32"/>
  <c r="E286" i="32"/>
  <c r="F286" i="32"/>
  <c r="G286" i="32"/>
  <c r="C287" i="32"/>
  <c r="D287" i="32"/>
  <c r="E287" i="32"/>
  <c r="F287" i="32"/>
  <c r="G287" i="32"/>
  <c r="C288" i="32"/>
  <c r="D288" i="32"/>
  <c r="E288" i="32"/>
  <c r="F288" i="32"/>
  <c r="G288" i="32"/>
  <c r="C289" i="32"/>
  <c r="D289" i="32"/>
  <c r="E289" i="32"/>
  <c r="F289" i="32"/>
  <c r="G289" i="32"/>
  <c r="C290" i="32"/>
  <c r="D290" i="32"/>
  <c r="E290" i="32"/>
  <c r="F290" i="32"/>
  <c r="G290" i="32"/>
  <c r="C291" i="32"/>
  <c r="D291" i="32"/>
  <c r="E291" i="32"/>
  <c r="F291" i="32"/>
  <c r="G291" i="32"/>
  <c r="C292" i="32"/>
  <c r="D292" i="32"/>
  <c r="E292" i="32"/>
  <c r="F292" i="32"/>
  <c r="G292" i="32"/>
  <c r="C293" i="32"/>
  <c r="D293" i="32"/>
  <c r="E293" i="32"/>
  <c r="F293" i="32"/>
  <c r="G293" i="32"/>
  <c r="C294" i="32"/>
  <c r="D294" i="32"/>
  <c r="E294" i="32"/>
  <c r="F294" i="32"/>
  <c r="G294" i="32"/>
  <c r="C295" i="32"/>
  <c r="D295" i="32"/>
  <c r="E295" i="32"/>
  <c r="F295" i="32"/>
  <c r="G295" i="32"/>
  <c r="C296" i="32"/>
  <c r="D296" i="32"/>
  <c r="E296" i="32"/>
  <c r="F296" i="32"/>
  <c r="G296" i="32"/>
  <c r="C297" i="32"/>
  <c r="D297" i="32"/>
  <c r="E297" i="32"/>
  <c r="F297" i="32"/>
  <c r="G297" i="32"/>
  <c r="C298" i="32"/>
  <c r="D298" i="32"/>
  <c r="E298" i="32"/>
  <c r="F298" i="32"/>
  <c r="G298" i="32"/>
  <c r="C299" i="32"/>
  <c r="D299" i="32"/>
  <c r="E299" i="32"/>
  <c r="F299" i="32"/>
  <c r="G299" i="32"/>
  <c r="C300" i="32"/>
  <c r="D300" i="32"/>
  <c r="E300" i="32"/>
  <c r="F300" i="32"/>
  <c r="G300" i="32"/>
  <c r="C301" i="32"/>
  <c r="D301" i="32"/>
  <c r="E301" i="32"/>
  <c r="F301" i="32"/>
  <c r="G301" i="32"/>
  <c r="C302" i="32"/>
  <c r="D302" i="32"/>
  <c r="E302" i="32"/>
  <c r="F302" i="32"/>
  <c r="G302" i="32"/>
  <c r="C303" i="32"/>
  <c r="D303" i="32"/>
  <c r="E303" i="32"/>
  <c r="F303" i="32"/>
  <c r="G303" i="32"/>
  <c r="C304" i="32"/>
  <c r="D304" i="32"/>
  <c r="E304" i="32"/>
  <c r="F304" i="32"/>
  <c r="G304" i="32"/>
  <c r="C305" i="32"/>
  <c r="D305" i="32"/>
  <c r="E305" i="32"/>
  <c r="F305" i="32"/>
  <c r="G305" i="32"/>
  <c r="C306" i="32"/>
  <c r="D306" i="32"/>
  <c r="E306" i="32"/>
  <c r="F306" i="32"/>
  <c r="G306" i="32"/>
  <c r="C307" i="32"/>
  <c r="D307" i="32"/>
  <c r="E307" i="32"/>
  <c r="F307" i="32"/>
  <c r="G307" i="32"/>
  <c r="C308" i="32"/>
  <c r="D308" i="32"/>
  <c r="E308" i="32"/>
  <c r="F308" i="32"/>
  <c r="G308" i="32"/>
  <c r="C309" i="32"/>
  <c r="D309" i="32"/>
  <c r="E309" i="32"/>
  <c r="F309" i="32"/>
  <c r="G309" i="32"/>
  <c r="C310" i="32"/>
  <c r="D310" i="32"/>
  <c r="E310" i="32"/>
  <c r="C311" i="32"/>
  <c r="D311" i="32"/>
  <c r="E311" i="32"/>
  <c r="F311" i="32"/>
  <c r="G311" i="32"/>
  <c r="C312" i="32"/>
  <c r="D312" i="32"/>
  <c r="E312" i="32"/>
  <c r="F312" i="32"/>
  <c r="G312" i="32"/>
  <c r="C313" i="32"/>
  <c r="D313" i="32"/>
  <c r="E313" i="32"/>
  <c r="F313" i="32"/>
  <c r="G313" i="32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R8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R11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Z14" i="19"/>
  <c r="AA14" i="19"/>
  <c r="AB14" i="19"/>
  <c r="AC14" i="19"/>
  <c r="AD14" i="19"/>
  <c r="AE14" i="19"/>
  <c r="AF14" i="19"/>
  <c r="AG14" i="19"/>
  <c r="AH14" i="19"/>
  <c r="AI14" i="19"/>
  <c r="AJ14" i="19"/>
  <c r="AK14" i="19"/>
  <c r="AL14" i="19"/>
  <c r="AM14" i="19"/>
  <c r="AN14" i="19"/>
  <c r="AO14" i="19"/>
  <c r="AP14" i="19"/>
  <c r="AQ14" i="19"/>
  <c r="AR14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AP15" i="19"/>
  <c r="AQ15" i="19"/>
  <c r="AR15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R16" i="19"/>
  <c r="Z17" i="19"/>
  <c r="AA17" i="19"/>
  <c r="AB17" i="19"/>
  <c r="AC17" i="19"/>
  <c r="AD17" i="19"/>
  <c r="AE17" i="19"/>
  <c r="AF17" i="19"/>
  <c r="AG17" i="19"/>
  <c r="AH17" i="19"/>
  <c r="AI17" i="19"/>
  <c r="AJ17" i="19"/>
  <c r="AK17" i="19"/>
  <c r="AL17" i="19"/>
  <c r="AM17" i="19"/>
  <c r="AN17" i="19"/>
  <c r="AO17" i="19"/>
  <c r="AP17" i="19"/>
  <c r="AQ17" i="19"/>
  <c r="AR17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R18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R19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AP20" i="19"/>
  <c r="AQ20" i="19"/>
  <c r="AR20" i="19"/>
  <c r="Z21" i="19"/>
  <c r="AA21" i="19"/>
  <c r="AB21" i="19"/>
  <c r="AC21" i="19"/>
  <c r="AD21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Q21" i="19"/>
  <c r="AR21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Q22" i="19"/>
  <c r="AR22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Q23" i="19"/>
  <c r="AR23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Q25" i="19"/>
  <c r="AR25" i="19"/>
  <c r="Z26" i="19"/>
  <c r="AA26" i="19"/>
  <c r="AB26" i="19"/>
  <c r="AC26" i="19"/>
  <c r="AD26" i="19"/>
  <c r="AE26" i="19"/>
  <c r="AF26" i="19"/>
  <c r="AG26" i="19"/>
  <c r="AH26" i="19"/>
  <c r="AI26" i="19"/>
  <c r="AJ26" i="19"/>
  <c r="AK26" i="19"/>
  <c r="AL26" i="19"/>
  <c r="AM26" i="19"/>
  <c r="AN26" i="19"/>
  <c r="AO26" i="19"/>
  <c r="AP26" i="19"/>
  <c r="AQ26" i="19"/>
  <c r="AR26" i="19"/>
  <c r="Z27" i="19"/>
  <c r="AA27" i="19"/>
  <c r="AB27" i="19"/>
  <c r="AC27" i="19"/>
  <c r="AD27" i="19"/>
  <c r="AE27" i="19"/>
  <c r="AF27" i="19"/>
  <c r="AG27" i="19"/>
  <c r="AH27" i="19"/>
  <c r="AI27" i="19"/>
  <c r="AJ27" i="19"/>
  <c r="AK27" i="19"/>
  <c r="AL27" i="19"/>
  <c r="AM27" i="19"/>
  <c r="AN27" i="19"/>
  <c r="AO27" i="19"/>
  <c r="AP27" i="19"/>
  <c r="AQ27" i="19"/>
  <c r="AR27" i="19"/>
  <c r="Z28" i="19"/>
  <c r="AA28" i="19"/>
  <c r="AB28" i="19"/>
  <c r="AC28" i="19"/>
  <c r="AD28" i="19"/>
  <c r="AE28" i="19"/>
  <c r="AF28" i="19"/>
  <c r="AG28" i="19"/>
  <c r="AH28" i="19"/>
  <c r="AI28" i="19"/>
  <c r="AJ28" i="19"/>
  <c r="AK28" i="19"/>
  <c r="AL28" i="19"/>
  <c r="AM28" i="19"/>
  <c r="AN28" i="19"/>
  <c r="AO28" i="19"/>
  <c r="AP28" i="19"/>
  <c r="AQ28" i="19"/>
  <c r="AR28" i="19"/>
  <c r="Z29" i="19"/>
  <c r="AA29" i="19"/>
  <c r="AB29" i="19"/>
  <c r="AC29" i="19"/>
  <c r="AD29" i="19"/>
  <c r="AE29" i="19"/>
  <c r="AF29" i="19"/>
  <c r="AG29" i="19"/>
  <c r="AH29" i="19"/>
  <c r="AI29" i="19"/>
  <c r="AJ29" i="19"/>
  <c r="AK29" i="19"/>
  <c r="AL29" i="19"/>
  <c r="AM29" i="19"/>
  <c r="AN29" i="19"/>
  <c r="AO29" i="19"/>
  <c r="AP29" i="19"/>
  <c r="AQ29" i="19"/>
  <c r="AR29" i="19"/>
  <c r="Z30" i="19"/>
  <c r="AA30" i="19"/>
  <c r="AB30" i="19"/>
  <c r="AC30" i="19"/>
  <c r="AD30" i="19"/>
  <c r="AE30" i="19"/>
  <c r="AF30" i="19"/>
  <c r="AG30" i="19"/>
  <c r="AH30" i="19"/>
  <c r="AI30" i="19"/>
  <c r="AJ30" i="19"/>
  <c r="AK30" i="19"/>
  <c r="AL30" i="19"/>
  <c r="AM30" i="19"/>
  <c r="AN30" i="19"/>
  <c r="AO30" i="19"/>
  <c r="AP30" i="19"/>
  <c r="AQ30" i="19"/>
  <c r="AR30" i="19"/>
  <c r="Z31" i="19"/>
  <c r="AA31" i="19"/>
  <c r="AB31" i="19"/>
  <c r="AC31" i="19"/>
  <c r="AD31" i="19"/>
  <c r="AE31" i="19"/>
  <c r="AF31" i="19"/>
  <c r="AG31" i="19"/>
  <c r="AH31" i="19"/>
  <c r="AI31" i="19"/>
  <c r="AJ31" i="19"/>
  <c r="AK31" i="19"/>
  <c r="AL31" i="19"/>
  <c r="AM31" i="19"/>
  <c r="AN31" i="19"/>
  <c r="AO31" i="19"/>
  <c r="AP31" i="19"/>
  <c r="AQ31" i="19"/>
  <c r="AR31" i="19"/>
  <c r="Z32" i="19"/>
  <c r="AA32" i="19"/>
  <c r="AB32" i="19"/>
  <c r="AC32" i="19"/>
  <c r="AD32" i="19"/>
  <c r="AE32" i="19"/>
  <c r="AF32" i="19"/>
  <c r="AG32" i="19"/>
  <c r="AH32" i="19"/>
  <c r="AI32" i="19"/>
  <c r="AJ32" i="19"/>
  <c r="AK32" i="19"/>
  <c r="AL32" i="19"/>
  <c r="AM32" i="19"/>
  <c r="AN32" i="19"/>
  <c r="AO32" i="19"/>
  <c r="AP32" i="19"/>
  <c r="AQ32" i="19"/>
  <c r="AR32" i="19"/>
  <c r="Z33" i="19"/>
  <c r="AA33" i="19"/>
  <c r="AB33" i="19"/>
  <c r="AC33" i="19"/>
  <c r="AD33" i="19"/>
  <c r="AE33" i="19"/>
  <c r="AF33" i="19"/>
  <c r="AG33" i="19"/>
  <c r="AH33" i="19"/>
  <c r="AI33" i="19"/>
  <c r="AJ33" i="19"/>
  <c r="AK33" i="19"/>
  <c r="AL33" i="19"/>
  <c r="AM33" i="19"/>
  <c r="AN33" i="19"/>
  <c r="AO33" i="19"/>
  <c r="AP33" i="19"/>
  <c r="AQ33" i="19"/>
  <c r="AR33" i="19"/>
  <c r="Z34" i="19"/>
  <c r="AA34" i="19"/>
  <c r="AB34" i="19"/>
  <c r="AC34" i="19"/>
  <c r="AD34" i="19"/>
  <c r="AE34" i="19"/>
  <c r="AF34" i="19"/>
  <c r="AG34" i="19"/>
  <c r="AH34" i="19"/>
  <c r="AI34" i="19"/>
  <c r="AJ34" i="19"/>
  <c r="AK34" i="19"/>
  <c r="AL34" i="19"/>
  <c r="AM34" i="19"/>
  <c r="AN34" i="19"/>
  <c r="AO34" i="19"/>
  <c r="AP34" i="19"/>
  <c r="AQ34" i="19"/>
  <c r="AR34" i="19"/>
  <c r="Z35" i="19"/>
  <c r="AA35" i="19"/>
  <c r="AB35" i="19"/>
  <c r="AC35" i="19"/>
  <c r="AD35" i="19"/>
  <c r="AE35" i="19"/>
  <c r="AF35" i="19"/>
  <c r="AG35" i="19"/>
  <c r="AH35" i="19"/>
  <c r="AI35" i="19"/>
  <c r="AJ35" i="19"/>
  <c r="AK35" i="19"/>
  <c r="AL35" i="19"/>
  <c r="AM35" i="19"/>
  <c r="AN35" i="19"/>
  <c r="AO35" i="19"/>
  <c r="AP35" i="19"/>
  <c r="AQ35" i="19"/>
  <c r="AR35" i="19"/>
  <c r="Z36" i="19"/>
  <c r="AA36" i="19"/>
  <c r="AB36" i="19"/>
  <c r="AC36" i="19"/>
  <c r="AD36" i="19"/>
  <c r="AE36" i="19"/>
  <c r="AF36" i="19"/>
  <c r="AG36" i="19"/>
  <c r="AH36" i="19"/>
  <c r="AI36" i="19"/>
  <c r="AJ36" i="19"/>
  <c r="AK36" i="19"/>
  <c r="AL36" i="19"/>
  <c r="AM36" i="19"/>
  <c r="AN36" i="19"/>
  <c r="AO36" i="19"/>
  <c r="AP36" i="19"/>
  <c r="AQ36" i="19"/>
  <c r="AR36" i="19"/>
  <c r="Z37" i="19"/>
  <c r="AA37" i="19"/>
  <c r="AB37" i="19"/>
  <c r="AC37" i="19"/>
  <c r="AD37" i="19"/>
  <c r="AE37" i="19"/>
  <c r="AF37" i="19"/>
  <c r="AG37" i="19"/>
  <c r="AH37" i="19"/>
  <c r="AI37" i="19"/>
  <c r="AJ37" i="19"/>
  <c r="AK37" i="19"/>
  <c r="AL37" i="19"/>
  <c r="AM37" i="19"/>
  <c r="AN37" i="19"/>
  <c r="AO37" i="19"/>
  <c r="AP37" i="19"/>
  <c r="AQ37" i="19"/>
  <c r="AR37" i="19"/>
  <c r="Z38" i="19"/>
  <c r="AA38" i="19"/>
  <c r="AB38" i="19"/>
  <c r="AC38" i="19"/>
  <c r="AD38" i="19"/>
  <c r="AE38" i="19"/>
  <c r="AF38" i="19"/>
  <c r="AG38" i="19"/>
  <c r="AH38" i="19"/>
  <c r="AI38" i="19"/>
  <c r="AJ38" i="19"/>
  <c r="AK38" i="19"/>
  <c r="AL38" i="19"/>
  <c r="AM38" i="19"/>
  <c r="AN38" i="19"/>
  <c r="AO38" i="19"/>
  <c r="AP38" i="19"/>
  <c r="AQ38" i="19"/>
  <c r="AR38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AR39" i="19"/>
  <c r="Z40" i="19"/>
  <c r="AA40" i="19"/>
  <c r="AB40" i="19"/>
  <c r="AC40" i="19"/>
  <c r="AD40" i="19"/>
  <c r="AE40" i="19"/>
  <c r="AF40" i="19"/>
  <c r="AG40" i="19"/>
  <c r="AH40" i="19"/>
  <c r="AI40" i="19"/>
  <c r="AJ40" i="19"/>
  <c r="AK40" i="19"/>
  <c r="AL40" i="19"/>
  <c r="AM40" i="19"/>
  <c r="AN40" i="19"/>
  <c r="AO40" i="19"/>
  <c r="AP40" i="19"/>
  <c r="AQ40" i="19"/>
  <c r="AR40" i="19"/>
  <c r="Z41" i="19"/>
  <c r="AA41" i="19"/>
  <c r="AB41" i="19"/>
  <c r="AC41" i="19"/>
  <c r="AD41" i="19"/>
  <c r="AE41" i="19"/>
  <c r="AF41" i="19"/>
  <c r="AG41" i="19"/>
  <c r="AH41" i="19"/>
  <c r="AI41" i="19"/>
  <c r="AJ41" i="19"/>
  <c r="AK41" i="19"/>
  <c r="AL41" i="19"/>
  <c r="AM41" i="19"/>
  <c r="AN41" i="19"/>
  <c r="AO41" i="19"/>
  <c r="AP41" i="19"/>
  <c r="AQ41" i="19"/>
  <c r="AR41" i="19"/>
  <c r="Z42" i="19"/>
  <c r="AA42" i="19"/>
  <c r="AB42" i="19"/>
  <c r="AC42" i="19"/>
  <c r="AD42" i="19"/>
  <c r="AE42" i="19"/>
  <c r="AF42" i="19"/>
  <c r="AG42" i="19"/>
  <c r="AH42" i="19"/>
  <c r="AI42" i="19"/>
  <c r="AJ42" i="19"/>
  <c r="AK42" i="19"/>
  <c r="AL42" i="19"/>
  <c r="AM42" i="19"/>
  <c r="AN42" i="19"/>
  <c r="AO42" i="19"/>
  <c r="AP42" i="19"/>
  <c r="AQ42" i="19"/>
  <c r="AR42" i="19"/>
  <c r="Z43" i="19"/>
  <c r="AA43" i="19"/>
  <c r="AB43" i="19"/>
  <c r="AC43" i="19"/>
  <c r="AD43" i="19"/>
  <c r="AE43" i="19"/>
  <c r="AF43" i="19"/>
  <c r="AG43" i="19"/>
  <c r="AH43" i="19"/>
  <c r="AI43" i="19"/>
  <c r="AJ43" i="19"/>
  <c r="AK43" i="19"/>
  <c r="AL43" i="19"/>
  <c r="AM43" i="19"/>
  <c r="AN43" i="19"/>
  <c r="AO43" i="19"/>
  <c r="AP43" i="19"/>
  <c r="AQ43" i="19"/>
  <c r="AR43" i="19"/>
  <c r="Z44" i="19"/>
  <c r="AA44" i="19"/>
  <c r="AB44" i="19"/>
  <c r="AC44" i="19"/>
  <c r="AD44" i="19"/>
  <c r="AE44" i="19"/>
  <c r="AF44" i="19"/>
  <c r="AG44" i="19"/>
  <c r="AH44" i="19"/>
  <c r="AI44" i="19"/>
  <c r="AJ44" i="19"/>
  <c r="AK44" i="19"/>
  <c r="AL44" i="19"/>
  <c r="AM44" i="19"/>
  <c r="AN44" i="19"/>
  <c r="AO44" i="19"/>
  <c r="AP44" i="19"/>
  <c r="AQ44" i="19"/>
  <c r="AR44" i="19"/>
  <c r="Z45" i="19"/>
  <c r="AA45" i="19"/>
  <c r="AB45" i="19"/>
  <c r="AC45" i="19"/>
  <c r="AD45" i="19"/>
  <c r="AE45" i="19"/>
  <c r="AF45" i="19"/>
  <c r="AG45" i="19"/>
  <c r="AH45" i="19"/>
  <c r="AI45" i="19"/>
  <c r="AJ45" i="19"/>
  <c r="AK45" i="19"/>
  <c r="AL45" i="19"/>
  <c r="AM45" i="19"/>
  <c r="AN45" i="19"/>
  <c r="AO45" i="19"/>
  <c r="AP45" i="19"/>
  <c r="AQ45" i="19"/>
  <c r="AR45" i="19"/>
  <c r="Z46" i="19"/>
  <c r="AA46" i="19"/>
  <c r="AB46" i="19"/>
  <c r="AC46" i="19"/>
  <c r="AD46" i="19"/>
  <c r="AE46" i="19"/>
  <c r="AF46" i="19"/>
  <c r="AG46" i="19"/>
  <c r="AH46" i="19"/>
  <c r="AI46" i="19"/>
  <c r="AJ46" i="19"/>
  <c r="AK46" i="19"/>
  <c r="AL46" i="19"/>
  <c r="AM46" i="19"/>
  <c r="AN46" i="19"/>
  <c r="AO46" i="19"/>
  <c r="AP46" i="19"/>
  <c r="AQ46" i="19"/>
  <c r="AR46" i="19"/>
  <c r="Z47" i="19"/>
  <c r="AA47" i="19"/>
  <c r="AB47" i="19"/>
  <c r="AC47" i="19"/>
  <c r="AD47" i="19"/>
  <c r="AE47" i="19"/>
  <c r="AF47" i="19"/>
  <c r="AG47" i="19"/>
  <c r="AH47" i="19"/>
  <c r="AI47" i="19"/>
  <c r="AJ47" i="19"/>
  <c r="AK47" i="19"/>
  <c r="AL47" i="19"/>
  <c r="AM47" i="19"/>
  <c r="AN47" i="19"/>
  <c r="AO47" i="19"/>
  <c r="AP47" i="19"/>
  <c r="AQ47" i="19"/>
  <c r="AR47" i="19"/>
  <c r="Z48" i="19"/>
  <c r="AA48" i="19"/>
  <c r="AB48" i="19"/>
  <c r="AC48" i="19"/>
  <c r="AD48" i="19"/>
  <c r="AE48" i="19"/>
  <c r="AF48" i="19"/>
  <c r="AG48" i="19"/>
  <c r="AH48" i="19"/>
  <c r="AI48" i="19"/>
  <c r="AJ48" i="19"/>
  <c r="AK48" i="19"/>
  <c r="AL48" i="19"/>
  <c r="AM48" i="19"/>
  <c r="AN48" i="19"/>
  <c r="AO48" i="19"/>
  <c r="AP48" i="19"/>
  <c r="AQ48" i="19"/>
  <c r="AR48" i="19"/>
  <c r="Z49" i="19"/>
  <c r="AA49" i="19"/>
  <c r="AB49" i="19"/>
  <c r="AC49" i="19"/>
  <c r="AD49" i="19"/>
  <c r="AE49" i="19"/>
  <c r="AF49" i="19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Z50" i="19"/>
  <c r="AA50" i="19"/>
  <c r="AB50" i="19"/>
  <c r="AC50" i="19"/>
  <c r="AD50" i="19"/>
  <c r="AE50" i="19"/>
  <c r="AF50" i="19"/>
  <c r="AG50" i="19"/>
  <c r="AH50" i="19"/>
  <c r="AI50" i="19"/>
  <c r="AJ50" i="19"/>
  <c r="AK50" i="19"/>
  <c r="AL50" i="19"/>
  <c r="AM50" i="19"/>
  <c r="AN50" i="19"/>
  <c r="AO50" i="19"/>
  <c r="AP50" i="19"/>
  <c r="AQ50" i="19"/>
  <c r="AR50" i="19"/>
  <c r="Z51" i="19"/>
  <c r="AA51" i="19"/>
  <c r="AB51" i="19"/>
  <c r="AC51" i="19"/>
  <c r="AD51" i="19"/>
  <c r="AE51" i="19"/>
  <c r="AF51" i="19"/>
  <c r="AG51" i="19"/>
  <c r="AH51" i="19"/>
  <c r="AI51" i="19"/>
  <c r="AJ51" i="19"/>
  <c r="AK51" i="19"/>
  <c r="AL51" i="19"/>
  <c r="AM51" i="19"/>
  <c r="AN51" i="19"/>
  <c r="AO51" i="19"/>
  <c r="AP51" i="19"/>
  <c r="AQ51" i="19"/>
  <c r="AR51" i="19"/>
  <c r="Z52" i="19"/>
  <c r="AA52" i="19"/>
  <c r="AB52" i="19"/>
  <c r="AC52" i="19"/>
  <c r="AD52" i="19"/>
  <c r="AE52" i="19"/>
  <c r="AF52" i="19"/>
  <c r="AG52" i="19"/>
  <c r="AH52" i="19"/>
  <c r="AI52" i="19"/>
  <c r="AJ52" i="19"/>
  <c r="AK52" i="19"/>
  <c r="AL52" i="19"/>
  <c r="AM52" i="19"/>
  <c r="AN52" i="19"/>
  <c r="AO52" i="19"/>
  <c r="AP52" i="19"/>
  <c r="AQ52" i="19"/>
  <c r="AR52" i="19"/>
  <c r="Z53" i="19"/>
  <c r="AA53" i="19"/>
  <c r="AB53" i="19"/>
  <c r="AC53" i="19"/>
  <c r="AD53" i="19"/>
  <c r="AE53" i="19"/>
  <c r="AF53" i="19"/>
  <c r="AG53" i="19"/>
  <c r="AH53" i="19"/>
  <c r="AI53" i="19"/>
  <c r="AJ53" i="19"/>
  <c r="AK53" i="19"/>
  <c r="AL53" i="19"/>
  <c r="AM53" i="19"/>
  <c r="AN53" i="19"/>
  <c r="AO53" i="19"/>
  <c r="AP53" i="19"/>
  <c r="AQ53" i="19"/>
  <c r="AR53" i="19"/>
  <c r="Z54" i="19"/>
  <c r="AA54" i="19"/>
  <c r="AB54" i="19"/>
  <c r="AC54" i="19"/>
  <c r="AD54" i="19"/>
  <c r="AE54" i="19"/>
  <c r="AF54" i="19"/>
  <c r="AG54" i="19"/>
  <c r="AH54" i="19"/>
  <c r="AI54" i="19"/>
  <c r="AJ54" i="19"/>
  <c r="AK54" i="19"/>
  <c r="AL54" i="19"/>
  <c r="AM54" i="19"/>
  <c r="AN54" i="19"/>
  <c r="AO54" i="19"/>
  <c r="AP54" i="19"/>
  <c r="AQ54" i="19"/>
  <c r="AR54" i="19"/>
  <c r="Z55" i="19"/>
  <c r="AA55" i="19"/>
  <c r="AB55" i="19"/>
  <c r="AC55" i="19"/>
  <c r="AD55" i="19"/>
  <c r="AE55" i="19"/>
  <c r="AF55" i="19"/>
  <c r="AG55" i="19"/>
  <c r="AH55" i="19"/>
  <c r="AI55" i="19"/>
  <c r="AJ55" i="19"/>
  <c r="AK55" i="19"/>
  <c r="AL55" i="19"/>
  <c r="AM55" i="19"/>
  <c r="AN55" i="19"/>
  <c r="AO55" i="19"/>
  <c r="AP55" i="19"/>
  <c r="AQ55" i="19"/>
  <c r="AR55" i="19"/>
  <c r="Z56" i="19"/>
  <c r="AA56" i="19"/>
  <c r="AB56" i="19"/>
  <c r="AC56" i="19"/>
  <c r="AD56" i="19"/>
  <c r="AE56" i="19"/>
  <c r="AF56" i="19"/>
  <c r="AG56" i="19"/>
  <c r="AH56" i="19"/>
  <c r="AI56" i="19"/>
  <c r="AJ56" i="19"/>
  <c r="AK56" i="19"/>
  <c r="AL56" i="19"/>
  <c r="AM56" i="19"/>
  <c r="AN56" i="19"/>
  <c r="AO56" i="19"/>
  <c r="AP56" i="19"/>
  <c r="AQ56" i="19"/>
  <c r="AR56" i="19"/>
  <c r="Z57" i="19"/>
  <c r="AA57" i="19"/>
  <c r="AB57" i="19"/>
  <c r="AC57" i="19"/>
  <c r="AD57" i="19"/>
  <c r="AE57" i="19"/>
  <c r="AF57" i="19"/>
  <c r="AG57" i="19"/>
  <c r="AH57" i="19"/>
  <c r="AI57" i="19"/>
  <c r="AJ57" i="19"/>
  <c r="AK57" i="19"/>
  <c r="AL57" i="19"/>
  <c r="AM57" i="19"/>
  <c r="AN57" i="19"/>
  <c r="AO57" i="19"/>
  <c r="AP57" i="19"/>
  <c r="AQ57" i="19"/>
  <c r="AR57" i="19"/>
  <c r="Z58" i="19"/>
  <c r="AA58" i="19"/>
  <c r="AB58" i="19"/>
  <c r="AC58" i="19"/>
  <c r="AD58" i="19"/>
  <c r="AE58" i="19"/>
  <c r="AF58" i="19"/>
  <c r="AG58" i="19"/>
  <c r="AH58" i="19"/>
  <c r="AI58" i="19"/>
  <c r="AJ58" i="19"/>
  <c r="AK58" i="19"/>
  <c r="AL58" i="19"/>
  <c r="AM58" i="19"/>
  <c r="AN58" i="19"/>
  <c r="AO58" i="19"/>
  <c r="AP58" i="19"/>
  <c r="AQ58" i="19"/>
  <c r="AR58" i="19"/>
  <c r="Z59" i="19"/>
  <c r="AA59" i="19"/>
  <c r="AB59" i="19"/>
  <c r="AC59" i="19"/>
  <c r="AD59" i="19"/>
  <c r="AE59" i="19"/>
  <c r="AF59" i="19"/>
  <c r="AG59" i="19"/>
  <c r="AH59" i="19"/>
  <c r="AI59" i="19"/>
  <c r="AJ59" i="19"/>
  <c r="AK59" i="19"/>
  <c r="AL59" i="19"/>
  <c r="AM59" i="19"/>
  <c r="AN59" i="19"/>
  <c r="AO59" i="19"/>
  <c r="AP59" i="19"/>
  <c r="AQ59" i="19"/>
  <c r="AR59" i="19"/>
  <c r="Z60" i="19"/>
  <c r="AA60" i="19"/>
  <c r="AB60" i="19"/>
  <c r="AC60" i="19"/>
  <c r="AD60" i="19"/>
  <c r="AE60" i="19"/>
  <c r="AF60" i="19"/>
  <c r="AG60" i="19"/>
  <c r="AH60" i="19"/>
  <c r="AI60" i="19"/>
  <c r="AJ60" i="19"/>
  <c r="AK60" i="19"/>
  <c r="AL60" i="19"/>
  <c r="AM60" i="19"/>
  <c r="AN60" i="19"/>
  <c r="AO60" i="19"/>
  <c r="AP60" i="19"/>
  <c r="AQ60" i="19"/>
  <c r="AR60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R61" i="19"/>
  <c r="Z62" i="19"/>
  <c r="AA62" i="19"/>
  <c r="AB62" i="19"/>
  <c r="AC62" i="19"/>
  <c r="AD62" i="19"/>
  <c r="AE62" i="19"/>
  <c r="AF62" i="19"/>
  <c r="AG62" i="19"/>
  <c r="AH62" i="19"/>
  <c r="AI62" i="19"/>
  <c r="AJ62" i="19"/>
  <c r="AK62" i="19"/>
  <c r="AL62" i="19"/>
  <c r="AM62" i="19"/>
  <c r="AN62" i="19"/>
  <c r="AO62" i="19"/>
  <c r="AP62" i="19"/>
  <c r="AQ62" i="19"/>
  <c r="AR62" i="19"/>
  <c r="Z63" i="19"/>
  <c r="AA63" i="19"/>
  <c r="AB63" i="19"/>
  <c r="AC63" i="19"/>
  <c r="AD63" i="19"/>
  <c r="AE63" i="19"/>
  <c r="AF63" i="19"/>
  <c r="AG63" i="19"/>
  <c r="AH63" i="19"/>
  <c r="AI63" i="19"/>
  <c r="AJ63" i="19"/>
  <c r="AK63" i="19"/>
  <c r="AL63" i="19"/>
  <c r="AM63" i="19"/>
  <c r="AN63" i="19"/>
  <c r="AO63" i="19"/>
  <c r="AP63" i="19"/>
  <c r="AQ63" i="19"/>
  <c r="AR63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R64" i="19"/>
  <c r="Z65" i="19"/>
  <c r="AA65" i="19"/>
  <c r="AB65" i="19"/>
  <c r="AC65" i="19"/>
  <c r="AD65" i="19"/>
  <c r="AE65" i="19"/>
  <c r="AF65" i="19"/>
  <c r="AG65" i="19"/>
  <c r="AH65" i="19"/>
  <c r="AI65" i="19"/>
  <c r="AJ65" i="19"/>
  <c r="AK65" i="19"/>
  <c r="AL65" i="19"/>
  <c r="AM65" i="19"/>
  <c r="AN65" i="19"/>
  <c r="AO65" i="19"/>
  <c r="AP65" i="19"/>
  <c r="AQ65" i="19"/>
  <c r="AR65" i="19"/>
  <c r="Z66" i="19"/>
  <c r="AA66" i="19"/>
  <c r="AB66" i="19"/>
  <c r="AC66" i="19"/>
  <c r="AD66" i="19"/>
  <c r="AE66" i="19"/>
  <c r="AF66" i="19"/>
  <c r="AG66" i="19"/>
  <c r="AH66" i="19"/>
  <c r="AI66" i="19"/>
  <c r="AJ66" i="19"/>
  <c r="AK66" i="19"/>
  <c r="AL66" i="19"/>
  <c r="AM66" i="19"/>
  <c r="AN66" i="19"/>
  <c r="AO66" i="19"/>
  <c r="AP66" i="19"/>
  <c r="AQ66" i="19"/>
  <c r="AR66" i="19"/>
  <c r="Z67" i="19"/>
  <c r="AA67" i="19"/>
  <c r="AB67" i="19"/>
  <c r="AC67" i="19"/>
  <c r="AD67" i="19"/>
  <c r="AE67" i="19"/>
  <c r="AF67" i="19"/>
  <c r="AG67" i="19"/>
  <c r="AH67" i="19"/>
  <c r="AI67" i="19"/>
  <c r="AJ67" i="19"/>
  <c r="AK67" i="19"/>
  <c r="AL67" i="19"/>
  <c r="AM67" i="19"/>
  <c r="AN67" i="19"/>
  <c r="AO67" i="19"/>
  <c r="AP67" i="19"/>
  <c r="AQ67" i="19"/>
  <c r="AR67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R69" i="19"/>
  <c r="Z70" i="19"/>
  <c r="AA70" i="19"/>
  <c r="AB70" i="19"/>
  <c r="AC70" i="19"/>
  <c r="AD70" i="19"/>
  <c r="AE70" i="19"/>
  <c r="AF70" i="19"/>
  <c r="AG70" i="19"/>
  <c r="AH70" i="19"/>
  <c r="AI70" i="19"/>
  <c r="AJ70" i="19"/>
  <c r="AK70" i="19"/>
  <c r="AL70" i="19"/>
  <c r="AM70" i="19"/>
  <c r="AN70" i="19"/>
  <c r="AO70" i="19"/>
  <c r="AP70" i="19"/>
  <c r="AQ70" i="19"/>
  <c r="AR70" i="19"/>
  <c r="Z71" i="19"/>
  <c r="AA71" i="19"/>
  <c r="AB71" i="19"/>
  <c r="AC71" i="19"/>
  <c r="AD71" i="19"/>
  <c r="AE71" i="19"/>
  <c r="AF71" i="19"/>
  <c r="AG71" i="19"/>
  <c r="AH71" i="19"/>
  <c r="AI71" i="19"/>
  <c r="AJ71" i="19"/>
  <c r="AK71" i="19"/>
  <c r="AL71" i="19"/>
  <c r="AM71" i="19"/>
  <c r="AN71" i="19"/>
  <c r="AO71" i="19"/>
  <c r="AP71" i="19"/>
  <c r="AQ71" i="19"/>
  <c r="AR71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R72" i="19"/>
  <c r="Z73" i="19"/>
  <c r="AA73" i="19"/>
  <c r="AB73" i="19"/>
  <c r="AC73" i="19"/>
  <c r="AD73" i="19"/>
  <c r="AE73" i="19"/>
  <c r="AF73" i="19"/>
  <c r="AG73" i="19"/>
  <c r="AH73" i="19"/>
  <c r="AI73" i="19"/>
  <c r="AJ73" i="19"/>
  <c r="AK73" i="19"/>
  <c r="AL73" i="19"/>
  <c r="AM73" i="19"/>
  <c r="AN73" i="19"/>
  <c r="AO73" i="19"/>
  <c r="AP73" i="19"/>
  <c r="AQ73" i="19"/>
  <c r="AR73" i="19"/>
  <c r="Z74" i="19"/>
  <c r="AA74" i="19"/>
  <c r="AB74" i="19"/>
  <c r="AC74" i="19"/>
  <c r="AD74" i="19"/>
  <c r="AE74" i="19"/>
  <c r="AF74" i="19"/>
  <c r="AG74" i="19"/>
  <c r="AH74" i="19"/>
  <c r="AI74" i="19"/>
  <c r="AJ74" i="19"/>
  <c r="AK74" i="19"/>
  <c r="AL74" i="19"/>
  <c r="AM74" i="19"/>
  <c r="AN74" i="19"/>
  <c r="AO74" i="19"/>
  <c r="AP74" i="19"/>
  <c r="AQ74" i="19"/>
  <c r="AR74" i="19"/>
  <c r="Z75" i="19"/>
  <c r="AA75" i="19"/>
  <c r="AB75" i="19"/>
  <c r="AC75" i="19"/>
  <c r="AD75" i="19"/>
  <c r="AE75" i="19"/>
  <c r="AF75" i="19"/>
  <c r="AG75" i="19"/>
  <c r="AH75" i="19"/>
  <c r="AI75" i="19"/>
  <c r="AJ75" i="19"/>
  <c r="AK75" i="19"/>
  <c r="AL75" i="19"/>
  <c r="AM75" i="19"/>
  <c r="AN75" i="19"/>
  <c r="AO75" i="19"/>
  <c r="AP75" i="19"/>
  <c r="AQ75" i="19"/>
  <c r="AR75" i="19"/>
  <c r="Z76" i="19"/>
  <c r="AA76" i="19"/>
  <c r="AB76" i="19"/>
  <c r="AC76" i="19"/>
  <c r="AD76" i="19"/>
  <c r="AE76" i="19"/>
  <c r="AF76" i="19"/>
  <c r="AG76" i="19"/>
  <c r="AH76" i="19"/>
  <c r="AI76" i="19"/>
  <c r="AJ76" i="19"/>
  <c r="AK76" i="19"/>
  <c r="AL76" i="19"/>
  <c r="AM76" i="19"/>
  <c r="AN76" i="19"/>
  <c r="AO76" i="19"/>
  <c r="AP76" i="19"/>
  <c r="AQ76" i="19"/>
  <c r="AR76" i="19"/>
  <c r="Z77" i="19"/>
  <c r="AA77" i="19"/>
  <c r="AB77" i="19"/>
  <c r="AC77" i="19"/>
  <c r="AD77" i="19"/>
  <c r="AE77" i="19"/>
  <c r="AF77" i="19"/>
  <c r="AG77" i="19"/>
  <c r="AH77" i="19"/>
  <c r="AI77" i="19"/>
  <c r="AJ77" i="19"/>
  <c r="AK77" i="19"/>
  <c r="AL77" i="19"/>
  <c r="AM77" i="19"/>
  <c r="AN77" i="19"/>
  <c r="AO77" i="19"/>
  <c r="AP77" i="19"/>
  <c r="AQ77" i="19"/>
  <c r="AR77" i="19"/>
  <c r="Z78" i="19"/>
  <c r="AA78" i="19"/>
  <c r="AB78" i="19"/>
  <c r="AC78" i="19"/>
  <c r="AD78" i="19"/>
  <c r="AE78" i="19"/>
  <c r="AF78" i="19"/>
  <c r="AG78" i="19"/>
  <c r="AH78" i="19"/>
  <c r="AI78" i="19"/>
  <c r="AJ78" i="19"/>
  <c r="AK78" i="19"/>
  <c r="AL78" i="19"/>
  <c r="AM78" i="19"/>
  <c r="AN78" i="19"/>
  <c r="AO78" i="19"/>
  <c r="AP78" i="19"/>
  <c r="AQ78" i="19"/>
  <c r="AR78" i="19"/>
  <c r="Z79" i="19"/>
  <c r="AA79" i="19"/>
  <c r="AB79" i="19"/>
  <c r="AC79" i="19"/>
  <c r="AD79" i="19"/>
  <c r="AE79" i="19"/>
  <c r="AF79" i="19"/>
  <c r="AG79" i="19"/>
  <c r="AH79" i="19"/>
  <c r="AI79" i="19"/>
  <c r="AJ79" i="19"/>
  <c r="AK79" i="19"/>
  <c r="AL79" i="19"/>
  <c r="AM79" i="19"/>
  <c r="AN79" i="19"/>
  <c r="AO79" i="19"/>
  <c r="AP79" i="19"/>
  <c r="AQ79" i="19"/>
  <c r="AR79" i="19"/>
  <c r="Z80" i="19"/>
  <c r="AA80" i="19"/>
  <c r="AB80" i="19"/>
  <c r="AC80" i="19"/>
  <c r="AD80" i="19"/>
  <c r="AE80" i="19"/>
  <c r="AF80" i="19"/>
  <c r="AG80" i="19"/>
  <c r="AH80" i="19"/>
  <c r="AI80" i="19"/>
  <c r="AJ80" i="19"/>
  <c r="AK80" i="19"/>
  <c r="AL80" i="19"/>
  <c r="AM80" i="19"/>
  <c r="AN80" i="19"/>
  <c r="AO80" i="19"/>
  <c r="AP80" i="19"/>
  <c r="AQ80" i="19"/>
  <c r="AR80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Z82" i="19"/>
  <c r="AA82" i="19"/>
  <c r="AB82" i="19"/>
  <c r="AC82" i="19"/>
  <c r="AD82" i="19"/>
  <c r="AE82" i="19"/>
  <c r="AF82" i="19"/>
  <c r="AG82" i="19"/>
  <c r="AH82" i="19"/>
  <c r="AI82" i="19"/>
  <c r="AJ82" i="19"/>
  <c r="AK82" i="19"/>
  <c r="AL82" i="19"/>
  <c r="AM82" i="19"/>
  <c r="AN82" i="19"/>
  <c r="AO82" i="19"/>
  <c r="AP82" i="19"/>
  <c r="AQ82" i="19"/>
  <c r="AR82" i="19"/>
  <c r="Z83" i="19"/>
  <c r="AA83" i="19"/>
  <c r="AB83" i="19"/>
  <c r="AC83" i="19"/>
  <c r="AD83" i="19"/>
  <c r="AE83" i="19"/>
  <c r="AF83" i="19"/>
  <c r="AG83" i="19"/>
  <c r="AH83" i="19"/>
  <c r="AI83" i="19"/>
  <c r="AJ83" i="19"/>
  <c r="AK83" i="19"/>
  <c r="AL83" i="19"/>
  <c r="AM83" i="19"/>
  <c r="AN83" i="19"/>
  <c r="AO83" i="19"/>
  <c r="AP83" i="19"/>
  <c r="AQ83" i="19"/>
  <c r="AR83" i="19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Z85" i="19"/>
  <c r="AA85" i="19"/>
  <c r="AB85" i="19"/>
  <c r="AC85" i="19"/>
  <c r="AD85" i="19"/>
  <c r="AE85" i="19"/>
  <c r="AF85" i="19"/>
  <c r="AG85" i="19"/>
  <c r="AH85" i="19"/>
  <c r="AI85" i="19"/>
  <c r="AJ85" i="19"/>
  <c r="AK85" i="19"/>
  <c r="AL85" i="19"/>
  <c r="AM85" i="19"/>
  <c r="AN85" i="19"/>
  <c r="AO85" i="19"/>
  <c r="AP85" i="19"/>
  <c r="AQ85" i="19"/>
  <c r="AR85" i="19"/>
  <c r="Z86" i="19"/>
  <c r="AA86" i="19"/>
  <c r="AB86" i="19"/>
  <c r="AC86" i="19"/>
  <c r="AD86" i="19"/>
  <c r="AE86" i="19"/>
  <c r="AF86" i="19"/>
  <c r="AG86" i="19"/>
  <c r="AH86" i="19"/>
  <c r="AI86" i="19"/>
  <c r="AJ86" i="19"/>
  <c r="AK86" i="19"/>
  <c r="AL86" i="19"/>
  <c r="AM86" i="19"/>
  <c r="AN86" i="19"/>
  <c r="AO86" i="19"/>
  <c r="AP86" i="19"/>
  <c r="AQ86" i="19"/>
  <c r="AR86" i="19"/>
  <c r="Z87" i="19"/>
  <c r="AA87" i="19"/>
  <c r="AB87" i="19"/>
  <c r="AC87" i="19"/>
  <c r="AD87" i="19"/>
  <c r="AE87" i="19"/>
  <c r="AF87" i="19"/>
  <c r="AG87" i="19"/>
  <c r="AH87" i="19"/>
  <c r="AI87" i="19"/>
  <c r="AJ87" i="19"/>
  <c r="AK87" i="19"/>
  <c r="AL87" i="19"/>
  <c r="AM87" i="19"/>
  <c r="AN87" i="19"/>
  <c r="AO87" i="19"/>
  <c r="AP87" i="19"/>
  <c r="AQ87" i="19"/>
  <c r="AR87" i="19"/>
  <c r="Z88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R88" i="19"/>
  <c r="Z89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R89" i="19"/>
  <c r="Z90" i="19"/>
  <c r="AA90" i="19"/>
  <c r="AB90" i="19"/>
  <c r="AC90" i="19"/>
  <c r="AD90" i="19"/>
  <c r="AE90" i="19"/>
  <c r="AF90" i="19"/>
  <c r="AG90" i="19"/>
  <c r="AH90" i="19"/>
  <c r="AI90" i="19"/>
  <c r="AJ90" i="19"/>
  <c r="AK90" i="19"/>
  <c r="AL90" i="19"/>
  <c r="AM90" i="19"/>
  <c r="AN90" i="19"/>
  <c r="AO90" i="19"/>
  <c r="AP90" i="19"/>
  <c r="AQ90" i="19"/>
  <c r="AR90" i="19"/>
  <c r="Z91" i="19"/>
  <c r="AA91" i="19"/>
  <c r="AB91" i="19"/>
  <c r="AC91" i="19"/>
  <c r="AD91" i="19"/>
  <c r="AE91" i="19"/>
  <c r="AF91" i="19"/>
  <c r="AG91" i="19"/>
  <c r="AH91" i="19"/>
  <c r="AI91" i="19"/>
  <c r="AJ91" i="19"/>
  <c r="AK91" i="19"/>
  <c r="AL91" i="19"/>
  <c r="AM91" i="19"/>
  <c r="AN91" i="19"/>
  <c r="AO91" i="19"/>
  <c r="AP91" i="19"/>
  <c r="AQ91" i="19"/>
  <c r="AR91" i="19"/>
  <c r="Z92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R92" i="19"/>
  <c r="Z93" i="19"/>
  <c r="AA93" i="19"/>
  <c r="AB93" i="19"/>
  <c r="AC93" i="19"/>
  <c r="AD93" i="19"/>
  <c r="AE93" i="19"/>
  <c r="AF93" i="19"/>
  <c r="AG93" i="19"/>
  <c r="AH93" i="19"/>
  <c r="AI93" i="19"/>
  <c r="AJ93" i="19"/>
  <c r="AK93" i="19"/>
  <c r="AL93" i="19"/>
  <c r="AM93" i="19"/>
  <c r="AN93" i="19"/>
  <c r="AO93" i="19"/>
  <c r="AP93" i="19"/>
  <c r="AQ93" i="19"/>
  <c r="AR93" i="19"/>
  <c r="Z94" i="19"/>
  <c r="AA94" i="19"/>
  <c r="AB94" i="19"/>
  <c r="AC94" i="19"/>
  <c r="AD94" i="19"/>
  <c r="AE94" i="19"/>
  <c r="AF94" i="19"/>
  <c r="AG94" i="19"/>
  <c r="AH94" i="19"/>
  <c r="AI94" i="19"/>
  <c r="AJ94" i="19"/>
  <c r="AK94" i="19"/>
  <c r="AL94" i="19"/>
  <c r="AM94" i="19"/>
  <c r="AN94" i="19"/>
  <c r="AO94" i="19"/>
  <c r="AP94" i="19"/>
  <c r="AQ94" i="19"/>
  <c r="AR94" i="19"/>
  <c r="Z95" i="19"/>
  <c r="AA95" i="19"/>
  <c r="AB95" i="19"/>
  <c r="AC95" i="19"/>
  <c r="AD95" i="19"/>
  <c r="AE95" i="19"/>
  <c r="AF95" i="19"/>
  <c r="AG95" i="19"/>
  <c r="AH95" i="19"/>
  <c r="AI95" i="19"/>
  <c r="AJ95" i="19"/>
  <c r="AK95" i="19"/>
  <c r="AL95" i="19"/>
  <c r="AM95" i="19"/>
  <c r="AN95" i="19"/>
  <c r="AO95" i="19"/>
  <c r="AP95" i="19"/>
  <c r="AQ95" i="19"/>
  <c r="AR95" i="19"/>
  <c r="Z96" i="19"/>
  <c r="AA96" i="19"/>
  <c r="AB96" i="19"/>
  <c r="AC96" i="19"/>
  <c r="AD96" i="19"/>
  <c r="AE96" i="19"/>
  <c r="AF96" i="19"/>
  <c r="AG96" i="19"/>
  <c r="AH96" i="19"/>
  <c r="AI96" i="19"/>
  <c r="AJ96" i="19"/>
  <c r="AK96" i="19"/>
  <c r="AL96" i="19"/>
  <c r="AM96" i="19"/>
  <c r="AN96" i="19"/>
  <c r="AO96" i="19"/>
  <c r="AP96" i="19"/>
  <c r="AQ96" i="19"/>
  <c r="AR96" i="19"/>
  <c r="Z97" i="19"/>
  <c r="AA97" i="19"/>
  <c r="AB97" i="19"/>
  <c r="AC97" i="19"/>
  <c r="AD97" i="19"/>
  <c r="AE97" i="19"/>
  <c r="AF97" i="19"/>
  <c r="AG97" i="19"/>
  <c r="AH97" i="19"/>
  <c r="AI97" i="19"/>
  <c r="AJ97" i="19"/>
  <c r="AK97" i="19"/>
  <c r="AL97" i="19"/>
  <c r="AM97" i="19"/>
  <c r="AN97" i="19"/>
  <c r="AO97" i="19"/>
  <c r="AP97" i="19"/>
  <c r="AQ97" i="19"/>
  <c r="AR97" i="19"/>
  <c r="Z98" i="19"/>
  <c r="AA98" i="19"/>
  <c r="AB98" i="19"/>
  <c r="AC98" i="19"/>
  <c r="AD98" i="19"/>
  <c r="AE98" i="19"/>
  <c r="AF98" i="19"/>
  <c r="AG98" i="19"/>
  <c r="AH98" i="19"/>
  <c r="AI98" i="19"/>
  <c r="AJ98" i="19"/>
  <c r="AK98" i="19"/>
  <c r="AL98" i="19"/>
  <c r="AM98" i="19"/>
  <c r="AN98" i="19"/>
  <c r="AO98" i="19"/>
  <c r="AP98" i="19"/>
  <c r="AQ98" i="19"/>
  <c r="AR98" i="19"/>
  <c r="Z99" i="19"/>
  <c r="AA99" i="19"/>
  <c r="AB99" i="19"/>
  <c r="AC99" i="19"/>
  <c r="AD99" i="19"/>
  <c r="AE99" i="19"/>
  <c r="AF99" i="19"/>
  <c r="AG99" i="19"/>
  <c r="AH99" i="19"/>
  <c r="AI99" i="19"/>
  <c r="AJ99" i="19"/>
  <c r="AK99" i="19"/>
  <c r="AL99" i="19"/>
  <c r="AM99" i="19"/>
  <c r="AN99" i="19"/>
  <c r="AO99" i="19"/>
  <c r="AP99" i="19"/>
  <c r="AQ99" i="19"/>
  <c r="AR99" i="19"/>
  <c r="Z100" i="19"/>
  <c r="AA100" i="19"/>
  <c r="AB100" i="19"/>
  <c r="AC100" i="19"/>
  <c r="AD100" i="19"/>
  <c r="AE100" i="19"/>
  <c r="AF100" i="19"/>
  <c r="AG100" i="19"/>
  <c r="AH100" i="19"/>
  <c r="AI100" i="19"/>
  <c r="AJ100" i="19"/>
  <c r="AK100" i="19"/>
  <c r="AL100" i="19"/>
  <c r="AM100" i="19"/>
  <c r="AN100" i="19"/>
  <c r="AO100" i="19"/>
  <c r="AP100" i="19"/>
  <c r="AQ100" i="19"/>
  <c r="AR100" i="19"/>
  <c r="Z101" i="19"/>
  <c r="AA101" i="19"/>
  <c r="AB101" i="19"/>
  <c r="AC101" i="19"/>
  <c r="AD101" i="19"/>
  <c r="AE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R101" i="19"/>
  <c r="Z102" i="19"/>
  <c r="AA102" i="19"/>
  <c r="AB102" i="19"/>
  <c r="AC102" i="19"/>
  <c r="AD102" i="19"/>
  <c r="AE102" i="19"/>
  <c r="AF102" i="19"/>
  <c r="AG102" i="19"/>
  <c r="AH102" i="19"/>
  <c r="AI102" i="19"/>
  <c r="AJ102" i="19"/>
  <c r="AK102" i="19"/>
  <c r="AL102" i="19"/>
  <c r="AM102" i="19"/>
  <c r="AN102" i="19"/>
  <c r="AO102" i="19"/>
  <c r="AP102" i="19"/>
  <c r="AQ102" i="19"/>
  <c r="AR102" i="19"/>
  <c r="Z103" i="19"/>
  <c r="AA103" i="19"/>
  <c r="AB103" i="19"/>
  <c r="AC103" i="19"/>
  <c r="AD103" i="19"/>
  <c r="AE103" i="19"/>
  <c r="AF103" i="19"/>
  <c r="AG103" i="19"/>
  <c r="AH103" i="19"/>
  <c r="AI103" i="19"/>
  <c r="AJ103" i="19"/>
  <c r="AK103" i="19"/>
  <c r="AL103" i="19"/>
  <c r="AM103" i="19"/>
  <c r="AN103" i="19"/>
  <c r="AO103" i="19"/>
  <c r="AP103" i="19"/>
  <c r="AQ103" i="19"/>
  <c r="AR103" i="19"/>
  <c r="Z104" i="19"/>
  <c r="AA104" i="19"/>
  <c r="AB104" i="19"/>
  <c r="AC104" i="19"/>
  <c r="AD104" i="19"/>
  <c r="AE104" i="19"/>
  <c r="AF104" i="19"/>
  <c r="AG104" i="19"/>
  <c r="AH104" i="19"/>
  <c r="AI104" i="19"/>
  <c r="AJ104" i="19"/>
  <c r="AK104" i="19"/>
  <c r="AL104" i="19"/>
  <c r="AM104" i="19"/>
  <c r="AN104" i="19"/>
  <c r="AO104" i="19"/>
  <c r="AP104" i="19"/>
  <c r="AQ104" i="19"/>
  <c r="AR104" i="19"/>
  <c r="Z105" i="19"/>
  <c r="AA105" i="19"/>
  <c r="AB105" i="19"/>
  <c r="AC105" i="19"/>
  <c r="AD105" i="19"/>
  <c r="AE105" i="19"/>
  <c r="AF105" i="19"/>
  <c r="AG105" i="19"/>
  <c r="AH105" i="19"/>
  <c r="AI105" i="19"/>
  <c r="AJ105" i="19"/>
  <c r="AK105" i="19"/>
  <c r="AL105" i="19"/>
  <c r="AM105" i="19"/>
  <c r="AN105" i="19"/>
  <c r="AO105" i="19"/>
  <c r="AP105" i="19"/>
  <c r="AQ105" i="19"/>
  <c r="AR105" i="19"/>
  <c r="Z106" i="19"/>
  <c r="AA106" i="19"/>
  <c r="AB106" i="19"/>
  <c r="AC106" i="19"/>
  <c r="AD106" i="19"/>
  <c r="AE106" i="19"/>
  <c r="AF106" i="19"/>
  <c r="AG106" i="19"/>
  <c r="AH106" i="19"/>
  <c r="AI106" i="19"/>
  <c r="AJ106" i="19"/>
  <c r="AK106" i="19"/>
  <c r="AL106" i="19"/>
  <c r="AM106" i="19"/>
  <c r="AN106" i="19"/>
  <c r="AO106" i="19"/>
  <c r="AP106" i="19"/>
  <c r="AQ106" i="19"/>
  <c r="AR106" i="19"/>
  <c r="Z107" i="19"/>
  <c r="AA107" i="19"/>
  <c r="AB107" i="19"/>
  <c r="AC107" i="19"/>
  <c r="AD107" i="19"/>
  <c r="AE107" i="19"/>
  <c r="AF107" i="19"/>
  <c r="AG107" i="19"/>
  <c r="AH107" i="19"/>
  <c r="AI107" i="19"/>
  <c r="AJ107" i="19"/>
  <c r="AK107" i="19"/>
  <c r="AL107" i="19"/>
  <c r="AM107" i="19"/>
  <c r="AN107" i="19"/>
  <c r="AO107" i="19"/>
  <c r="AP107" i="19"/>
  <c r="AQ107" i="19"/>
  <c r="AR107" i="19"/>
  <c r="Z108" i="19"/>
  <c r="AA108" i="19"/>
  <c r="AB108" i="19"/>
  <c r="AC108" i="19"/>
  <c r="AD108" i="19"/>
  <c r="AE108" i="19"/>
  <c r="AF108" i="19"/>
  <c r="AG108" i="19"/>
  <c r="AH108" i="19"/>
  <c r="AI108" i="19"/>
  <c r="AJ108" i="19"/>
  <c r="AK108" i="19"/>
  <c r="AL108" i="19"/>
  <c r="AM108" i="19"/>
  <c r="AN108" i="19"/>
  <c r="AO108" i="19"/>
  <c r="AP108" i="19"/>
  <c r="AQ108" i="19"/>
  <c r="AR108" i="19"/>
  <c r="Z109" i="19"/>
  <c r="AA109" i="19"/>
  <c r="AB109" i="19"/>
  <c r="AC109" i="19"/>
  <c r="AD109" i="19"/>
  <c r="AE109" i="19"/>
  <c r="AF109" i="19"/>
  <c r="AG109" i="19"/>
  <c r="AH109" i="19"/>
  <c r="AI109" i="19"/>
  <c r="AJ109" i="19"/>
  <c r="AK109" i="19"/>
  <c r="AL109" i="19"/>
  <c r="AM109" i="19"/>
  <c r="AN109" i="19"/>
  <c r="AO109" i="19"/>
  <c r="AP109" i="19"/>
  <c r="AQ109" i="19"/>
  <c r="AR109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Z111" i="19"/>
  <c r="AA111" i="19"/>
  <c r="AB111" i="19"/>
  <c r="AC111" i="19"/>
  <c r="AD111" i="19"/>
  <c r="AE111" i="19"/>
  <c r="AF111" i="19"/>
  <c r="AG111" i="19"/>
  <c r="AH111" i="19"/>
  <c r="AI111" i="19"/>
  <c r="AJ111" i="19"/>
  <c r="AK111" i="19"/>
  <c r="AL111" i="19"/>
  <c r="AM111" i="19"/>
  <c r="AN111" i="19"/>
  <c r="AO111" i="19"/>
  <c r="AP111" i="19"/>
  <c r="AQ111" i="19"/>
  <c r="AR111" i="19"/>
  <c r="Z112" i="19"/>
  <c r="AA112" i="19"/>
  <c r="AB112" i="19"/>
  <c r="AC112" i="19"/>
  <c r="AD112" i="19"/>
  <c r="AE112" i="19"/>
  <c r="AF112" i="19"/>
  <c r="AG112" i="19"/>
  <c r="AH112" i="19"/>
  <c r="AI112" i="19"/>
  <c r="AJ112" i="19"/>
  <c r="AK112" i="19"/>
  <c r="AL112" i="19"/>
  <c r="AM112" i="19"/>
  <c r="AN112" i="19"/>
  <c r="AO112" i="19"/>
  <c r="AP112" i="19"/>
  <c r="AQ112" i="19"/>
  <c r="AR112" i="19"/>
  <c r="Z113" i="19"/>
  <c r="AA113" i="19"/>
  <c r="AB113" i="19"/>
  <c r="AC113" i="19"/>
  <c r="AD113" i="19"/>
  <c r="AE113" i="19"/>
  <c r="AF113" i="19"/>
  <c r="AG113" i="19"/>
  <c r="AH113" i="19"/>
  <c r="AI113" i="19"/>
  <c r="AJ113" i="19"/>
  <c r="AK113" i="19"/>
  <c r="AL113" i="19"/>
  <c r="AM113" i="19"/>
  <c r="AN113" i="19"/>
  <c r="AO113" i="19"/>
  <c r="AP113" i="19"/>
  <c r="AQ113" i="19"/>
  <c r="AR113" i="19"/>
  <c r="Z114" i="19"/>
  <c r="AA114" i="19"/>
  <c r="AB114" i="19"/>
  <c r="AC114" i="19"/>
  <c r="AD114" i="19"/>
  <c r="AE114" i="19"/>
  <c r="AF114" i="19"/>
  <c r="AG114" i="19"/>
  <c r="AH114" i="19"/>
  <c r="AI114" i="19"/>
  <c r="AJ114" i="19"/>
  <c r="AK114" i="19"/>
  <c r="AL114" i="19"/>
  <c r="AM114" i="19"/>
  <c r="AN114" i="19"/>
  <c r="AO114" i="19"/>
  <c r="AP114" i="19"/>
  <c r="AQ114" i="19"/>
  <c r="AR114" i="19"/>
  <c r="Z115" i="19"/>
  <c r="AA115" i="19"/>
  <c r="AB115" i="19"/>
  <c r="AC115" i="19"/>
  <c r="AD115" i="19"/>
  <c r="AE115" i="19"/>
  <c r="AF115" i="19"/>
  <c r="AG115" i="19"/>
  <c r="AH115" i="19"/>
  <c r="AI115" i="19"/>
  <c r="AJ115" i="19"/>
  <c r="AK115" i="19"/>
  <c r="AL115" i="19"/>
  <c r="AM115" i="19"/>
  <c r="AN115" i="19"/>
  <c r="AO115" i="19"/>
  <c r="AP115" i="19"/>
  <c r="AQ115" i="19"/>
  <c r="AR115" i="19"/>
  <c r="Z116" i="19"/>
  <c r="AA116" i="19"/>
  <c r="AB116" i="19"/>
  <c r="AC116" i="19"/>
  <c r="AD116" i="19"/>
  <c r="AE116" i="19"/>
  <c r="AF116" i="19"/>
  <c r="AG116" i="19"/>
  <c r="AH116" i="19"/>
  <c r="AI116" i="19"/>
  <c r="AJ116" i="19"/>
  <c r="AK116" i="19"/>
  <c r="AL116" i="19"/>
  <c r="AM116" i="19"/>
  <c r="AN116" i="19"/>
  <c r="AO116" i="19"/>
  <c r="AP116" i="19"/>
  <c r="AQ116" i="19"/>
  <c r="AR116" i="19"/>
  <c r="Z117" i="19"/>
  <c r="AA117" i="19"/>
  <c r="AB117" i="19"/>
  <c r="AC117" i="19"/>
  <c r="AD117" i="19"/>
  <c r="AE117" i="19"/>
  <c r="AF117" i="19"/>
  <c r="AG117" i="19"/>
  <c r="AH117" i="19"/>
  <c r="AI117" i="19"/>
  <c r="AJ117" i="19"/>
  <c r="AK117" i="19"/>
  <c r="AL117" i="19"/>
  <c r="AM117" i="19"/>
  <c r="AN117" i="19"/>
  <c r="AO117" i="19"/>
  <c r="AP117" i="19"/>
  <c r="AQ117" i="19"/>
  <c r="AR117" i="19"/>
  <c r="Z118" i="19"/>
  <c r="AA118" i="19"/>
  <c r="AB118" i="19"/>
  <c r="AC118" i="19"/>
  <c r="AD118" i="19"/>
  <c r="AE118" i="19"/>
  <c r="AF118" i="19"/>
  <c r="AG118" i="19"/>
  <c r="AH118" i="19"/>
  <c r="AI118" i="19"/>
  <c r="AJ118" i="19"/>
  <c r="AK118" i="19"/>
  <c r="AL118" i="19"/>
  <c r="AM118" i="19"/>
  <c r="AN118" i="19"/>
  <c r="AO118" i="19"/>
  <c r="AP118" i="19"/>
  <c r="AQ118" i="19"/>
  <c r="AR118" i="19"/>
  <c r="Z119" i="19"/>
  <c r="AA119" i="19"/>
  <c r="AB119" i="19"/>
  <c r="AC119" i="19"/>
  <c r="AD119" i="19"/>
  <c r="AE119" i="19"/>
  <c r="AF119" i="19"/>
  <c r="AG119" i="19"/>
  <c r="AH119" i="19"/>
  <c r="AI119" i="19"/>
  <c r="AJ119" i="19"/>
  <c r="AK119" i="19"/>
  <c r="AL119" i="19"/>
  <c r="AM119" i="19"/>
  <c r="AN119" i="19"/>
  <c r="AO119" i="19"/>
  <c r="AP119" i="19"/>
  <c r="AQ119" i="19"/>
  <c r="AR119" i="19"/>
  <c r="Z120" i="19"/>
  <c r="AA120" i="19"/>
  <c r="AB120" i="19"/>
  <c r="AC120" i="19"/>
  <c r="AD120" i="19"/>
  <c r="AE120" i="19"/>
  <c r="AF120" i="19"/>
  <c r="AG120" i="19"/>
  <c r="AH120" i="19"/>
  <c r="AI120" i="19"/>
  <c r="AJ120" i="19"/>
  <c r="AK120" i="19"/>
  <c r="AL120" i="19"/>
  <c r="AM120" i="19"/>
  <c r="AN120" i="19"/>
  <c r="AO120" i="19"/>
  <c r="AP120" i="19"/>
  <c r="AQ120" i="19"/>
  <c r="AR120" i="19"/>
  <c r="Z121" i="19"/>
  <c r="AA121" i="19"/>
  <c r="AB121" i="19"/>
  <c r="AC121" i="19"/>
  <c r="AD121" i="19"/>
  <c r="AE121" i="19"/>
  <c r="AF121" i="19"/>
  <c r="AG121" i="19"/>
  <c r="AH121" i="19"/>
  <c r="AI121" i="19"/>
  <c r="AJ121" i="19"/>
  <c r="AK121" i="19"/>
  <c r="AL121" i="19"/>
  <c r="AM121" i="19"/>
  <c r="AN121" i="19"/>
  <c r="AO121" i="19"/>
  <c r="AP121" i="19"/>
  <c r="AQ121" i="19"/>
  <c r="AR121" i="19"/>
  <c r="Z122" i="19"/>
  <c r="AA122" i="19"/>
  <c r="AB122" i="19"/>
  <c r="AC122" i="19"/>
  <c r="AD122" i="19"/>
  <c r="AE122" i="19"/>
  <c r="AF122" i="19"/>
  <c r="AG122" i="19"/>
  <c r="AH122" i="19"/>
  <c r="AI122" i="19"/>
  <c r="AJ122" i="19"/>
  <c r="AK122" i="19"/>
  <c r="AL122" i="19"/>
  <c r="AM122" i="19"/>
  <c r="AN122" i="19"/>
  <c r="AO122" i="19"/>
  <c r="AP122" i="19"/>
  <c r="AQ122" i="19"/>
  <c r="AR122" i="19"/>
  <c r="Z123" i="19"/>
  <c r="AA123" i="19"/>
  <c r="AB123" i="19"/>
  <c r="AC123" i="19"/>
  <c r="AD123" i="19"/>
  <c r="AE123" i="19"/>
  <c r="AF123" i="19"/>
  <c r="AG123" i="19"/>
  <c r="AH123" i="19"/>
  <c r="AI123" i="19"/>
  <c r="AJ123" i="19"/>
  <c r="AK123" i="19"/>
  <c r="AL123" i="19"/>
  <c r="AM123" i="19"/>
  <c r="AN123" i="19"/>
  <c r="AO123" i="19"/>
  <c r="AP123" i="19"/>
  <c r="AQ123" i="19"/>
  <c r="AR123" i="19"/>
  <c r="Z124" i="19"/>
  <c r="AA124" i="19"/>
  <c r="AB124" i="19"/>
  <c r="AC124" i="19"/>
  <c r="AD124" i="19"/>
  <c r="AE124" i="19"/>
  <c r="AF124" i="19"/>
  <c r="AG124" i="19"/>
  <c r="AH124" i="19"/>
  <c r="AI124" i="19"/>
  <c r="AJ124" i="19"/>
  <c r="AK124" i="19"/>
  <c r="AL124" i="19"/>
  <c r="AM124" i="19"/>
  <c r="AN124" i="19"/>
  <c r="AO124" i="19"/>
  <c r="AP124" i="19"/>
  <c r="AQ124" i="19"/>
  <c r="AR124" i="19"/>
  <c r="Z125" i="19"/>
  <c r="AA125" i="19"/>
  <c r="AB125" i="19"/>
  <c r="AC125" i="19"/>
  <c r="AD125" i="19"/>
  <c r="AE125" i="19"/>
  <c r="AF125" i="19"/>
  <c r="AG125" i="19"/>
  <c r="AH125" i="19"/>
  <c r="AI125" i="19"/>
  <c r="AJ125" i="19"/>
  <c r="AK125" i="19"/>
  <c r="AL125" i="19"/>
  <c r="AM125" i="19"/>
  <c r="AN125" i="19"/>
  <c r="AO125" i="19"/>
  <c r="AP125" i="19"/>
  <c r="AQ125" i="19"/>
  <c r="AR125" i="19"/>
  <c r="Z126" i="19"/>
  <c r="AA126" i="19"/>
  <c r="AB126" i="19"/>
  <c r="AC126" i="19"/>
  <c r="AD126" i="19"/>
  <c r="AE126" i="19"/>
  <c r="AF126" i="19"/>
  <c r="AG126" i="19"/>
  <c r="AH126" i="19"/>
  <c r="AI126" i="19"/>
  <c r="AJ126" i="19"/>
  <c r="AK126" i="19"/>
  <c r="AL126" i="19"/>
  <c r="AM126" i="19"/>
  <c r="AN126" i="19"/>
  <c r="AO126" i="19"/>
  <c r="AP126" i="19"/>
  <c r="AQ126" i="19"/>
  <c r="AR126" i="19"/>
  <c r="Z127" i="19"/>
  <c r="AA127" i="19"/>
  <c r="AB127" i="19"/>
  <c r="AC127" i="19"/>
  <c r="AD127" i="19"/>
  <c r="AE127" i="19"/>
  <c r="AF127" i="19"/>
  <c r="AG127" i="19"/>
  <c r="AH127" i="19"/>
  <c r="AI127" i="19"/>
  <c r="AJ127" i="19"/>
  <c r="AK127" i="19"/>
  <c r="AL127" i="19"/>
  <c r="AM127" i="19"/>
  <c r="AN127" i="19"/>
  <c r="AO127" i="19"/>
  <c r="AP127" i="19"/>
  <c r="AQ127" i="19"/>
  <c r="AR127" i="19"/>
  <c r="Z128" i="19"/>
  <c r="AA128" i="19"/>
  <c r="AB128" i="19"/>
  <c r="AC128" i="19"/>
  <c r="AD128" i="19"/>
  <c r="AE128" i="19"/>
  <c r="AF128" i="19"/>
  <c r="AG128" i="19"/>
  <c r="AH128" i="19"/>
  <c r="AI128" i="19"/>
  <c r="AJ128" i="19"/>
  <c r="AK128" i="19"/>
  <c r="AL128" i="19"/>
  <c r="AM128" i="19"/>
  <c r="AN128" i="19"/>
  <c r="AO128" i="19"/>
  <c r="AP128" i="19"/>
  <c r="AQ128" i="19"/>
  <c r="AR128" i="19"/>
  <c r="Z129" i="19"/>
  <c r="AA129" i="19"/>
  <c r="AB129" i="19"/>
  <c r="AC129" i="19"/>
  <c r="AD129" i="19"/>
  <c r="AE129" i="19"/>
  <c r="AF129" i="19"/>
  <c r="AG129" i="19"/>
  <c r="AH129" i="19"/>
  <c r="AI129" i="19"/>
  <c r="AJ129" i="19"/>
  <c r="AK129" i="19"/>
  <c r="AL129" i="19"/>
  <c r="AM129" i="19"/>
  <c r="AN129" i="19"/>
  <c r="AO129" i="19"/>
  <c r="AP129" i="19"/>
  <c r="AQ129" i="19"/>
  <c r="AR129" i="19"/>
  <c r="Z130" i="19"/>
  <c r="AA130" i="19"/>
  <c r="AB130" i="19"/>
  <c r="AC130" i="19"/>
  <c r="AD130" i="19"/>
  <c r="AE130" i="19"/>
  <c r="AF130" i="19"/>
  <c r="AG130" i="19"/>
  <c r="AH130" i="19"/>
  <c r="AI130" i="19"/>
  <c r="AJ130" i="19"/>
  <c r="AK130" i="19"/>
  <c r="AL130" i="19"/>
  <c r="AM130" i="19"/>
  <c r="AN130" i="19"/>
  <c r="AO130" i="19"/>
  <c r="AP130" i="19"/>
  <c r="AQ130" i="19"/>
  <c r="AR130" i="19"/>
  <c r="Z131" i="19"/>
  <c r="AA131" i="19"/>
  <c r="AB131" i="19"/>
  <c r="AC131" i="19"/>
  <c r="AD131" i="19"/>
  <c r="AE131" i="19"/>
  <c r="AF131" i="19"/>
  <c r="AG131" i="19"/>
  <c r="AH131" i="19"/>
  <c r="AI131" i="19"/>
  <c r="AJ131" i="19"/>
  <c r="AK131" i="19"/>
  <c r="AL131" i="19"/>
  <c r="AM131" i="19"/>
  <c r="AN131" i="19"/>
  <c r="AO131" i="19"/>
  <c r="AP131" i="19"/>
  <c r="AQ131" i="19"/>
  <c r="AR131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Z133" i="19"/>
  <c r="AA133" i="19"/>
  <c r="AB133" i="19"/>
  <c r="AC133" i="19"/>
  <c r="AD133" i="19"/>
  <c r="AE133" i="19"/>
  <c r="AF133" i="19"/>
  <c r="AG133" i="19"/>
  <c r="AH133" i="19"/>
  <c r="AI133" i="19"/>
  <c r="AJ133" i="19"/>
  <c r="AK133" i="19"/>
  <c r="AL133" i="19"/>
  <c r="AM133" i="19"/>
  <c r="AN133" i="19"/>
  <c r="AO133" i="19"/>
  <c r="AP133" i="19"/>
  <c r="AQ133" i="19"/>
  <c r="AR133" i="19"/>
  <c r="Z134" i="19"/>
  <c r="AA134" i="19"/>
  <c r="AB134" i="19"/>
  <c r="AC134" i="19"/>
  <c r="AD134" i="19"/>
  <c r="AE134" i="19"/>
  <c r="AF134" i="19"/>
  <c r="AG134" i="19"/>
  <c r="AH134" i="19"/>
  <c r="AI134" i="19"/>
  <c r="AJ134" i="19"/>
  <c r="AK134" i="19"/>
  <c r="AL134" i="19"/>
  <c r="AM134" i="19"/>
  <c r="AN134" i="19"/>
  <c r="AO134" i="19"/>
  <c r="AP134" i="19"/>
  <c r="AQ134" i="19"/>
  <c r="AR134" i="19"/>
  <c r="Z135" i="19"/>
  <c r="AA135" i="19"/>
  <c r="AB135" i="19"/>
  <c r="AC135" i="19"/>
  <c r="AD135" i="19"/>
  <c r="AE135" i="19"/>
  <c r="AF135" i="19"/>
  <c r="AG135" i="19"/>
  <c r="AH135" i="19"/>
  <c r="AI135" i="19"/>
  <c r="AJ135" i="19"/>
  <c r="AK135" i="19"/>
  <c r="AL135" i="19"/>
  <c r="AM135" i="19"/>
  <c r="AN135" i="19"/>
  <c r="AO135" i="19"/>
  <c r="AP135" i="19"/>
  <c r="AQ135" i="19"/>
  <c r="AR135" i="19"/>
  <c r="Z136" i="19"/>
  <c r="AA136" i="19"/>
  <c r="AB136" i="19"/>
  <c r="AC136" i="19"/>
  <c r="AD136" i="19"/>
  <c r="AE136" i="19"/>
  <c r="AF136" i="19"/>
  <c r="AG136" i="19"/>
  <c r="AH136" i="19"/>
  <c r="AI136" i="19"/>
  <c r="AJ136" i="19"/>
  <c r="AK136" i="19"/>
  <c r="AL136" i="19"/>
  <c r="AM136" i="19"/>
  <c r="AN136" i="19"/>
  <c r="AO136" i="19"/>
  <c r="AP136" i="19"/>
  <c r="AQ136" i="19"/>
  <c r="AR136" i="19"/>
  <c r="Z137" i="19"/>
  <c r="AA137" i="19"/>
  <c r="AB137" i="19"/>
  <c r="AC137" i="19"/>
  <c r="AD137" i="19"/>
  <c r="AE137" i="19"/>
  <c r="AF137" i="19"/>
  <c r="AG137" i="19"/>
  <c r="AH137" i="19"/>
  <c r="AI137" i="19"/>
  <c r="AJ137" i="19"/>
  <c r="AK137" i="19"/>
  <c r="AL137" i="19"/>
  <c r="AM137" i="19"/>
  <c r="AN137" i="19"/>
  <c r="AO137" i="19"/>
  <c r="AP137" i="19"/>
  <c r="AQ137" i="19"/>
  <c r="AR137" i="19"/>
  <c r="Z138" i="19"/>
  <c r="AA138" i="19"/>
  <c r="AB138" i="19"/>
  <c r="AC138" i="19"/>
  <c r="AD138" i="19"/>
  <c r="AE138" i="19"/>
  <c r="AF138" i="19"/>
  <c r="AG138" i="19"/>
  <c r="AH138" i="19"/>
  <c r="AI138" i="19"/>
  <c r="AJ138" i="19"/>
  <c r="AK138" i="19"/>
  <c r="AL138" i="19"/>
  <c r="AM138" i="19"/>
  <c r="AN138" i="19"/>
  <c r="AO138" i="19"/>
  <c r="AP138" i="19"/>
  <c r="AQ138" i="19"/>
  <c r="AR138" i="19"/>
  <c r="Z139" i="19"/>
  <c r="AA139" i="19"/>
  <c r="AB139" i="19"/>
  <c r="AC139" i="19"/>
  <c r="AD139" i="19"/>
  <c r="AE139" i="19"/>
  <c r="AF139" i="19"/>
  <c r="AG139" i="19"/>
  <c r="AH139" i="19"/>
  <c r="AI139" i="19"/>
  <c r="AJ139" i="19"/>
  <c r="AK139" i="19"/>
  <c r="AL139" i="19"/>
  <c r="AM139" i="19"/>
  <c r="AN139" i="19"/>
  <c r="AO139" i="19"/>
  <c r="AP139" i="19"/>
  <c r="AQ139" i="19"/>
  <c r="AR139" i="19"/>
  <c r="Z140" i="19"/>
  <c r="AA140" i="19"/>
  <c r="AB140" i="19"/>
  <c r="AC140" i="19"/>
  <c r="AD140" i="19"/>
  <c r="AE140" i="19"/>
  <c r="AF140" i="19"/>
  <c r="AG140" i="19"/>
  <c r="AH140" i="19"/>
  <c r="AI140" i="19"/>
  <c r="AJ140" i="19"/>
  <c r="AK140" i="19"/>
  <c r="AL140" i="19"/>
  <c r="AM140" i="19"/>
  <c r="AN140" i="19"/>
  <c r="AO140" i="19"/>
  <c r="AP140" i="19"/>
  <c r="AQ140" i="19"/>
  <c r="AR140" i="19"/>
  <c r="Z141" i="19"/>
  <c r="AA141" i="19"/>
  <c r="AB141" i="19"/>
  <c r="AC141" i="19"/>
  <c r="AD141" i="19"/>
  <c r="AE141" i="19"/>
  <c r="AF141" i="19"/>
  <c r="AG141" i="19"/>
  <c r="AH141" i="19"/>
  <c r="AI141" i="19"/>
  <c r="AJ141" i="19"/>
  <c r="AK141" i="19"/>
  <c r="AL141" i="19"/>
  <c r="AM141" i="19"/>
  <c r="AN141" i="19"/>
  <c r="AO141" i="19"/>
  <c r="AP141" i="19"/>
  <c r="AQ141" i="19"/>
  <c r="AR141" i="19"/>
  <c r="Z142" i="19"/>
  <c r="AA142" i="19"/>
  <c r="AB142" i="19"/>
  <c r="AC142" i="19"/>
  <c r="AD142" i="19"/>
  <c r="AE142" i="19"/>
  <c r="AF142" i="19"/>
  <c r="AG142" i="19"/>
  <c r="AH142" i="19"/>
  <c r="AI142" i="19"/>
  <c r="AJ142" i="19"/>
  <c r="AK142" i="19"/>
  <c r="AL142" i="19"/>
  <c r="AM142" i="19"/>
  <c r="AN142" i="19"/>
  <c r="AO142" i="19"/>
  <c r="AP142" i="19"/>
  <c r="AQ142" i="19"/>
  <c r="AR142" i="19"/>
  <c r="Z143" i="19"/>
  <c r="AA143" i="19"/>
  <c r="AB143" i="19"/>
  <c r="AC143" i="19"/>
  <c r="AD143" i="19"/>
  <c r="AE143" i="19"/>
  <c r="AF143" i="19"/>
  <c r="AG143" i="19"/>
  <c r="AH143" i="19"/>
  <c r="AI143" i="19"/>
  <c r="AJ143" i="19"/>
  <c r="AK143" i="19"/>
  <c r="AL143" i="19"/>
  <c r="AM143" i="19"/>
  <c r="AN143" i="19"/>
  <c r="AO143" i="19"/>
  <c r="AP143" i="19"/>
  <c r="AQ143" i="19"/>
  <c r="AR143" i="19"/>
  <c r="Z144" i="19"/>
  <c r="AA144" i="19"/>
  <c r="AB144" i="19"/>
  <c r="AC144" i="19"/>
  <c r="AD144" i="19"/>
  <c r="AE144" i="19"/>
  <c r="AF144" i="19"/>
  <c r="AG144" i="19"/>
  <c r="AH144" i="19"/>
  <c r="AI144" i="19"/>
  <c r="AJ144" i="19"/>
  <c r="AK144" i="19"/>
  <c r="AL144" i="19"/>
  <c r="AM144" i="19"/>
  <c r="AN144" i="19"/>
  <c r="AO144" i="19"/>
  <c r="AP144" i="19"/>
  <c r="AQ144" i="19"/>
  <c r="AR144" i="19"/>
  <c r="Z145" i="19"/>
  <c r="AA145" i="19"/>
  <c r="AB145" i="19"/>
  <c r="AC145" i="19"/>
  <c r="AD145" i="19"/>
  <c r="AE145" i="19"/>
  <c r="AF145" i="19"/>
  <c r="AG145" i="19"/>
  <c r="AH145" i="19"/>
  <c r="AI145" i="19"/>
  <c r="AJ145" i="19"/>
  <c r="AK145" i="19"/>
  <c r="AL145" i="19"/>
  <c r="AM145" i="19"/>
  <c r="AN145" i="19"/>
  <c r="AO145" i="19"/>
  <c r="AP145" i="19"/>
  <c r="AQ145" i="19"/>
  <c r="AR145" i="19"/>
  <c r="Z146" i="19"/>
  <c r="AA146" i="19"/>
  <c r="AB146" i="19"/>
  <c r="AC146" i="19"/>
  <c r="AD146" i="19"/>
  <c r="AE146" i="19"/>
  <c r="AF146" i="19"/>
  <c r="AG146" i="19"/>
  <c r="AH146" i="19"/>
  <c r="AI146" i="19"/>
  <c r="AJ146" i="19"/>
  <c r="AK146" i="19"/>
  <c r="AL146" i="19"/>
  <c r="AM146" i="19"/>
  <c r="AN146" i="19"/>
  <c r="AO146" i="19"/>
  <c r="AP146" i="19"/>
  <c r="AQ146" i="19"/>
  <c r="AR146" i="19"/>
  <c r="Z147" i="19"/>
  <c r="AA147" i="19"/>
  <c r="AB147" i="19"/>
  <c r="AC147" i="19"/>
  <c r="AD147" i="19"/>
  <c r="AE147" i="19"/>
  <c r="AF147" i="19"/>
  <c r="AG147" i="19"/>
  <c r="AH147" i="19"/>
  <c r="AI147" i="19"/>
  <c r="AJ147" i="19"/>
  <c r="AK147" i="19"/>
  <c r="AL147" i="19"/>
  <c r="AM147" i="19"/>
  <c r="AN147" i="19"/>
  <c r="AO147" i="19"/>
  <c r="AP147" i="19"/>
  <c r="AQ147" i="19"/>
  <c r="AR147" i="19"/>
  <c r="Z148" i="19"/>
  <c r="AA148" i="19"/>
  <c r="AB148" i="19"/>
  <c r="AC148" i="19"/>
  <c r="AD148" i="19"/>
  <c r="AE148" i="19"/>
  <c r="AF148" i="19"/>
  <c r="AG148" i="19"/>
  <c r="AH148" i="19"/>
  <c r="AI148" i="19"/>
  <c r="AJ148" i="19"/>
  <c r="AK148" i="19"/>
  <c r="AL148" i="19"/>
  <c r="AM148" i="19"/>
  <c r="AN148" i="19"/>
  <c r="AO148" i="19"/>
  <c r="AP148" i="19"/>
  <c r="AQ148" i="19"/>
  <c r="AR148" i="19"/>
  <c r="Z149" i="19"/>
  <c r="AA149" i="19"/>
  <c r="AB149" i="19"/>
  <c r="AC149" i="19"/>
  <c r="AD149" i="19"/>
  <c r="AE149" i="19"/>
  <c r="AF149" i="19"/>
  <c r="AG149" i="19"/>
  <c r="AH149" i="19"/>
  <c r="AI149" i="19"/>
  <c r="AJ149" i="19"/>
  <c r="AK149" i="19"/>
  <c r="AL149" i="19"/>
  <c r="AM149" i="19"/>
  <c r="AN149" i="19"/>
  <c r="AO149" i="19"/>
  <c r="AP149" i="19"/>
  <c r="AQ149" i="19"/>
  <c r="AR149" i="19"/>
  <c r="Z150" i="19"/>
  <c r="AA150" i="19"/>
  <c r="AB150" i="19"/>
  <c r="AC150" i="19"/>
  <c r="AD150" i="19"/>
  <c r="AE150" i="19"/>
  <c r="AF150" i="19"/>
  <c r="AG150" i="19"/>
  <c r="AH150" i="19"/>
  <c r="AI150" i="19"/>
  <c r="AJ150" i="19"/>
  <c r="AK150" i="19"/>
  <c r="AL150" i="19"/>
  <c r="AM150" i="19"/>
  <c r="AN150" i="19"/>
  <c r="AO150" i="19"/>
  <c r="AP150" i="19"/>
  <c r="AQ150" i="19"/>
  <c r="AR150" i="19"/>
  <c r="Z151" i="19"/>
  <c r="AA151" i="19"/>
  <c r="AB151" i="19"/>
  <c r="AC151" i="19"/>
  <c r="AD151" i="19"/>
  <c r="AE151" i="19"/>
  <c r="AF151" i="19"/>
  <c r="AG151" i="19"/>
  <c r="AH151" i="19"/>
  <c r="AI151" i="19"/>
  <c r="AJ151" i="19"/>
  <c r="AK151" i="19"/>
  <c r="AL151" i="19"/>
  <c r="AM151" i="19"/>
  <c r="AN151" i="19"/>
  <c r="AO151" i="19"/>
  <c r="AP151" i="19"/>
  <c r="AQ151" i="19"/>
  <c r="AR151" i="19"/>
  <c r="Z152" i="19"/>
  <c r="AA152" i="19"/>
  <c r="AB152" i="19"/>
  <c r="AC152" i="19"/>
  <c r="AD152" i="19"/>
  <c r="AE152" i="19"/>
  <c r="AF152" i="19"/>
  <c r="AG152" i="19"/>
  <c r="AH152" i="19"/>
  <c r="AI152" i="19"/>
  <c r="AJ152" i="19"/>
  <c r="AK152" i="19"/>
  <c r="AL152" i="19"/>
  <c r="AM152" i="19"/>
  <c r="AN152" i="19"/>
  <c r="AO152" i="19"/>
  <c r="AP152" i="19"/>
  <c r="AQ152" i="19"/>
  <c r="AR152" i="19"/>
  <c r="Z153" i="19"/>
  <c r="AA153" i="19"/>
  <c r="AB153" i="19"/>
  <c r="AC153" i="19"/>
  <c r="AD153" i="19"/>
  <c r="AE153" i="19"/>
  <c r="AF153" i="19"/>
  <c r="AG153" i="19"/>
  <c r="AH153" i="19"/>
  <c r="AI153" i="19"/>
  <c r="AJ153" i="19"/>
  <c r="AK153" i="19"/>
  <c r="AL153" i="19"/>
  <c r="AM153" i="19"/>
  <c r="AN153" i="19"/>
  <c r="AO153" i="19"/>
  <c r="AP153" i="19"/>
  <c r="AQ153" i="19"/>
  <c r="AR153" i="19"/>
  <c r="Z154" i="19"/>
  <c r="AA154" i="19"/>
  <c r="AB154" i="19"/>
  <c r="AC154" i="19"/>
  <c r="AD154" i="19"/>
  <c r="AE154" i="19"/>
  <c r="AF154" i="19"/>
  <c r="AG154" i="19"/>
  <c r="AH154" i="19"/>
  <c r="AI154" i="19"/>
  <c r="AJ154" i="19"/>
  <c r="AK154" i="19"/>
  <c r="AL154" i="19"/>
  <c r="AM154" i="19"/>
  <c r="AN154" i="19"/>
  <c r="AO154" i="19"/>
  <c r="AP154" i="19"/>
  <c r="AQ154" i="19"/>
  <c r="AR154" i="19"/>
  <c r="Z155" i="19"/>
  <c r="AA155" i="19"/>
  <c r="AB155" i="19"/>
  <c r="AC155" i="19"/>
  <c r="AD155" i="19"/>
  <c r="AE155" i="19"/>
  <c r="AF155" i="19"/>
  <c r="AG155" i="19"/>
  <c r="AH155" i="19"/>
  <c r="AI155" i="19"/>
  <c r="AJ155" i="19"/>
  <c r="AK155" i="19"/>
  <c r="AL155" i="19"/>
  <c r="AM155" i="19"/>
  <c r="AN155" i="19"/>
  <c r="AO155" i="19"/>
  <c r="AP155" i="19"/>
  <c r="AQ155" i="19"/>
  <c r="AR155" i="19"/>
  <c r="Z156" i="19"/>
  <c r="AA156" i="19"/>
  <c r="AB156" i="19"/>
  <c r="AC156" i="19"/>
  <c r="AD156" i="19"/>
  <c r="AE156" i="19"/>
  <c r="AF156" i="19"/>
  <c r="AG156" i="19"/>
  <c r="AH156" i="19"/>
  <c r="AI156" i="19"/>
  <c r="AJ156" i="19"/>
  <c r="AK156" i="19"/>
  <c r="AL156" i="19"/>
  <c r="AM156" i="19"/>
  <c r="AN156" i="19"/>
  <c r="AO156" i="19"/>
  <c r="AP156" i="19"/>
  <c r="AQ156" i="19"/>
  <c r="AR156" i="19"/>
  <c r="Z157" i="19"/>
  <c r="AA157" i="19"/>
  <c r="AB157" i="19"/>
  <c r="AC157" i="19"/>
  <c r="AD157" i="19"/>
  <c r="AE157" i="19"/>
  <c r="AF157" i="19"/>
  <c r="AG157" i="19"/>
  <c r="AH157" i="19"/>
  <c r="AI157" i="19"/>
  <c r="AJ157" i="19"/>
  <c r="AK157" i="19"/>
  <c r="AL157" i="19"/>
  <c r="AM157" i="19"/>
  <c r="AN157" i="19"/>
  <c r="AO157" i="19"/>
  <c r="AP157" i="19"/>
  <c r="AQ157" i="19"/>
  <c r="AR157" i="19"/>
  <c r="Z158" i="19"/>
  <c r="AA158" i="19"/>
  <c r="AB158" i="19"/>
  <c r="AC158" i="19"/>
  <c r="AD158" i="19"/>
  <c r="AE158" i="19"/>
  <c r="AF158" i="19"/>
  <c r="AG158" i="19"/>
  <c r="AH158" i="19"/>
  <c r="AI158" i="19"/>
  <c r="AJ158" i="19"/>
  <c r="AK158" i="19"/>
  <c r="AL158" i="19"/>
  <c r="AM158" i="19"/>
  <c r="AN158" i="19"/>
  <c r="AO158" i="19"/>
  <c r="AP158" i="19"/>
  <c r="AQ158" i="19"/>
  <c r="AR158" i="19"/>
  <c r="Z159" i="19"/>
  <c r="AA159" i="19"/>
  <c r="AB159" i="19"/>
  <c r="AC159" i="19"/>
  <c r="AD159" i="19"/>
  <c r="AE159" i="19"/>
  <c r="AF159" i="19"/>
  <c r="AG159" i="19"/>
  <c r="AH159" i="19"/>
  <c r="AI159" i="19"/>
  <c r="AJ159" i="19"/>
  <c r="AK159" i="19"/>
  <c r="AL159" i="19"/>
  <c r="AM159" i="19"/>
  <c r="AN159" i="19"/>
  <c r="AO159" i="19"/>
  <c r="AP159" i="19"/>
  <c r="AQ159" i="19"/>
  <c r="AR159" i="19"/>
  <c r="Z160" i="19"/>
  <c r="AA160" i="19"/>
  <c r="AB160" i="19"/>
  <c r="AC160" i="19"/>
  <c r="AD160" i="19"/>
  <c r="AE160" i="19"/>
  <c r="AF160" i="19"/>
  <c r="AG160" i="19"/>
  <c r="AH160" i="19"/>
  <c r="AI160" i="19"/>
  <c r="AJ160" i="19"/>
  <c r="AK160" i="19"/>
  <c r="AL160" i="19"/>
  <c r="AM160" i="19"/>
  <c r="AN160" i="19"/>
  <c r="AO160" i="19"/>
  <c r="AP160" i="19"/>
  <c r="AQ160" i="19"/>
  <c r="AR160" i="19"/>
  <c r="Z161" i="19"/>
  <c r="AA161" i="19"/>
  <c r="AB161" i="19"/>
  <c r="AC161" i="19"/>
  <c r="AD161" i="19"/>
  <c r="AE161" i="19"/>
  <c r="AF161" i="19"/>
  <c r="AG161" i="19"/>
  <c r="AH161" i="19"/>
  <c r="AI161" i="19"/>
  <c r="AJ161" i="19"/>
  <c r="AK161" i="19"/>
  <c r="AL161" i="19"/>
  <c r="AM161" i="19"/>
  <c r="AN161" i="19"/>
  <c r="AO161" i="19"/>
  <c r="AP161" i="19"/>
  <c r="AQ161" i="19"/>
  <c r="AR161" i="19"/>
  <c r="Z162" i="19"/>
  <c r="AA162" i="19"/>
  <c r="AB162" i="19"/>
  <c r="AC162" i="19"/>
  <c r="AD162" i="19"/>
  <c r="AE162" i="19"/>
  <c r="AF162" i="19"/>
  <c r="AG162" i="19"/>
  <c r="AH162" i="19"/>
  <c r="AI162" i="19"/>
  <c r="AJ162" i="19"/>
  <c r="AK162" i="19"/>
  <c r="AL162" i="19"/>
  <c r="AM162" i="19"/>
  <c r="AN162" i="19"/>
  <c r="AO162" i="19"/>
  <c r="AP162" i="19"/>
  <c r="AQ162" i="19"/>
  <c r="AR162" i="19"/>
  <c r="Z163" i="19"/>
  <c r="AA163" i="19"/>
  <c r="AB163" i="19"/>
  <c r="AC163" i="19"/>
  <c r="AD163" i="19"/>
  <c r="AE163" i="19"/>
  <c r="AF163" i="19"/>
  <c r="AG163" i="19"/>
  <c r="AH163" i="19"/>
  <c r="AI163" i="19"/>
  <c r="AJ163" i="19"/>
  <c r="AK163" i="19"/>
  <c r="AL163" i="19"/>
  <c r="AM163" i="19"/>
  <c r="AN163" i="19"/>
  <c r="AO163" i="19"/>
  <c r="AP163" i="19"/>
  <c r="AQ163" i="19"/>
  <c r="AR163" i="19"/>
  <c r="Z164" i="19"/>
  <c r="AA164" i="19"/>
  <c r="AB164" i="19"/>
  <c r="AC164" i="19"/>
  <c r="AD164" i="19"/>
  <c r="AE164" i="19"/>
  <c r="AF164" i="19"/>
  <c r="AG164" i="19"/>
  <c r="AH164" i="19"/>
  <c r="AI164" i="19"/>
  <c r="AJ164" i="19"/>
  <c r="AK164" i="19"/>
  <c r="AL164" i="19"/>
  <c r="AM164" i="19"/>
  <c r="AN164" i="19"/>
  <c r="AO164" i="19"/>
  <c r="AP164" i="19"/>
  <c r="AQ164" i="19"/>
  <c r="AR164" i="19"/>
  <c r="Z165" i="19"/>
  <c r="AA165" i="19"/>
  <c r="AB165" i="19"/>
  <c r="AC165" i="19"/>
  <c r="AD165" i="19"/>
  <c r="AE165" i="19"/>
  <c r="AF165" i="19"/>
  <c r="AG165" i="19"/>
  <c r="AH165" i="19"/>
  <c r="AI165" i="19"/>
  <c r="AJ165" i="19"/>
  <c r="AK165" i="19"/>
  <c r="AL165" i="19"/>
  <c r="AM165" i="19"/>
  <c r="AN165" i="19"/>
  <c r="AO165" i="19"/>
  <c r="AP165" i="19"/>
  <c r="AQ165" i="19"/>
  <c r="AR165" i="19"/>
  <c r="Z166" i="19"/>
  <c r="AA166" i="19"/>
  <c r="AB166" i="19"/>
  <c r="AC166" i="19"/>
  <c r="AD166" i="19"/>
  <c r="AE166" i="19"/>
  <c r="AF166" i="19"/>
  <c r="AG166" i="19"/>
  <c r="AH166" i="19"/>
  <c r="AI166" i="19"/>
  <c r="AJ166" i="19"/>
  <c r="AK166" i="19"/>
  <c r="AL166" i="19"/>
  <c r="AM166" i="19"/>
  <c r="AN166" i="19"/>
  <c r="AO166" i="19"/>
  <c r="AP166" i="19"/>
  <c r="AQ166" i="19"/>
  <c r="AR166" i="19"/>
  <c r="Z167" i="19"/>
  <c r="AA167" i="19"/>
  <c r="AB167" i="19"/>
  <c r="AC167" i="19"/>
  <c r="AD167" i="19"/>
  <c r="AE167" i="19"/>
  <c r="AF167" i="19"/>
  <c r="AG167" i="19"/>
  <c r="AH167" i="19"/>
  <c r="AI167" i="19"/>
  <c r="AJ167" i="19"/>
  <c r="AK167" i="19"/>
  <c r="AL167" i="19"/>
  <c r="AM167" i="19"/>
  <c r="AN167" i="19"/>
  <c r="AO167" i="19"/>
  <c r="AP167" i="19"/>
  <c r="AQ167" i="19"/>
  <c r="AR167" i="19"/>
  <c r="Z168" i="19"/>
  <c r="AA168" i="19"/>
  <c r="AB168" i="19"/>
  <c r="AC168" i="19"/>
  <c r="AD168" i="19"/>
  <c r="AE168" i="19"/>
  <c r="AF168" i="19"/>
  <c r="AG168" i="19"/>
  <c r="AH168" i="19"/>
  <c r="AI168" i="19"/>
  <c r="AJ168" i="19"/>
  <c r="AK168" i="19"/>
  <c r="AL168" i="19"/>
  <c r="AM168" i="19"/>
  <c r="AN168" i="19"/>
  <c r="AO168" i="19"/>
  <c r="AP168" i="19"/>
  <c r="AQ168" i="19"/>
  <c r="AR168" i="19"/>
  <c r="Z169" i="19"/>
  <c r="AA169" i="19"/>
  <c r="AB169" i="19"/>
  <c r="AC169" i="19"/>
  <c r="AD169" i="19"/>
  <c r="AE169" i="19"/>
  <c r="AF169" i="19"/>
  <c r="AG169" i="19"/>
  <c r="AH169" i="19"/>
  <c r="AI169" i="19"/>
  <c r="AJ169" i="19"/>
  <c r="AK169" i="19"/>
  <c r="AL169" i="19"/>
  <c r="AM169" i="19"/>
  <c r="AN169" i="19"/>
  <c r="AO169" i="19"/>
  <c r="AP169" i="19"/>
  <c r="AQ169" i="19"/>
  <c r="AR169" i="19"/>
  <c r="Z170" i="19"/>
  <c r="AA170" i="19"/>
  <c r="AB170" i="19"/>
  <c r="AC170" i="19"/>
  <c r="AD170" i="19"/>
  <c r="AE170" i="19"/>
  <c r="AF170" i="19"/>
  <c r="AG170" i="19"/>
  <c r="AH170" i="19"/>
  <c r="AI170" i="19"/>
  <c r="AJ170" i="19"/>
  <c r="AK170" i="19"/>
  <c r="AL170" i="19"/>
  <c r="AM170" i="19"/>
  <c r="AN170" i="19"/>
  <c r="AO170" i="19"/>
  <c r="AP170" i="19"/>
  <c r="AQ170" i="19"/>
  <c r="AR170" i="19"/>
  <c r="Z171" i="19"/>
  <c r="D169" i="32" s="1"/>
  <c r="AA171" i="19"/>
  <c r="AB171" i="19"/>
  <c r="AC171" i="19"/>
  <c r="AD171" i="19"/>
  <c r="AE171" i="19"/>
  <c r="AF171" i="19"/>
  <c r="AG171" i="19"/>
  <c r="AH171" i="19"/>
  <c r="AI171" i="19"/>
  <c r="AJ171" i="19"/>
  <c r="AK171" i="19"/>
  <c r="AL171" i="19"/>
  <c r="AM171" i="19"/>
  <c r="AN171" i="19"/>
  <c r="AO171" i="19"/>
  <c r="AP171" i="19"/>
  <c r="AQ171" i="19"/>
  <c r="AR171" i="19"/>
  <c r="D169" i="33" s="1"/>
  <c r="Z172" i="19"/>
  <c r="AA172" i="19"/>
  <c r="AB172" i="19"/>
  <c r="AC172" i="19"/>
  <c r="AD172" i="19"/>
  <c r="AE172" i="19"/>
  <c r="AF172" i="19"/>
  <c r="AG172" i="19"/>
  <c r="AH172" i="19"/>
  <c r="AI172" i="19"/>
  <c r="AJ172" i="19"/>
  <c r="AK172" i="19"/>
  <c r="AL172" i="19"/>
  <c r="AM172" i="19"/>
  <c r="AN172" i="19"/>
  <c r="AO172" i="19"/>
  <c r="AP172" i="19"/>
  <c r="AQ172" i="19"/>
  <c r="AR172" i="19"/>
  <c r="Z173" i="19"/>
  <c r="AA173" i="19"/>
  <c r="AB173" i="19"/>
  <c r="AC173" i="19"/>
  <c r="AD173" i="19"/>
  <c r="AE173" i="19"/>
  <c r="AF173" i="19"/>
  <c r="AG173" i="19"/>
  <c r="AH173" i="19"/>
  <c r="AI173" i="19"/>
  <c r="AJ173" i="19"/>
  <c r="AK173" i="19"/>
  <c r="AL173" i="19"/>
  <c r="AM173" i="19"/>
  <c r="AN173" i="19"/>
  <c r="AO173" i="19"/>
  <c r="AP173" i="19"/>
  <c r="AQ173" i="19"/>
  <c r="AR173" i="19"/>
  <c r="Z174" i="19"/>
  <c r="AA174" i="19"/>
  <c r="AB174" i="19"/>
  <c r="AC174" i="19"/>
  <c r="AD174" i="19"/>
  <c r="AE174" i="19"/>
  <c r="AF174" i="19"/>
  <c r="AG174" i="19"/>
  <c r="AH174" i="19"/>
  <c r="AI174" i="19"/>
  <c r="AJ174" i="19"/>
  <c r="AK174" i="19"/>
  <c r="AL174" i="19"/>
  <c r="AM174" i="19"/>
  <c r="AN174" i="19"/>
  <c r="AO174" i="19"/>
  <c r="AP174" i="19"/>
  <c r="AQ174" i="19"/>
  <c r="AR174" i="19"/>
  <c r="Z175" i="19"/>
  <c r="AA175" i="19"/>
  <c r="AB175" i="19"/>
  <c r="AC175" i="19"/>
  <c r="AD175" i="19"/>
  <c r="AE175" i="19"/>
  <c r="AF175" i="19"/>
  <c r="AG175" i="19"/>
  <c r="AH175" i="19"/>
  <c r="AI175" i="19"/>
  <c r="AJ175" i="19"/>
  <c r="AK175" i="19"/>
  <c r="AL175" i="19"/>
  <c r="AM175" i="19"/>
  <c r="AN175" i="19"/>
  <c r="AO175" i="19"/>
  <c r="AP175" i="19"/>
  <c r="AQ175" i="19"/>
  <c r="AR175" i="19"/>
  <c r="Z176" i="19"/>
  <c r="AA176" i="19"/>
  <c r="AB176" i="19"/>
  <c r="AC176" i="19"/>
  <c r="AD176" i="19"/>
  <c r="AE176" i="19"/>
  <c r="AF176" i="19"/>
  <c r="AG176" i="19"/>
  <c r="AH176" i="19"/>
  <c r="AI176" i="19"/>
  <c r="AJ176" i="19"/>
  <c r="AK176" i="19"/>
  <c r="AL176" i="19"/>
  <c r="AM176" i="19"/>
  <c r="AN176" i="19"/>
  <c r="AO176" i="19"/>
  <c r="AP176" i="19"/>
  <c r="AQ176" i="19"/>
  <c r="AR176" i="19"/>
  <c r="Z177" i="19"/>
  <c r="AA177" i="19"/>
  <c r="AB177" i="19"/>
  <c r="AC177" i="19"/>
  <c r="AD177" i="19"/>
  <c r="AE177" i="19"/>
  <c r="AF177" i="19"/>
  <c r="AG177" i="19"/>
  <c r="AH177" i="19"/>
  <c r="AI177" i="19"/>
  <c r="AJ177" i="19"/>
  <c r="AK177" i="19"/>
  <c r="AL177" i="19"/>
  <c r="AM177" i="19"/>
  <c r="AN177" i="19"/>
  <c r="AO177" i="19"/>
  <c r="AP177" i="19"/>
  <c r="AQ177" i="19"/>
  <c r="AR177" i="19"/>
  <c r="Z178" i="19"/>
  <c r="AA178" i="19"/>
  <c r="AB178" i="19"/>
  <c r="AC178" i="19"/>
  <c r="AD178" i="19"/>
  <c r="AE178" i="19"/>
  <c r="AF178" i="19"/>
  <c r="AG178" i="19"/>
  <c r="AH178" i="19"/>
  <c r="AI178" i="19"/>
  <c r="AJ178" i="19"/>
  <c r="AK178" i="19"/>
  <c r="AL178" i="19"/>
  <c r="AM178" i="19"/>
  <c r="AN178" i="19"/>
  <c r="AO178" i="19"/>
  <c r="AP178" i="19"/>
  <c r="AQ178" i="19"/>
  <c r="AR178" i="19"/>
  <c r="Z179" i="19"/>
  <c r="AA179" i="19"/>
  <c r="AB179" i="19"/>
  <c r="AC179" i="19"/>
  <c r="AD179" i="19"/>
  <c r="AE179" i="19"/>
  <c r="AF179" i="19"/>
  <c r="AG179" i="19"/>
  <c r="AH179" i="19"/>
  <c r="AI179" i="19"/>
  <c r="AJ179" i="19"/>
  <c r="AK179" i="19"/>
  <c r="AL179" i="19"/>
  <c r="AM179" i="19"/>
  <c r="AN179" i="19"/>
  <c r="AO179" i="19"/>
  <c r="AP179" i="19"/>
  <c r="AQ179" i="19"/>
  <c r="AR179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AP182" i="19"/>
  <c r="AQ182" i="19"/>
  <c r="AR182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Z184" i="19"/>
  <c r="AA184" i="19"/>
  <c r="AB184" i="19"/>
  <c r="AC184" i="19"/>
  <c r="AD184" i="19"/>
  <c r="AE184" i="19"/>
  <c r="AF184" i="19"/>
  <c r="AG184" i="19"/>
  <c r="AH184" i="19"/>
  <c r="AI184" i="19"/>
  <c r="AJ184" i="19"/>
  <c r="AK184" i="19"/>
  <c r="AL184" i="19"/>
  <c r="AM184" i="19"/>
  <c r="AN184" i="19"/>
  <c r="AO184" i="19"/>
  <c r="AP184" i="19"/>
  <c r="AQ184" i="19"/>
  <c r="AR184" i="19"/>
  <c r="Z185" i="19"/>
  <c r="AA185" i="19"/>
  <c r="AB185" i="19"/>
  <c r="AC185" i="19"/>
  <c r="AD185" i="19"/>
  <c r="AE185" i="19"/>
  <c r="AF185" i="19"/>
  <c r="AG185" i="19"/>
  <c r="AH185" i="19"/>
  <c r="AI185" i="19"/>
  <c r="AJ185" i="19"/>
  <c r="AK185" i="19"/>
  <c r="AL185" i="19"/>
  <c r="AM185" i="19"/>
  <c r="AN185" i="19"/>
  <c r="AO185" i="19"/>
  <c r="AP185" i="19"/>
  <c r="AQ185" i="19"/>
  <c r="AR185" i="19"/>
  <c r="Z186" i="19"/>
  <c r="AA186" i="19"/>
  <c r="AB186" i="19"/>
  <c r="AC186" i="19"/>
  <c r="AD186" i="19"/>
  <c r="AE186" i="19"/>
  <c r="AF186" i="19"/>
  <c r="AG186" i="19"/>
  <c r="AH186" i="19"/>
  <c r="AI186" i="19"/>
  <c r="AJ186" i="19"/>
  <c r="AK186" i="19"/>
  <c r="AL186" i="19"/>
  <c r="AM186" i="19"/>
  <c r="AN186" i="19"/>
  <c r="AO186" i="19"/>
  <c r="AP186" i="19"/>
  <c r="AQ186" i="19"/>
  <c r="AR186" i="19"/>
  <c r="Z187" i="19"/>
  <c r="AA187" i="19"/>
  <c r="AB187" i="19"/>
  <c r="AC187" i="19"/>
  <c r="AD187" i="19"/>
  <c r="AE187" i="19"/>
  <c r="AF187" i="19"/>
  <c r="AG187" i="19"/>
  <c r="AH187" i="19"/>
  <c r="AI187" i="19"/>
  <c r="AJ187" i="19"/>
  <c r="AK187" i="19"/>
  <c r="AL187" i="19"/>
  <c r="AM187" i="19"/>
  <c r="AN187" i="19"/>
  <c r="AO187" i="19"/>
  <c r="AP187" i="19"/>
  <c r="AQ187" i="19"/>
  <c r="AR187" i="19"/>
  <c r="Z188" i="19"/>
  <c r="AA188" i="19"/>
  <c r="AB188" i="19"/>
  <c r="AC188" i="19"/>
  <c r="AD188" i="19"/>
  <c r="AE188" i="19"/>
  <c r="AF188" i="19"/>
  <c r="AG188" i="19"/>
  <c r="AH188" i="19"/>
  <c r="AI188" i="19"/>
  <c r="AJ188" i="19"/>
  <c r="AK188" i="19"/>
  <c r="AL188" i="19"/>
  <c r="AM188" i="19"/>
  <c r="AN188" i="19"/>
  <c r="AO188" i="19"/>
  <c r="AP188" i="19"/>
  <c r="AQ188" i="19"/>
  <c r="AR188" i="19"/>
  <c r="Z189" i="19"/>
  <c r="AA189" i="19"/>
  <c r="AB189" i="19"/>
  <c r="AC189" i="19"/>
  <c r="AD189" i="19"/>
  <c r="AE189" i="19"/>
  <c r="AF189" i="19"/>
  <c r="AG189" i="19"/>
  <c r="AH189" i="19"/>
  <c r="AI189" i="19"/>
  <c r="AJ189" i="19"/>
  <c r="AK189" i="19"/>
  <c r="AL189" i="19"/>
  <c r="AM189" i="19"/>
  <c r="AN189" i="19"/>
  <c r="AO189" i="19"/>
  <c r="AP189" i="19"/>
  <c r="AQ189" i="19"/>
  <c r="AR189" i="19"/>
  <c r="Z190" i="19"/>
  <c r="AA190" i="19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Z191" i="19"/>
  <c r="AA191" i="19"/>
  <c r="AB191" i="19"/>
  <c r="AC191" i="19"/>
  <c r="AD191" i="19"/>
  <c r="AE191" i="19"/>
  <c r="AF191" i="19"/>
  <c r="AG191" i="19"/>
  <c r="AH191" i="19"/>
  <c r="AI191" i="19"/>
  <c r="AJ191" i="19"/>
  <c r="AK191" i="19"/>
  <c r="AL191" i="19"/>
  <c r="AM191" i="19"/>
  <c r="AN191" i="19"/>
  <c r="AO191" i="19"/>
  <c r="AP191" i="19"/>
  <c r="AQ191" i="19"/>
  <c r="AR191" i="19"/>
  <c r="Z192" i="19"/>
  <c r="AA192" i="19"/>
  <c r="AB192" i="19"/>
  <c r="AC192" i="19"/>
  <c r="AD192" i="19"/>
  <c r="AE192" i="19"/>
  <c r="AF192" i="19"/>
  <c r="AG192" i="19"/>
  <c r="AH192" i="19"/>
  <c r="AI192" i="19"/>
  <c r="AJ192" i="19"/>
  <c r="AK192" i="19"/>
  <c r="AL192" i="19"/>
  <c r="AM192" i="19"/>
  <c r="AN192" i="19"/>
  <c r="AO192" i="19"/>
  <c r="AP192" i="19"/>
  <c r="AQ192" i="19"/>
  <c r="AR192" i="19"/>
  <c r="Z193" i="19"/>
  <c r="AA193" i="19"/>
  <c r="AB193" i="19"/>
  <c r="AC193" i="19"/>
  <c r="AD193" i="19"/>
  <c r="AE193" i="19"/>
  <c r="AF193" i="19"/>
  <c r="AG193" i="19"/>
  <c r="AH193" i="19"/>
  <c r="AI193" i="19"/>
  <c r="AJ193" i="19"/>
  <c r="AK193" i="19"/>
  <c r="AL193" i="19"/>
  <c r="AM193" i="19"/>
  <c r="AN193" i="19"/>
  <c r="AO193" i="19"/>
  <c r="AP193" i="19"/>
  <c r="AQ193" i="19"/>
  <c r="AR193" i="19"/>
  <c r="Z194" i="19"/>
  <c r="AA194" i="19"/>
  <c r="AB194" i="19"/>
  <c r="AC194" i="19"/>
  <c r="AD194" i="19"/>
  <c r="AE194" i="19"/>
  <c r="AF194" i="19"/>
  <c r="AG194" i="19"/>
  <c r="AH194" i="19"/>
  <c r="AI194" i="19"/>
  <c r="AJ194" i="19"/>
  <c r="AK194" i="19"/>
  <c r="AL194" i="19"/>
  <c r="AM194" i="19"/>
  <c r="AN194" i="19"/>
  <c r="AO194" i="19"/>
  <c r="AP194" i="19"/>
  <c r="AQ194" i="19"/>
  <c r="AR194" i="19"/>
  <c r="Z195" i="19"/>
  <c r="AA195" i="19"/>
  <c r="AB195" i="19"/>
  <c r="AC195" i="19"/>
  <c r="AD195" i="19"/>
  <c r="AE195" i="19"/>
  <c r="AF195" i="19"/>
  <c r="AG195" i="19"/>
  <c r="AH195" i="19"/>
  <c r="AI195" i="19"/>
  <c r="AJ195" i="19"/>
  <c r="AK195" i="19"/>
  <c r="AL195" i="19"/>
  <c r="AM195" i="19"/>
  <c r="AN195" i="19"/>
  <c r="AO195" i="19"/>
  <c r="AP195" i="19"/>
  <c r="AQ195" i="19"/>
  <c r="AR195" i="19"/>
  <c r="Z196" i="19"/>
  <c r="AA196" i="19"/>
  <c r="AB196" i="19"/>
  <c r="AC196" i="19"/>
  <c r="AD196" i="19"/>
  <c r="AE196" i="19"/>
  <c r="AF196" i="19"/>
  <c r="AG196" i="19"/>
  <c r="AH196" i="19"/>
  <c r="AI196" i="19"/>
  <c r="AJ196" i="19"/>
  <c r="AK196" i="19"/>
  <c r="AL196" i="19"/>
  <c r="AM196" i="19"/>
  <c r="AN196" i="19"/>
  <c r="AO196" i="19"/>
  <c r="AP196" i="19"/>
  <c r="AQ196" i="19"/>
  <c r="AR196" i="19"/>
  <c r="Z197" i="19"/>
  <c r="AA197" i="19"/>
  <c r="AB197" i="19"/>
  <c r="AC197" i="19"/>
  <c r="AD197" i="19"/>
  <c r="AE197" i="19"/>
  <c r="AF197" i="19"/>
  <c r="AG197" i="19"/>
  <c r="AH197" i="19"/>
  <c r="AI197" i="19"/>
  <c r="AJ197" i="19"/>
  <c r="AK197" i="19"/>
  <c r="AL197" i="19"/>
  <c r="AM197" i="19"/>
  <c r="AN197" i="19"/>
  <c r="AO197" i="19"/>
  <c r="AP197" i="19"/>
  <c r="AQ197" i="19"/>
  <c r="AR197" i="19"/>
  <c r="Z198" i="19"/>
  <c r="AA198" i="19"/>
  <c r="AB198" i="19"/>
  <c r="AC198" i="19"/>
  <c r="AD198" i="19"/>
  <c r="AE198" i="19"/>
  <c r="AF198" i="19"/>
  <c r="AG198" i="19"/>
  <c r="AH198" i="19"/>
  <c r="AI198" i="19"/>
  <c r="AJ198" i="19"/>
  <c r="AK198" i="19"/>
  <c r="AL198" i="19"/>
  <c r="AM198" i="19"/>
  <c r="AN198" i="19"/>
  <c r="AO198" i="19"/>
  <c r="AP198" i="19"/>
  <c r="AQ198" i="19"/>
  <c r="AR198" i="19"/>
  <c r="Z199" i="19"/>
  <c r="AA199" i="19"/>
  <c r="AB199" i="19"/>
  <c r="AC199" i="19"/>
  <c r="AD199" i="19"/>
  <c r="AE199" i="19"/>
  <c r="AF199" i="19"/>
  <c r="AG199" i="19"/>
  <c r="AH199" i="19"/>
  <c r="AI199" i="19"/>
  <c r="AJ199" i="19"/>
  <c r="AK199" i="19"/>
  <c r="AL199" i="19"/>
  <c r="AM199" i="19"/>
  <c r="AN199" i="19"/>
  <c r="AO199" i="19"/>
  <c r="AP199" i="19"/>
  <c r="AQ199" i="19"/>
  <c r="AR199" i="19"/>
  <c r="Z200" i="19"/>
  <c r="AA200" i="19"/>
  <c r="AB200" i="19"/>
  <c r="AC200" i="19"/>
  <c r="AD200" i="19"/>
  <c r="AE200" i="19"/>
  <c r="AF200" i="19"/>
  <c r="AG200" i="19"/>
  <c r="AH200" i="19"/>
  <c r="AI200" i="19"/>
  <c r="AJ200" i="19"/>
  <c r="AK200" i="19"/>
  <c r="AL200" i="19"/>
  <c r="AM200" i="19"/>
  <c r="AN200" i="19"/>
  <c r="AO200" i="19"/>
  <c r="AP200" i="19"/>
  <c r="AQ200" i="19"/>
  <c r="AR200" i="19"/>
  <c r="Z201" i="19"/>
  <c r="AA201" i="19"/>
  <c r="AB201" i="19"/>
  <c r="AC201" i="19"/>
  <c r="AD201" i="19"/>
  <c r="AE201" i="19"/>
  <c r="AF201" i="19"/>
  <c r="AG201" i="19"/>
  <c r="AH201" i="19"/>
  <c r="AI201" i="19"/>
  <c r="AJ201" i="19"/>
  <c r="AK201" i="19"/>
  <c r="AL201" i="19"/>
  <c r="AM201" i="19"/>
  <c r="AN201" i="19"/>
  <c r="AO201" i="19"/>
  <c r="AP201" i="19"/>
  <c r="AQ201" i="19"/>
  <c r="AR201" i="19"/>
  <c r="Z202" i="19"/>
  <c r="AA202" i="19"/>
  <c r="AB202" i="19"/>
  <c r="AC202" i="19"/>
  <c r="AD202" i="19"/>
  <c r="AE202" i="19"/>
  <c r="AF202" i="19"/>
  <c r="AG202" i="19"/>
  <c r="AH202" i="19"/>
  <c r="AI202" i="19"/>
  <c r="AJ202" i="19"/>
  <c r="AK202" i="19"/>
  <c r="AL202" i="19"/>
  <c r="AM202" i="19"/>
  <c r="AN202" i="19"/>
  <c r="AO202" i="19"/>
  <c r="AP202" i="19"/>
  <c r="AQ202" i="19"/>
  <c r="AR202" i="19"/>
  <c r="Z203" i="19"/>
  <c r="AA203" i="19"/>
  <c r="AB203" i="19"/>
  <c r="AC203" i="19"/>
  <c r="AD203" i="19"/>
  <c r="AE203" i="19"/>
  <c r="AF203" i="19"/>
  <c r="AG203" i="19"/>
  <c r="AH203" i="19"/>
  <c r="AI203" i="19"/>
  <c r="AJ203" i="19"/>
  <c r="AK203" i="19"/>
  <c r="AL203" i="19"/>
  <c r="AM203" i="19"/>
  <c r="AN203" i="19"/>
  <c r="AO203" i="19"/>
  <c r="AP203" i="19"/>
  <c r="AQ203" i="19"/>
  <c r="AR203" i="19"/>
  <c r="Z204" i="19"/>
  <c r="AA204" i="19"/>
  <c r="AB204" i="19"/>
  <c r="AC204" i="19"/>
  <c r="AD204" i="19"/>
  <c r="AE204" i="19"/>
  <c r="AF204" i="19"/>
  <c r="AG204" i="19"/>
  <c r="AH204" i="19"/>
  <c r="AI204" i="19"/>
  <c r="AJ204" i="19"/>
  <c r="AK204" i="19"/>
  <c r="AL204" i="19"/>
  <c r="AM204" i="19"/>
  <c r="AN204" i="19"/>
  <c r="AO204" i="19"/>
  <c r="AP204" i="19"/>
  <c r="AQ204" i="19"/>
  <c r="AR204" i="19"/>
  <c r="Z205" i="19"/>
  <c r="AA205" i="19"/>
  <c r="AB205" i="19"/>
  <c r="AC205" i="19"/>
  <c r="AD205" i="19"/>
  <c r="AE205" i="19"/>
  <c r="AF205" i="19"/>
  <c r="AG205" i="19"/>
  <c r="AH205" i="19"/>
  <c r="AI205" i="19"/>
  <c r="AJ205" i="19"/>
  <c r="AK205" i="19"/>
  <c r="AL205" i="19"/>
  <c r="AM205" i="19"/>
  <c r="AN205" i="19"/>
  <c r="AO205" i="19"/>
  <c r="AP205" i="19"/>
  <c r="AQ205" i="19"/>
  <c r="AR205" i="19"/>
  <c r="Z206" i="19"/>
  <c r="AA206" i="19"/>
  <c r="AB206" i="19"/>
  <c r="AC206" i="19"/>
  <c r="AD206" i="19"/>
  <c r="AE206" i="19"/>
  <c r="AF206" i="19"/>
  <c r="AG206" i="19"/>
  <c r="AH206" i="19"/>
  <c r="AI206" i="19"/>
  <c r="AJ206" i="19"/>
  <c r="AK206" i="19"/>
  <c r="AL206" i="19"/>
  <c r="AM206" i="19"/>
  <c r="AN206" i="19"/>
  <c r="AO206" i="19"/>
  <c r="AP206" i="19"/>
  <c r="AQ206" i="19"/>
  <c r="AR206" i="19"/>
  <c r="Z207" i="19"/>
  <c r="AA207" i="19"/>
  <c r="AB207" i="19"/>
  <c r="AC207" i="19"/>
  <c r="AD207" i="19"/>
  <c r="AE207" i="19"/>
  <c r="AF207" i="19"/>
  <c r="AG207" i="19"/>
  <c r="AH207" i="19"/>
  <c r="AI207" i="19"/>
  <c r="AJ207" i="19"/>
  <c r="AK207" i="19"/>
  <c r="AL207" i="19"/>
  <c r="AM207" i="19"/>
  <c r="AN207" i="19"/>
  <c r="AO207" i="19"/>
  <c r="AP207" i="19"/>
  <c r="AQ207" i="19"/>
  <c r="AR207" i="19"/>
  <c r="Z208" i="19"/>
  <c r="AA208" i="19"/>
  <c r="AB208" i="19"/>
  <c r="AC208" i="19"/>
  <c r="AD208" i="19"/>
  <c r="AE208" i="19"/>
  <c r="AF208" i="19"/>
  <c r="AG208" i="19"/>
  <c r="AH208" i="19"/>
  <c r="AI208" i="19"/>
  <c r="AJ208" i="19"/>
  <c r="AK208" i="19"/>
  <c r="AL208" i="19"/>
  <c r="AM208" i="19"/>
  <c r="AN208" i="19"/>
  <c r="AO208" i="19"/>
  <c r="AP208" i="19"/>
  <c r="AQ208" i="19"/>
  <c r="AR208" i="19"/>
  <c r="Z209" i="19"/>
  <c r="AA209" i="19"/>
  <c r="AB209" i="19"/>
  <c r="AC209" i="19"/>
  <c r="AD209" i="19"/>
  <c r="AE209" i="19"/>
  <c r="AF209" i="19"/>
  <c r="AG209" i="19"/>
  <c r="AH209" i="19"/>
  <c r="AI209" i="19"/>
  <c r="AJ209" i="19"/>
  <c r="AK209" i="19"/>
  <c r="AL209" i="19"/>
  <c r="AM209" i="19"/>
  <c r="AN209" i="19"/>
  <c r="AO209" i="19"/>
  <c r="AP209" i="19"/>
  <c r="AQ209" i="19"/>
  <c r="AR209" i="19"/>
  <c r="Z210" i="19"/>
  <c r="AA210" i="19"/>
  <c r="AB210" i="19"/>
  <c r="AC210" i="19"/>
  <c r="AD210" i="19"/>
  <c r="AE210" i="19"/>
  <c r="AF210" i="19"/>
  <c r="AG210" i="19"/>
  <c r="AH210" i="19"/>
  <c r="AI210" i="19"/>
  <c r="AJ210" i="19"/>
  <c r="AK210" i="19"/>
  <c r="AL210" i="19"/>
  <c r="AM210" i="19"/>
  <c r="AN210" i="19"/>
  <c r="AO210" i="19"/>
  <c r="AP210" i="19"/>
  <c r="AQ210" i="19"/>
  <c r="AR210" i="19"/>
  <c r="Z211" i="19"/>
  <c r="AA211" i="19"/>
  <c r="AB211" i="19"/>
  <c r="AC211" i="19"/>
  <c r="AD211" i="19"/>
  <c r="AE211" i="19"/>
  <c r="AF211" i="19"/>
  <c r="AG211" i="19"/>
  <c r="AH211" i="19"/>
  <c r="AI211" i="19"/>
  <c r="AJ211" i="19"/>
  <c r="AK211" i="19"/>
  <c r="AL211" i="19"/>
  <c r="AM211" i="19"/>
  <c r="AN211" i="19"/>
  <c r="AO211" i="19"/>
  <c r="AP211" i="19"/>
  <c r="AQ211" i="19"/>
  <c r="AR211" i="19"/>
  <c r="Z212" i="19"/>
  <c r="AA212" i="19"/>
  <c r="AB212" i="19"/>
  <c r="AC212" i="19"/>
  <c r="AD212" i="19"/>
  <c r="AE212" i="19"/>
  <c r="AF212" i="19"/>
  <c r="AG212" i="19"/>
  <c r="AH212" i="19"/>
  <c r="AI212" i="19"/>
  <c r="AJ212" i="19"/>
  <c r="AK212" i="19"/>
  <c r="AL212" i="19"/>
  <c r="AM212" i="19"/>
  <c r="AN212" i="19"/>
  <c r="AO212" i="19"/>
  <c r="AP212" i="19"/>
  <c r="AQ212" i="19"/>
  <c r="AR212" i="19"/>
  <c r="Z213" i="19"/>
  <c r="AA213" i="19"/>
  <c r="AB213" i="19"/>
  <c r="AC213" i="19"/>
  <c r="AD213" i="19"/>
  <c r="AE213" i="19"/>
  <c r="AF213" i="19"/>
  <c r="AG213" i="19"/>
  <c r="AH213" i="19"/>
  <c r="AI213" i="19"/>
  <c r="AJ213" i="19"/>
  <c r="AK213" i="19"/>
  <c r="AL213" i="19"/>
  <c r="AM213" i="19"/>
  <c r="AN213" i="19"/>
  <c r="AO213" i="19"/>
  <c r="AP213" i="19"/>
  <c r="AQ213" i="19"/>
  <c r="AR213" i="19"/>
  <c r="Z214" i="19"/>
  <c r="AA214" i="19"/>
  <c r="AB214" i="19"/>
  <c r="AC214" i="19"/>
  <c r="AD214" i="19"/>
  <c r="AE214" i="19"/>
  <c r="AF214" i="19"/>
  <c r="AG214" i="19"/>
  <c r="AH214" i="19"/>
  <c r="AI214" i="19"/>
  <c r="AJ214" i="19"/>
  <c r="AK214" i="19"/>
  <c r="AL214" i="19"/>
  <c r="AM214" i="19"/>
  <c r="AN214" i="19"/>
  <c r="AO214" i="19"/>
  <c r="AP214" i="19"/>
  <c r="AQ214" i="19"/>
  <c r="AR214" i="19"/>
  <c r="Z215" i="19"/>
  <c r="AA215" i="19"/>
  <c r="AB215" i="19"/>
  <c r="AC215" i="19"/>
  <c r="AD215" i="19"/>
  <c r="AE215" i="19"/>
  <c r="AF215" i="19"/>
  <c r="AG215" i="19"/>
  <c r="AH215" i="19"/>
  <c r="AI215" i="19"/>
  <c r="AJ215" i="19"/>
  <c r="AK215" i="19"/>
  <c r="AL215" i="19"/>
  <c r="AM215" i="19"/>
  <c r="AN215" i="19"/>
  <c r="AO215" i="19"/>
  <c r="AP215" i="19"/>
  <c r="AQ215" i="19"/>
  <c r="AR215" i="19"/>
  <c r="Z216" i="19"/>
  <c r="AA216" i="19"/>
  <c r="AB216" i="19"/>
  <c r="AC216" i="19"/>
  <c r="AD216" i="19"/>
  <c r="AE216" i="19"/>
  <c r="AF216" i="19"/>
  <c r="AG216" i="19"/>
  <c r="AH216" i="19"/>
  <c r="AI216" i="19"/>
  <c r="AJ216" i="19"/>
  <c r="AK216" i="19"/>
  <c r="AL216" i="19"/>
  <c r="AM216" i="19"/>
  <c r="AN216" i="19"/>
  <c r="AO216" i="19"/>
  <c r="AP216" i="19"/>
  <c r="AQ216" i="19"/>
  <c r="AR216" i="19"/>
  <c r="Z217" i="19"/>
  <c r="AA217" i="19"/>
  <c r="AB217" i="19"/>
  <c r="AC217" i="19"/>
  <c r="AD217" i="19"/>
  <c r="AE217" i="19"/>
  <c r="AF217" i="19"/>
  <c r="AG217" i="19"/>
  <c r="AH217" i="19"/>
  <c r="AI217" i="19"/>
  <c r="AJ217" i="19"/>
  <c r="AK217" i="19"/>
  <c r="AL217" i="19"/>
  <c r="AM217" i="19"/>
  <c r="AN217" i="19"/>
  <c r="AO217" i="19"/>
  <c r="AP217" i="19"/>
  <c r="AQ217" i="19"/>
  <c r="AR217" i="19"/>
  <c r="Z218" i="19"/>
  <c r="AA218" i="19"/>
  <c r="AB218" i="19"/>
  <c r="AC218" i="19"/>
  <c r="AD218" i="19"/>
  <c r="AE218" i="19"/>
  <c r="AF218" i="19"/>
  <c r="AG218" i="19"/>
  <c r="AH218" i="19"/>
  <c r="AI218" i="19"/>
  <c r="AJ218" i="19"/>
  <c r="AK218" i="19"/>
  <c r="AL218" i="19"/>
  <c r="AM218" i="19"/>
  <c r="AN218" i="19"/>
  <c r="AO218" i="19"/>
  <c r="AP218" i="19"/>
  <c r="AQ218" i="19"/>
  <c r="AR218" i="19"/>
  <c r="Z219" i="19"/>
  <c r="AA219" i="19"/>
  <c r="AB219" i="19"/>
  <c r="AC219" i="19"/>
  <c r="AD219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AQ219" i="19"/>
  <c r="AR219" i="19"/>
  <c r="Z220" i="19"/>
  <c r="D218" i="32" s="1"/>
  <c r="AA220" i="19"/>
  <c r="AB220" i="19"/>
  <c r="AC220" i="19"/>
  <c r="AD220" i="19"/>
  <c r="AE220" i="19"/>
  <c r="AF220" i="19"/>
  <c r="AG220" i="19"/>
  <c r="AH220" i="19"/>
  <c r="AI220" i="19"/>
  <c r="AJ220" i="19"/>
  <c r="AK220" i="19"/>
  <c r="AL220" i="19"/>
  <c r="AM220" i="19"/>
  <c r="AN220" i="19"/>
  <c r="AO220" i="19"/>
  <c r="AP220" i="19"/>
  <c r="AQ220" i="19"/>
  <c r="AR220" i="19"/>
  <c r="Z221" i="19"/>
  <c r="AA221" i="19"/>
  <c r="AB221" i="19"/>
  <c r="AC221" i="19"/>
  <c r="AD221" i="19"/>
  <c r="AE221" i="19"/>
  <c r="AF221" i="19"/>
  <c r="AG221" i="19"/>
  <c r="AH221" i="19"/>
  <c r="AI221" i="19"/>
  <c r="AJ221" i="19"/>
  <c r="AK221" i="19"/>
  <c r="AL221" i="19"/>
  <c r="AM221" i="19"/>
  <c r="AN221" i="19"/>
  <c r="AO221" i="19"/>
  <c r="AP221" i="19"/>
  <c r="AQ221" i="19"/>
  <c r="AR221" i="19"/>
  <c r="Z222" i="19"/>
  <c r="AA222" i="19"/>
  <c r="AB222" i="19"/>
  <c r="AC222" i="19"/>
  <c r="AD222" i="19"/>
  <c r="AE222" i="19"/>
  <c r="AF222" i="19"/>
  <c r="AG222" i="19"/>
  <c r="AH222" i="19"/>
  <c r="AI222" i="19"/>
  <c r="AJ222" i="19"/>
  <c r="AK222" i="19"/>
  <c r="AL222" i="19"/>
  <c r="AM222" i="19"/>
  <c r="AN222" i="19"/>
  <c r="AO222" i="19"/>
  <c r="AP222" i="19"/>
  <c r="AQ222" i="19"/>
  <c r="AR222" i="19"/>
  <c r="Z223" i="19"/>
  <c r="AA223" i="19"/>
  <c r="AB223" i="19"/>
  <c r="AC223" i="19"/>
  <c r="AD223" i="19"/>
  <c r="AE223" i="19"/>
  <c r="AF223" i="19"/>
  <c r="AG223" i="19"/>
  <c r="AH223" i="19"/>
  <c r="AI223" i="19"/>
  <c r="AJ223" i="19"/>
  <c r="AK223" i="19"/>
  <c r="AL223" i="19"/>
  <c r="AM223" i="19"/>
  <c r="AN223" i="19"/>
  <c r="AO223" i="19"/>
  <c r="AP223" i="19"/>
  <c r="AQ223" i="19"/>
  <c r="AR223" i="19"/>
  <c r="Z224" i="19"/>
  <c r="AA224" i="19"/>
  <c r="AB224" i="19"/>
  <c r="AC224" i="19"/>
  <c r="AD224" i="19"/>
  <c r="AE224" i="19"/>
  <c r="AF224" i="19"/>
  <c r="AG224" i="19"/>
  <c r="AH224" i="19"/>
  <c r="AI224" i="19"/>
  <c r="AJ224" i="19"/>
  <c r="AK224" i="19"/>
  <c r="AL224" i="19"/>
  <c r="AM224" i="19"/>
  <c r="AN224" i="19"/>
  <c r="AO224" i="19"/>
  <c r="AP224" i="19"/>
  <c r="AQ224" i="19"/>
  <c r="AR224" i="19"/>
  <c r="Z225" i="19"/>
  <c r="AA225" i="19"/>
  <c r="AB225" i="19"/>
  <c r="AC225" i="19"/>
  <c r="AD225" i="19"/>
  <c r="AE225" i="19"/>
  <c r="AF225" i="19"/>
  <c r="AG225" i="19"/>
  <c r="AH225" i="19"/>
  <c r="AI225" i="19"/>
  <c r="AJ225" i="19"/>
  <c r="AK225" i="19"/>
  <c r="AL225" i="19"/>
  <c r="AM225" i="19"/>
  <c r="AN225" i="19"/>
  <c r="AO225" i="19"/>
  <c r="AP225" i="19"/>
  <c r="AQ225" i="19"/>
  <c r="AR225" i="19"/>
  <c r="Z226" i="19"/>
  <c r="AA226" i="19"/>
  <c r="AB226" i="19"/>
  <c r="AC226" i="19"/>
  <c r="AD226" i="19"/>
  <c r="AE226" i="19"/>
  <c r="AF226" i="19"/>
  <c r="AG226" i="19"/>
  <c r="AH226" i="19"/>
  <c r="AI226" i="19"/>
  <c r="AJ226" i="19"/>
  <c r="AK226" i="19"/>
  <c r="AL226" i="19"/>
  <c r="AM226" i="19"/>
  <c r="AN226" i="19"/>
  <c r="AO226" i="19"/>
  <c r="AP226" i="19"/>
  <c r="AQ226" i="19"/>
  <c r="AR226" i="19"/>
  <c r="Z227" i="19"/>
  <c r="AA227" i="19"/>
  <c r="AB227" i="19"/>
  <c r="AC227" i="19"/>
  <c r="AD227" i="19"/>
  <c r="AE227" i="19"/>
  <c r="AF227" i="19"/>
  <c r="AG227" i="19"/>
  <c r="AH227" i="19"/>
  <c r="AI227" i="19"/>
  <c r="AJ227" i="19"/>
  <c r="AK227" i="19"/>
  <c r="AL227" i="19"/>
  <c r="AM227" i="19"/>
  <c r="AN227" i="19"/>
  <c r="AO227" i="19"/>
  <c r="AP227" i="19"/>
  <c r="AQ227" i="19"/>
  <c r="AR227" i="19"/>
  <c r="Z228" i="19"/>
  <c r="AA228" i="19"/>
  <c r="AB228" i="19"/>
  <c r="AC228" i="19"/>
  <c r="AD228" i="19"/>
  <c r="AE228" i="19"/>
  <c r="AF228" i="19"/>
  <c r="AG228" i="19"/>
  <c r="AH228" i="19"/>
  <c r="AI228" i="19"/>
  <c r="AJ228" i="19"/>
  <c r="AK228" i="19"/>
  <c r="AL228" i="19"/>
  <c r="AM228" i="19"/>
  <c r="AN228" i="19"/>
  <c r="AO228" i="19"/>
  <c r="AP228" i="19"/>
  <c r="AQ228" i="19"/>
  <c r="AR228" i="19"/>
  <c r="Z229" i="19"/>
  <c r="AA229" i="19"/>
  <c r="AB229" i="19"/>
  <c r="AC229" i="19"/>
  <c r="AD229" i="19"/>
  <c r="AE229" i="19"/>
  <c r="AF229" i="19"/>
  <c r="AG229" i="19"/>
  <c r="AH229" i="19"/>
  <c r="AI229" i="19"/>
  <c r="AJ229" i="19"/>
  <c r="AK229" i="19"/>
  <c r="AL229" i="19"/>
  <c r="AM229" i="19"/>
  <c r="AN229" i="19"/>
  <c r="AO229" i="19"/>
  <c r="AP229" i="19"/>
  <c r="AQ229" i="19"/>
  <c r="AR229" i="19"/>
  <c r="Z230" i="19"/>
  <c r="AA230" i="19"/>
  <c r="AB230" i="19"/>
  <c r="AC230" i="19"/>
  <c r="AD230" i="19"/>
  <c r="AE230" i="19"/>
  <c r="AF230" i="19"/>
  <c r="AG230" i="19"/>
  <c r="AH230" i="19"/>
  <c r="AI230" i="19"/>
  <c r="AJ230" i="19"/>
  <c r="AK230" i="19"/>
  <c r="AL230" i="19"/>
  <c r="AM230" i="19"/>
  <c r="AN230" i="19"/>
  <c r="AO230" i="19"/>
  <c r="AP230" i="19"/>
  <c r="AQ230" i="19"/>
  <c r="AR230" i="19"/>
  <c r="Z231" i="19"/>
  <c r="AA231" i="19"/>
  <c r="AB231" i="19"/>
  <c r="AC231" i="19"/>
  <c r="AD231" i="19"/>
  <c r="AE231" i="19"/>
  <c r="AF231" i="19"/>
  <c r="AG231" i="19"/>
  <c r="AH231" i="19"/>
  <c r="AI231" i="19"/>
  <c r="AJ231" i="19"/>
  <c r="AK231" i="19"/>
  <c r="AL231" i="19"/>
  <c r="AM231" i="19"/>
  <c r="AN231" i="19"/>
  <c r="AO231" i="19"/>
  <c r="AP231" i="19"/>
  <c r="AQ231" i="19"/>
  <c r="AR231" i="19"/>
  <c r="Z232" i="19"/>
  <c r="AA232" i="19"/>
  <c r="AB232" i="19"/>
  <c r="AC232" i="19"/>
  <c r="AD232" i="19"/>
  <c r="AE232" i="19"/>
  <c r="AF232" i="19"/>
  <c r="AG232" i="19"/>
  <c r="AH232" i="19"/>
  <c r="AI232" i="19"/>
  <c r="AJ232" i="19"/>
  <c r="AK232" i="19"/>
  <c r="AL232" i="19"/>
  <c r="AM232" i="19"/>
  <c r="AN232" i="19"/>
  <c r="AO232" i="19"/>
  <c r="AP232" i="19"/>
  <c r="AQ232" i="19"/>
  <c r="AR232" i="19"/>
  <c r="Z233" i="19"/>
  <c r="AA233" i="19"/>
  <c r="AB233" i="19"/>
  <c r="AC233" i="19"/>
  <c r="AD233" i="19"/>
  <c r="AE233" i="19"/>
  <c r="AF233" i="19"/>
  <c r="AG233" i="19"/>
  <c r="AH233" i="19"/>
  <c r="AI233" i="19"/>
  <c r="AJ233" i="19"/>
  <c r="AK233" i="19"/>
  <c r="AL233" i="19"/>
  <c r="AM233" i="19"/>
  <c r="AN233" i="19"/>
  <c r="AO233" i="19"/>
  <c r="AP233" i="19"/>
  <c r="AQ233" i="19"/>
  <c r="AR233" i="19"/>
  <c r="Z234" i="19"/>
  <c r="AA234" i="19"/>
  <c r="AB234" i="19"/>
  <c r="AC234" i="19"/>
  <c r="AD234" i="19"/>
  <c r="AE234" i="19"/>
  <c r="AF234" i="19"/>
  <c r="AG234" i="19"/>
  <c r="AH234" i="19"/>
  <c r="AI234" i="19"/>
  <c r="AJ234" i="19"/>
  <c r="AK234" i="19"/>
  <c r="AL234" i="19"/>
  <c r="AM234" i="19"/>
  <c r="AN234" i="19"/>
  <c r="AO234" i="19"/>
  <c r="AP234" i="19"/>
  <c r="AQ234" i="19"/>
  <c r="AR234" i="19"/>
  <c r="Z235" i="19"/>
  <c r="AA235" i="19"/>
  <c r="AB235" i="19"/>
  <c r="AC235" i="19"/>
  <c r="AD235" i="19"/>
  <c r="AE235" i="19"/>
  <c r="AF235" i="19"/>
  <c r="AG235" i="19"/>
  <c r="AH235" i="19"/>
  <c r="AI235" i="19"/>
  <c r="AJ235" i="19"/>
  <c r="AK235" i="19"/>
  <c r="AL235" i="19"/>
  <c r="AM235" i="19"/>
  <c r="AN235" i="19"/>
  <c r="AO235" i="19"/>
  <c r="AP235" i="19"/>
  <c r="AQ235" i="19"/>
  <c r="AR235" i="19"/>
  <c r="Z236" i="19"/>
  <c r="AA236" i="19"/>
  <c r="AB236" i="19"/>
  <c r="AC236" i="19"/>
  <c r="AD236" i="19"/>
  <c r="AE236" i="19"/>
  <c r="AF236" i="19"/>
  <c r="AG236" i="19"/>
  <c r="AH236" i="19"/>
  <c r="AI236" i="19"/>
  <c r="AJ236" i="19"/>
  <c r="AK236" i="19"/>
  <c r="AL236" i="19"/>
  <c r="AM236" i="19"/>
  <c r="AN236" i="19"/>
  <c r="AO236" i="19"/>
  <c r="AP236" i="19"/>
  <c r="AQ236" i="19"/>
  <c r="AR236" i="19"/>
  <c r="Z237" i="19"/>
  <c r="AA237" i="19"/>
  <c r="AB237" i="19"/>
  <c r="AC237" i="19"/>
  <c r="AD237" i="19"/>
  <c r="AE237" i="19"/>
  <c r="AF237" i="19"/>
  <c r="AG237" i="19"/>
  <c r="AH237" i="19"/>
  <c r="AI237" i="19"/>
  <c r="AJ237" i="19"/>
  <c r="AK237" i="19"/>
  <c r="AL237" i="19"/>
  <c r="AM237" i="19"/>
  <c r="AN237" i="19"/>
  <c r="AO237" i="19"/>
  <c r="AP237" i="19"/>
  <c r="AQ237" i="19"/>
  <c r="AR237" i="19"/>
  <c r="Z238" i="19"/>
  <c r="AA238" i="19"/>
  <c r="AB238" i="19"/>
  <c r="AC238" i="19"/>
  <c r="AD238" i="19"/>
  <c r="AE238" i="19"/>
  <c r="AF238" i="19"/>
  <c r="AG238" i="19"/>
  <c r="AH238" i="19"/>
  <c r="AI238" i="19"/>
  <c r="AJ238" i="19"/>
  <c r="AK238" i="19"/>
  <c r="AL238" i="19"/>
  <c r="AM238" i="19"/>
  <c r="AN238" i="19"/>
  <c r="AO238" i="19"/>
  <c r="AP238" i="19"/>
  <c r="AQ238" i="19"/>
  <c r="AR238" i="19"/>
  <c r="Z239" i="19"/>
  <c r="AA239" i="19"/>
  <c r="AB239" i="19"/>
  <c r="AC239" i="19"/>
  <c r="AD239" i="19"/>
  <c r="AE239" i="19"/>
  <c r="AF239" i="19"/>
  <c r="AG239" i="19"/>
  <c r="AH239" i="19"/>
  <c r="AI239" i="19"/>
  <c r="AJ239" i="19"/>
  <c r="AK239" i="19"/>
  <c r="AL239" i="19"/>
  <c r="AM239" i="19"/>
  <c r="AN239" i="19"/>
  <c r="AO239" i="19"/>
  <c r="AP239" i="19"/>
  <c r="AQ239" i="19"/>
  <c r="AR239" i="19"/>
  <c r="Z240" i="19"/>
  <c r="AA240" i="19"/>
  <c r="AB240" i="19"/>
  <c r="AC240" i="19"/>
  <c r="AD240" i="19"/>
  <c r="AE240" i="19"/>
  <c r="AF240" i="19"/>
  <c r="AG240" i="19"/>
  <c r="AH240" i="19"/>
  <c r="AI240" i="19"/>
  <c r="AJ240" i="19"/>
  <c r="AK240" i="19"/>
  <c r="AL240" i="19"/>
  <c r="AM240" i="19"/>
  <c r="AN240" i="19"/>
  <c r="AO240" i="19"/>
  <c r="AP240" i="19"/>
  <c r="AQ240" i="19"/>
  <c r="AR240" i="19"/>
  <c r="Z241" i="19"/>
  <c r="AA241" i="19"/>
  <c r="AB241" i="19"/>
  <c r="AC241" i="19"/>
  <c r="AD241" i="19"/>
  <c r="AE241" i="19"/>
  <c r="AF241" i="19"/>
  <c r="AG241" i="19"/>
  <c r="AH241" i="19"/>
  <c r="AI241" i="19"/>
  <c r="AJ241" i="19"/>
  <c r="AK241" i="19"/>
  <c r="AL241" i="19"/>
  <c r="AM241" i="19"/>
  <c r="AN241" i="19"/>
  <c r="AO241" i="19"/>
  <c r="AP241" i="19"/>
  <c r="AQ241" i="19"/>
  <c r="AR241" i="19"/>
  <c r="Z242" i="19"/>
  <c r="AA242" i="19"/>
  <c r="AB242" i="19"/>
  <c r="AC242" i="19"/>
  <c r="AD242" i="19"/>
  <c r="AE242" i="19"/>
  <c r="AF242" i="19"/>
  <c r="AG242" i="19"/>
  <c r="AH242" i="19"/>
  <c r="AI242" i="19"/>
  <c r="AJ242" i="19"/>
  <c r="AK242" i="19"/>
  <c r="AL242" i="19"/>
  <c r="AM242" i="19"/>
  <c r="AN242" i="19"/>
  <c r="AO242" i="19"/>
  <c r="AP242" i="19"/>
  <c r="AQ242" i="19"/>
  <c r="AR242" i="19"/>
  <c r="Z243" i="19"/>
  <c r="AA243" i="19"/>
  <c r="AB243" i="19"/>
  <c r="AC243" i="19"/>
  <c r="AD243" i="19"/>
  <c r="AE243" i="19"/>
  <c r="AF243" i="19"/>
  <c r="AG243" i="19"/>
  <c r="AH243" i="19"/>
  <c r="AI243" i="19"/>
  <c r="AJ243" i="19"/>
  <c r="AK243" i="19"/>
  <c r="AL243" i="19"/>
  <c r="AM243" i="19"/>
  <c r="AN243" i="19"/>
  <c r="AO243" i="19"/>
  <c r="AP243" i="19"/>
  <c r="AQ243" i="19"/>
  <c r="AR243" i="19"/>
  <c r="Z244" i="19"/>
  <c r="AA244" i="19"/>
  <c r="AB244" i="19"/>
  <c r="AC244" i="19"/>
  <c r="AD244" i="19"/>
  <c r="AE244" i="19"/>
  <c r="AF244" i="19"/>
  <c r="AG244" i="19"/>
  <c r="AH244" i="19"/>
  <c r="AI244" i="19"/>
  <c r="AJ244" i="19"/>
  <c r="AK244" i="19"/>
  <c r="AL244" i="19"/>
  <c r="AM244" i="19"/>
  <c r="AN244" i="19"/>
  <c r="AO244" i="19"/>
  <c r="AP244" i="19"/>
  <c r="AQ244" i="19"/>
  <c r="AR244" i="19"/>
  <c r="Z245" i="19"/>
  <c r="D243" i="32" s="1"/>
  <c r="AA245" i="19"/>
  <c r="AB245" i="19"/>
  <c r="AC245" i="19"/>
  <c r="AD245" i="19"/>
  <c r="AE245" i="19"/>
  <c r="AF245" i="19"/>
  <c r="AG245" i="19"/>
  <c r="AH245" i="19"/>
  <c r="AI245" i="19"/>
  <c r="AJ245" i="19"/>
  <c r="AK245" i="19"/>
  <c r="AL245" i="19"/>
  <c r="AM245" i="19"/>
  <c r="AN245" i="19"/>
  <c r="AO245" i="19"/>
  <c r="AP245" i="19"/>
  <c r="AQ245" i="19"/>
  <c r="AR245" i="19"/>
  <c r="D243" i="33" s="1"/>
  <c r="Z246" i="19"/>
  <c r="AA246" i="19"/>
  <c r="AB246" i="19"/>
  <c r="AC246" i="19"/>
  <c r="AD246" i="19"/>
  <c r="AE246" i="19"/>
  <c r="AF246" i="19"/>
  <c r="AG246" i="19"/>
  <c r="AH246" i="19"/>
  <c r="AI246" i="19"/>
  <c r="AJ246" i="19"/>
  <c r="AK246" i="19"/>
  <c r="AL246" i="19"/>
  <c r="AM246" i="19"/>
  <c r="AN246" i="19"/>
  <c r="AO246" i="19"/>
  <c r="AP246" i="19"/>
  <c r="AQ246" i="19"/>
  <c r="AR246" i="19"/>
  <c r="Z247" i="19"/>
  <c r="AA247" i="19"/>
  <c r="AB247" i="19"/>
  <c r="AC247" i="19"/>
  <c r="AD247" i="19"/>
  <c r="AE247" i="19"/>
  <c r="AF247" i="19"/>
  <c r="AG247" i="19"/>
  <c r="AH247" i="19"/>
  <c r="AI247" i="19"/>
  <c r="AJ247" i="19"/>
  <c r="AK247" i="19"/>
  <c r="AL247" i="19"/>
  <c r="AM247" i="19"/>
  <c r="AN247" i="19"/>
  <c r="AO247" i="19"/>
  <c r="AP247" i="19"/>
  <c r="AQ247" i="19"/>
  <c r="AR247" i="19"/>
  <c r="Z248" i="19"/>
  <c r="AA248" i="19"/>
  <c r="AB248" i="19"/>
  <c r="AC248" i="19"/>
  <c r="AD248" i="19"/>
  <c r="AE248" i="19"/>
  <c r="AF248" i="19"/>
  <c r="AG248" i="19"/>
  <c r="AH248" i="19"/>
  <c r="AI248" i="19"/>
  <c r="AJ248" i="19"/>
  <c r="AK248" i="19"/>
  <c r="AL248" i="19"/>
  <c r="AM248" i="19"/>
  <c r="AN248" i="19"/>
  <c r="AO248" i="19"/>
  <c r="AP248" i="19"/>
  <c r="AQ248" i="19"/>
  <c r="AR248" i="19"/>
  <c r="Z249" i="19"/>
  <c r="AA249" i="19"/>
  <c r="AB249" i="19"/>
  <c r="AC249" i="19"/>
  <c r="AD249" i="19"/>
  <c r="AE249" i="19"/>
  <c r="AF249" i="19"/>
  <c r="AG249" i="19"/>
  <c r="AH249" i="19"/>
  <c r="AI249" i="19"/>
  <c r="AJ249" i="19"/>
  <c r="AK249" i="19"/>
  <c r="AL249" i="19"/>
  <c r="AM249" i="19"/>
  <c r="AN249" i="19"/>
  <c r="AO249" i="19"/>
  <c r="AP249" i="19"/>
  <c r="AQ249" i="19"/>
  <c r="AR249" i="19"/>
  <c r="Z250" i="19"/>
  <c r="AA250" i="19"/>
  <c r="AB250" i="19"/>
  <c r="AC250" i="19"/>
  <c r="AD250" i="19"/>
  <c r="AE250" i="19"/>
  <c r="AF250" i="19"/>
  <c r="AG250" i="19"/>
  <c r="AH250" i="19"/>
  <c r="AI250" i="19"/>
  <c r="AJ250" i="19"/>
  <c r="AK250" i="19"/>
  <c r="AL250" i="19"/>
  <c r="AM250" i="19"/>
  <c r="AN250" i="19"/>
  <c r="AO250" i="19"/>
  <c r="AP250" i="19"/>
  <c r="AQ250" i="19"/>
  <c r="AR250" i="19"/>
  <c r="Z251" i="19"/>
  <c r="AA251" i="19"/>
  <c r="AB251" i="19"/>
  <c r="AC251" i="19"/>
  <c r="AD251" i="19"/>
  <c r="AE251" i="19"/>
  <c r="AF251" i="19"/>
  <c r="AG251" i="19"/>
  <c r="AH251" i="19"/>
  <c r="AI251" i="19"/>
  <c r="AJ251" i="19"/>
  <c r="AK251" i="19"/>
  <c r="AL251" i="19"/>
  <c r="AM251" i="19"/>
  <c r="AN251" i="19"/>
  <c r="AO251" i="19"/>
  <c r="AP251" i="19"/>
  <c r="AQ251" i="19"/>
  <c r="AR251" i="19"/>
  <c r="Z252" i="19"/>
  <c r="AA252" i="19"/>
  <c r="AB252" i="19"/>
  <c r="AC252" i="19"/>
  <c r="AD252" i="19"/>
  <c r="AE252" i="19"/>
  <c r="AF252" i="19"/>
  <c r="AG252" i="19"/>
  <c r="AH252" i="19"/>
  <c r="AI252" i="19"/>
  <c r="AJ252" i="19"/>
  <c r="AK252" i="19"/>
  <c r="AL252" i="19"/>
  <c r="AM252" i="19"/>
  <c r="AN252" i="19"/>
  <c r="AO252" i="19"/>
  <c r="AP252" i="19"/>
  <c r="AQ252" i="19"/>
  <c r="AR252" i="19"/>
  <c r="Z253" i="19"/>
  <c r="AA253" i="19"/>
  <c r="AB253" i="19"/>
  <c r="AC253" i="19"/>
  <c r="AD253" i="19"/>
  <c r="AE253" i="19"/>
  <c r="AF253" i="19"/>
  <c r="AG253" i="19"/>
  <c r="AH253" i="19"/>
  <c r="AI253" i="19"/>
  <c r="AJ253" i="19"/>
  <c r="AK253" i="19"/>
  <c r="AL253" i="19"/>
  <c r="AM253" i="19"/>
  <c r="AN253" i="19"/>
  <c r="AO253" i="19"/>
  <c r="AP253" i="19"/>
  <c r="AQ253" i="19"/>
  <c r="AR253" i="19"/>
  <c r="Z254" i="19"/>
  <c r="AA254" i="19"/>
  <c r="AB254" i="19"/>
  <c r="AC254" i="19"/>
  <c r="AD254" i="19"/>
  <c r="AE254" i="19"/>
  <c r="AF254" i="19"/>
  <c r="AG254" i="19"/>
  <c r="AH254" i="19"/>
  <c r="AI254" i="19"/>
  <c r="AJ254" i="19"/>
  <c r="AK254" i="19"/>
  <c r="AL254" i="19"/>
  <c r="AM254" i="19"/>
  <c r="AN254" i="19"/>
  <c r="AO254" i="19"/>
  <c r="AP254" i="19"/>
  <c r="AQ254" i="19"/>
  <c r="AR254" i="19"/>
  <c r="Z255" i="19"/>
  <c r="AA255" i="19"/>
  <c r="AB255" i="19"/>
  <c r="AC255" i="19"/>
  <c r="AD255" i="19"/>
  <c r="AE255" i="19"/>
  <c r="AF255" i="19"/>
  <c r="AG255" i="19"/>
  <c r="AH255" i="19"/>
  <c r="AI255" i="19"/>
  <c r="AJ255" i="19"/>
  <c r="AK255" i="19"/>
  <c r="AL255" i="19"/>
  <c r="AM255" i="19"/>
  <c r="AN255" i="19"/>
  <c r="AO255" i="19"/>
  <c r="AP255" i="19"/>
  <c r="AQ255" i="19"/>
  <c r="AR255" i="19"/>
  <c r="Z256" i="19"/>
  <c r="AA256" i="19"/>
  <c r="AB256" i="19"/>
  <c r="AC256" i="19"/>
  <c r="AD256" i="19"/>
  <c r="AE256" i="19"/>
  <c r="AF256" i="19"/>
  <c r="AG256" i="19"/>
  <c r="AH256" i="19"/>
  <c r="AI256" i="19"/>
  <c r="AJ256" i="19"/>
  <c r="AK256" i="19"/>
  <c r="AL256" i="19"/>
  <c r="AM256" i="19"/>
  <c r="AN256" i="19"/>
  <c r="AO256" i="19"/>
  <c r="AP256" i="19"/>
  <c r="AQ256" i="19"/>
  <c r="AR256" i="19"/>
  <c r="Z257" i="19"/>
  <c r="AA257" i="19"/>
  <c r="AB257" i="19"/>
  <c r="AC257" i="19"/>
  <c r="AD257" i="19"/>
  <c r="AE257" i="19"/>
  <c r="AF257" i="19"/>
  <c r="AG257" i="19"/>
  <c r="AH257" i="19"/>
  <c r="AI257" i="19"/>
  <c r="AJ257" i="19"/>
  <c r="AK257" i="19"/>
  <c r="AL257" i="19"/>
  <c r="AM257" i="19"/>
  <c r="AN257" i="19"/>
  <c r="AO257" i="19"/>
  <c r="AP257" i="19"/>
  <c r="AQ257" i="19"/>
  <c r="AR257" i="19"/>
  <c r="Z258" i="19"/>
  <c r="AA258" i="19"/>
  <c r="AB258" i="19"/>
  <c r="AC258" i="19"/>
  <c r="AD258" i="19"/>
  <c r="AE258" i="19"/>
  <c r="AF258" i="19"/>
  <c r="AG258" i="19"/>
  <c r="AH258" i="19"/>
  <c r="AI258" i="19"/>
  <c r="AJ258" i="19"/>
  <c r="AK258" i="19"/>
  <c r="AL258" i="19"/>
  <c r="AM258" i="19"/>
  <c r="AN258" i="19"/>
  <c r="AO258" i="19"/>
  <c r="AP258" i="19"/>
  <c r="AQ258" i="19"/>
  <c r="AR258" i="19"/>
  <c r="Z259" i="19"/>
  <c r="AA259" i="19"/>
  <c r="AB259" i="19"/>
  <c r="AC259" i="19"/>
  <c r="AD259" i="19"/>
  <c r="AE259" i="19"/>
  <c r="AF259" i="19"/>
  <c r="AG259" i="19"/>
  <c r="AH259" i="19"/>
  <c r="AI259" i="19"/>
  <c r="AJ259" i="19"/>
  <c r="AK259" i="19"/>
  <c r="AL259" i="19"/>
  <c r="AM259" i="19"/>
  <c r="AN259" i="19"/>
  <c r="AO259" i="19"/>
  <c r="AP259" i="19"/>
  <c r="AQ259" i="19"/>
  <c r="AR259" i="19"/>
  <c r="Z260" i="19"/>
  <c r="AA260" i="19"/>
  <c r="AB260" i="19"/>
  <c r="AC260" i="19"/>
  <c r="AD260" i="19"/>
  <c r="AE260" i="19"/>
  <c r="AF260" i="19"/>
  <c r="AG260" i="19"/>
  <c r="AH260" i="19"/>
  <c r="AI260" i="19"/>
  <c r="AJ260" i="19"/>
  <c r="AK260" i="19"/>
  <c r="AL260" i="19"/>
  <c r="AM260" i="19"/>
  <c r="AN260" i="19"/>
  <c r="AO260" i="19"/>
  <c r="AP260" i="19"/>
  <c r="AQ260" i="19"/>
  <c r="AR260" i="19"/>
  <c r="Z261" i="19"/>
  <c r="AA261" i="19"/>
  <c r="AB261" i="19"/>
  <c r="AC261" i="19"/>
  <c r="AD261" i="19"/>
  <c r="AE261" i="19"/>
  <c r="AF261" i="19"/>
  <c r="AG261" i="19"/>
  <c r="AH261" i="19"/>
  <c r="AI261" i="19"/>
  <c r="AJ261" i="19"/>
  <c r="AK261" i="19"/>
  <c r="AL261" i="19"/>
  <c r="AM261" i="19"/>
  <c r="AN261" i="19"/>
  <c r="AO261" i="19"/>
  <c r="AP261" i="19"/>
  <c r="AQ261" i="19"/>
  <c r="AR261" i="19"/>
  <c r="Z262" i="19"/>
  <c r="AA262" i="19"/>
  <c r="AB262" i="19"/>
  <c r="AC262" i="19"/>
  <c r="AD262" i="19"/>
  <c r="AE262" i="19"/>
  <c r="AF262" i="19"/>
  <c r="AG262" i="19"/>
  <c r="AH262" i="19"/>
  <c r="AI262" i="19"/>
  <c r="AJ262" i="19"/>
  <c r="AK262" i="19"/>
  <c r="AL262" i="19"/>
  <c r="AM262" i="19"/>
  <c r="AN262" i="19"/>
  <c r="AO262" i="19"/>
  <c r="AP262" i="19"/>
  <c r="AQ262" i="19"/>
  <c r="AR262" i="19"/>
  <c r="Z263" i="19"/>
  <c r="AA263" i="19"/>
  <c r="AB263" i="19"/>
  <c r="AC263" i="19"/>
  <c r="AD263" i="19"/>
  <c r="AE263" i="19"/>
  <c r="AF263" i="19"/>
  <c r="AG263" i="19"/>
  <c r="AH263" i="19"/>
  <c r="AI263" i="19"/>
  <c r="AJ263" i="19"/>
  <c r="AK263" i="19"/>
  <c r="AL263" i="19"/>
  <c r="AM263" i="19"/>
  <c r="AN263" i="19"/>
  <c r="AO263" i="19"/>
  <c r="AP263" i="19"/>
  <c r="AQ263" i="19"/>
  <c r="AR263" i="19"/>
  <c r="Z264" i="19"/>
  <c r="AA264" i="19"/>
  <c r="AB264" i="19"/>
  <c r="AC264" i="19"/>
  <c r="AD264" i="19"/>
  <c r="AE264" i="19"/>
  <c r="AF264" i="19"/>
  <c r="AG264" i="19"/>
  <c r="AH264" i="19"/>
  <c r="AI264" i="19"/>
  <c r="AJ264" i="19"/>
  <c r="AK264" i="19"/>
  <c r="AL264" i="19"/>
  <c r="AM264" i="19"/>
  <c r="AN264" i="19"/>
  <c r="AO264" i="19"/>
  <c r="AP264" i="19"/>
  <c r="AQ264" i="19"/>
  <c r="AR264" i="19"/>
  <c r="Z265" i="19"/>
  <c r="AA265" i="19"/>
  <c r="AB265" i="19"/>
  <c r="AC265" i="19"/>
  <c r="AD265" i="19"/>
  <c r="AE265" i="19"/>
  <c r="AF265" i="19"/>
  <c r="AG265" i="19"/>
  <c r="AH265" i="19"/>
  <c r="AI265" i="19"/>
  <c r="AJ265" i="19"/>
  <c r="AK265" i="19"/>
  <c r="AL265" i="19"/>
  <c r="AM265" i="19"/>
  <c r="AN265" i="19"/>
  <c r="AO265" i="19"/>
  <c r="AP265" i="19"/>
  <c r="AQ265" i="19"/>
  <c r="AR265" i="19"/>
  <c r="Z266" i="19"/>
  <c r="AA266" i="19"/>
  <c r="AB266" i="19"/>
  <c r="AC266" i="19"/>
  <c r="AD266" i="19"/>
  <c r="AE266" i="19"/>
  <c r="AF266" i="19"/>
  <c r="AG266" i="19"/>
  <c r="AH266" i="19"/>
  <c r="AI266" i="19"/>
  <c r="AJ266" i="19"/>
  <c r="AK266" i="19"/>
  <c r="AL266" i="19"/>
  <c r="AM266" i="19"/>
  <c r="AN266" i="19"/>
  <c r="AO266" i="19"/>
  <c r="AP266" i="19"/>
  <c r="AQ266" i="19"/>
  <c r="AR266" i="19"/>
  <c r="Z267" i="19"/>
  <c r="AA267" i="19"/>
  <c r="AB267" i="19"/>
  <c r="AC267" i="19"/>
  <c r="AD267" i="19"/>
  <c r="AE267" i="19"/>
  <c r="AF267" i="19"/>
  <c r="AG267" i="19"/>
  <c r="AH267" i="19"/>
  <c r="AI267" i="19"/>
  <c r="AJ267" i="19"/>
  <c r="AK267" i="19"/>
  <c r="AL267" i="19"/>
  <c r="AM267" i="19"/>
  <c r="AN267" i="19"/>
  <c r="AO267" i="19"/>
  <c r="AP267" i="19"/>
  <c r="AQ267" i="19"/>
  <c r="AR267" i="19"/>
  <c r="Z268" i="19"/>
  <c r="AA268" i="19"/>
  <c r="AB268" i="19"/>
  <c r="AC268" i="19"/>
  <c r="AD268" i="19"/>
  <c r="AE268" i="19"/>
  <c r="AF268" i="19"/>
  <c r="AG268" i="19"/>
  <c r="AH268" i="19"/>
  <c r="AI268" i="19"/>
  <c r="AJ268" i="19"/>
  <c r="AK268" i="19"/>
  <c r="AL268" i="19"/>
  <c r="AM268" i="19"/>
  <c r="AN268" i="19"/>
  <c r="AO268" i="19"/>
  <c r="AP268" i="19"/>
  <c r="AQ268" i="19"/>
  <c r="AR268" i="19"/>
  <c r="Z269" i="19"/>
  <c r="AA269" i="19"/>
  <c r="AB269" i="19"/>
  <c r="AC269" i="19"/>
  <c r="AD269" i="19"/>
  <c r="AE269" i="19"/>
  <c r="AF269" i="19"/>
  <c r="AG269" i="19"/>
  <c r="AH269" i="19"/>
  <c r="AI269" i="19"/>
  <c r="AJ269" i="19"/>
  <c r="AK269" i="19"/>
  <c r="AL269" i="19"/>
  <c r="AM269" i="19"/>
  <c r="AN269" i="19"/>
  <c r="AO269" i="19"/>
  <c r="AP269" i="19"/>
  <c r="AQ269" i="19"/>
  <c r="AR269" i="19"/>
  <c r="Z270" i="19"/>
  <c r="AA270" i="19"/>
  <c r="AB270" i="19"/>
  <c r="AC270" i="19"/>
  <c r="AD270" i="19"/>
  <c r="AE270" i="19"/>
  <c r="AF270" i="19"/>
  <c r="AG270" i="19"/>
  <c r="AH270" i="19"/>
  <c r="AI270" i="19"/>
  <c r="AJ270" i="19"/>
  <c r="AK270" i="19"/>
  <c r="AL270" i="19"/>
  <c r="AM270" i="19"/>
  <c r="AN270" i="19"/>
  <c r="AO270" i="19"/>
  <c r="AP270" i="19"/>
  <c r="AQ270" i="19"/>
  <c r="AR270" i="19"/>
  <c r="Z271" i="19"/>
  <c r="AA271" i="19"/>
  <c r="AB271" i="19"/>
  <c r="AC271" i="19"/>
  <c r="AD271" i="19"/>
  <c r="AE271" i="19"/>
  <c r="AF271" i="19"/>
  <c r="AG271" i="19"/>
  <c r="AH271" i="19"/>
  <c r="AI271" i="19"/>
  <c r="AJ271" i="19"/>
  <c r="AK271" i="19"/>
  <c r="AL271" i="19"/>
  <c r="AM271" i="19"/>
  <c r="AN271" i="19"/>
  <c r="AO271" i="19"/>
  <c r="AP271" i="19"/>
  <c r="AQ271" i="19"/>
  <c r="AR271" i="19"/>
  <c r="Z272" i="19"/>
  <c r="AA272" i="19"/>
  <c r="AB272" i="19"/>
  <c r="AC272" i="19"/>
  <c r="AD272" i="19"/>
  <c r="AE272" i="19"/>
  <c r="AF272" i="19"/>
  <c r="AG272" i="19"/>
  <c r="AH272" i="19"/>
  <c r="AI272" i="19"/>
  <c r="AJ272" i="19"/>
  <c r="AK272" i="19"/>
  <c r="AL272" i="19"/>
  <c r="AM272" i="19"/>
  <c r="AN272" i="19"/>
  <c r="AO272" i="19"/>
  <c r="AP272" i="19"/>
  <c r="AQ272" i="19"/>
  <c r="AR272" i="19"/>
  <c r="Z273" i="19"/>
  <c r="AA273" i="19"/>
  <c r="AB273" i="19"/>
  <c r="AC273" i="19"/>
  <c r="AD273" i="19"/>
  <c r="AE273" i="19"/>
  <c r="AF273" i="19"/>
  <c r="AG273" i="19"/>
  <c r="AH273" i="19"/>
  <c r="AI273" i="19"/>
  <c r="AJ273" i="19"/>
  <c r="AK273" i="19"/>
  <c r="AL273" i="19"/>
  <c r="AM273" i="19"/>
  <c r="AN273" i="19"/>
  <c r="AO273" i="19"/>
  <c r="AP273" i="19"/>
  <c r="AQ273" i="19"/>
  <c r="AR273" i="19"/>
  <c r="Z274" i="19"/>
  <c r="AA274" i="19"/>
  <c r="AB274" i="19"/>
  <c r="AC274" i="19"/>
  <c r="AD274" i="19"/>
  <c r="AE274" i="19"/>
  <c r="AF274" i="19"/>
  <c r="AG274" i="19"/>
  <c r="AH274" i="19"/>
  <c r="AI274" i="19"/>
  <c r="AJ274" i="19"/>
  <c r="AK274" i="19"/>
  <c r="AL274" i="19"/>
  <c r="AM274" i="19"/>
  <c r="AN274" i="19"/>
  <c r="AO274" i="19"/>
  <c r="AP274" i="19"/>
  <c r="AQ274" i="19"/>
  <c r="AR274" i="19"/>
  <c r="Z275" i="19"/>
  <c r="AA275" i="19"/>
  <c r="AB275" i="19"/>
  <c r="AC275" i="19"/>
  <c r="AD275" i="19"/>
  <c r="AE275" i="19"/>
  <c r="AF275" i="19"/>
  <c r="AG275" i="19"/>
  <c r="AH275" i="19"/>
  <c r="AI275" i="19"/>
  <c r="AJ275" i="19"/>
  <c r="AK275" i="19"/>
  <c r="AL275" i="19"/>
  <c r="AM275" i="19"/>
  <c r="AN275" i="19"/>
  <c r="AO275" i="19"/>
  <c r="AP275" i="19"/>
  <c r="AQ275" i="19"/>
  <c r="AR275" i="19"/>
  <c r="Z276" i="19"/>
  <c r="AA276" i="19"/>
  <c r="AB276" i="19"/>
  <c r="AC276" i="19"/>
  <c r="AD276" i="19"/>
  <c r="AE276" i="19"/>
  <c r="AF276" i="19"/>
  <c r="AG276" i="19"/>
  <c r="AH276" i="19"/>
  <c r="AI276" i="19"/>
  <c r="AJ276" i="19"/>
  <c r="AK276" i="19"/>
  <c r="AL276" i="19"/>
  <c r="AM276" i="19"/>
  <c r="AN276" i="19"/>
  <c r="AO276" i="19"/>
  <c r="AP276" i="19"/>
  <c r="AQ276" i="19"/>
  <c r="AR276" i="19"/>
  <c r="Z277" i="19"/>
  <c r="AA277" i="19"/>
  <c r="AB277" i="19"/>
  <c r="AC277" i="19"/>
  <c r="AD277" i="19"/>
  <c r="AE277" i="19"/>
  <c r="AF277" i="19"/>
  <c r="AG277" i="19"/>
  <c r="AH277" i="19"/>
  <c r="AI277" i="19"/>
  <c r="AJ277" i="19"/>
  <c r="AK277" i="19"/>
  <c r="AL277" i="19"/>
  <c r="AM277" i="19"/>
  <c r="AN277" i="19"/>
  <c r="AO277" i="19"/>
  <c r="AP277" i="19"/>
  <c r="AQ277" i="19"/>
  <c r="AR277" i="19"/>
  <c r="Z278" i="19"/>
  <c r="AA278" i="19"/>
  <c r="AB278" i="19"/>
  <c r="AC278" i="19"/>
  <c r="AD278" i="19"/>
  <c r="AE278" i="19"/>
  <c r="AF278" i="19"/>
  <c r="AG278" i="19"/>
  <c r="AH278" i="19"/>
  <c r="AI278" i="19"/>
  <c r="AJ278" i="19"/>
  <c r="AK278" i="19"/>
  <c r="AL278" i="19"/>
  <c r="AM278" i="19"/>
  <c r="AN278" i="19"/>
  <c r="AO278" i="19"/>
  <c r="AP278" i="19"/>
  <c r="AQ278" i="19"/>
  <c r="AR278" i="19"/>
  <c r="Z279" i="19"/>
  <c r="AA279" i="19"/>
  <c r="AB279" i="19"/>
  <c r="AC279" i="19"/>
  <c r="AD279" i="19"/>
  <c r="AE279" i="19"/>
  <c r="AF279" i="19"/>
  <c r="AG279" i="19"/>
  <c r="AH279" i="19"/>
  <c r="AI279" i="19"/>
  <c r="AJ279" i="19"/>
  <c r="AK279" i="19"/>
  <c r="AL279" i="19"/>
  <c r="AM279" i="19"/>
  <c r="AN279" i="19"/>
  <c r="AO279" i="19"/>
  <c r="AP279" i="19"/>
  <c r="AQ279" i="19"/>
  <c r="AR279" i="19"/>
  <c r="Z280" i="19"/>
  <c r="AA280" i="19"/>
  <c r="AB280" i="19"/>
  <c r="AC280" i="19"/>
  <c r="AD280" i="19"/>
  <c r="AE280" i="19"/>
  <c r="AF280" i="19"/>
  <c r="AG280" i="19"/>
  <c r="AH280" i="19"/>
  <c r="AI280" i="19"/>
  <c r="AJ280" i="19"/>
  <c r="AK280" i="19"/>
  <c r="AL280" i="19"/>
  <c r="AM280" i="19"/>
  <c r="AN280" i="19"/>
  <c r="AO280" i="19"/>
  <c r="AP280" i="19"/>
  <c r="AQ280" i="19"/>
  <c r="AR280" i="19"/>
  <c r="Z281" i="19"/>
  <c r="AA281" i="19"/>
  <c r="AB281" i="19"/>
  <c r="AC281" i="19"/>
  <c r="AD281" i="19"/>
  <c r="AE281" i="19"/>
  <c r="AF281" i="19"/>
  <c r="AG281" i="19"/>
  <c r="AH281" i="19"/>
  <c r="AI281" i="19"/>
  <c r="AJ281" i="19"/>
  <c r="AK281" i="19"/>
  <c r="AL281" i="19"/>
  <c r="AM281" i="19"/>
  <c r="AN281" i="19"/>
  <c r="AO281" i="19"/>
  <c r="AP281" i="19"/>
  <c r="AQ281" i="19"/>
  <c r="AR281" i="19"/>
  <c r="Z282" i="19"/>
  <c r="AA282" i="19"/>
  <c r="AB282" i="19"/>
  <c r="AC282" i="19"/>
  <c r="AD282" i="19"/>
  <c r="AE282" i="19"/>
  <c r="AF282" i="19"/>
  <c r="AG282" i="19"/>
  <c r="AH282" i="19"/>
  <c r="AI282" i="19"/>
  <c r="AJ282" i="19"/>
  <c r="AK282" i="19"/>
  <c r="AL282" i="19"/>
  <c r="AM282" i="19"/>
  <c r="AN282" i="19"/>
  <c r="AO282" i="19"/>
  <c r="AP282" i="19"/>
  <c r="AQ282" i="19"/>
  <c r="AR282" i="19"/>
  <c r="Z283" i="19"/>
  <c r="AA283" i="19"/>
  <c r="AB283" i="19"/>
  <c r="AC283" i="19"/>
  <c r="AD283" i="19"/>
  <c r="AE283" i="19"/>
  <c r="AF283" i="19"/>
  <c r="AG283" i="19"/>
  <c r="AH283" i="19"/>
  <c r="AI283" i="19"/>
  <c r="AJ283" i="19"/>
  <c r="AK283" i="19"/>
  <c r="AL283" i="19"/>
  <c r="AM283" i="19"/>
  <c r="AN283" i="19"/>
  <c r="AO283" i="19"/>
  <c r="AP283" i="19"/>
  <c r="AQ283" i="19"/>
  <c r="AR283" i="19"/>
  <c r="Z284" i="19"/>
  <c r="AA284" i="19"/>
  <c r="AB284" i="19"/>
  <c r="AC284" i="19"/>
  <c r="AD284" i="19"/>
  <c r="AE284" i="19"/>
  <c r="AF284" i="19"/>
  <c r="AG284" i="19"/>
  <c r="AH284" i="19"/>
  <c r="AI284" i="19"/>
  <c r="AJ284" i="19"/>
  <c r="AK284" i="19"/>
  <c r="AL284" i="19"/>
  <c r="AM284" i="19"/>
  <c r="AN284" i="19"/>
  <c r="AO284" i="19"/>
  <c r="AP284" i="19"/>
  <c r="AQ284" i="19"/>
  <c r="AR284" i="19"/>
  <c r="Z285" i="19"/>
  <c r="AA285" i="19"/>
  <c r="AB285" i="19"/>
  <c r="AC285" i="19"/>
  <c r="AD285" i="19"/>
  <c r="AE285" i="19"/>
  <c r="AF285" i="19"/>
  <c r="AG285" i="19"/>
  <c r="AH285" i="19"/>
  <c r="AI285" i="19"/>
  <c r="AJ285" i="19"/>
  <c r="AK285" i="19"/>
  <c r="AL285" i="19"/>
  <c r="AM285" i="19"/>
  <c r="AN285" i="19"/>
  <c r="AO285" i="19"/>
  <c r="AP285" i="19"/>
  <c r="AQ285" i="19"/>
  <c r="AR285" i="19"/>
  <c r="Z286" i="19"/>
  <c r="AA286" i="19"/>
  <c r="AB286" i="19"/>
  <c r="AC286" i="19"/>
  <c r="AD286" i="19"/>
  <c r="AE286" i="19"/>
  <c r="AF286" i="19"/>
  <c r="AG286" i="19"/>
  <c r="AH286" i="19"/>
  <c r="AI286" i="19"/>
  <c r="AJ286" i="19"/>
  <c r="AK286" i="19"/>
  <c r="AL286" i="19"/>
  <c r="AM286" i="19"/>
  <c r="AN286" i="19"/>
  <c r="AO286" i="19"/>
  <c r="AP286" i="19"/>
  <c r="AQ286" i="19"/>
  <c r="AR286" i="19"/>
  <c r="Z287" i="19"/>
  <c r="AA287" i="19"/>
  <c r="AB287" i="19"/>
  <c r="AC287" i="19"/>
  <c r="AD287" i="19"/>
  <c r="AE287" i="19"/>
  <c r="AF287" i="19"/>
  <c r="AG287" i="19"/>
  <c r="AH287" i="19"/>
  <c r="AI287" i="19"/>
  <c r="AJ287" i="19"/>
  <c r="AK287" i="19"/>
  <c r="AL287" i="19"/>
  <c r="AM287" i="19"/>
  <c r="AN287" i="19"/>
  <c r="AO287" i="19"/>
  <c r="AP287" i="19"/>
  <c r="AQ287" i="19"/>
  <c r="AR287" i="19"/>
  <c r="Z288" i="19"/>
  <c r="AA288" i="19"/>
  <c r="AB288" i="19"/>
  <c r="AC288" i="19"/>
  <c r="AD288" i="19"/>
  <c r="AE288" i="19"/>
  <c r="AF288" i="19"/>
  <c r="AG288" i="19"/>
  <c r="AH288" i="19"/>
  <c r="AI288" i="19"/>
  <c r="AJ288" i="19"/>
  <c r="AK288" i="19"/>
  <c r="AL288" i="19"/>
  <c r="AM288" i="19"/>
  <c r="AN288" i="19"/>
  <c r="AO288" i="19"/>
  <c r="AP288" i="19"/>
  <c r="AQ288" i="19"/>
  <c r="AR288" i="19"/>
  <c r="Z289" i="19"/>
  <c r="AA289" i="19"/>
  <c r="AB289" i="19"/>
  <c r="AC289" i="19"/>
  <c r="AD289" i="19"/>
  <c r="AE289" i="19"/>
  <c r="AF289" i="19"/>
  <c r="AG289" i="19"/>
  <c r="AH289" i="19"/>
  <c r="AI289" i="19"/>
  <c r="AJ289" i="19"/>
  <c r="AK289" i="19"/>
  <c r="AL289" i="19"/>
  <c r="AM289" i="19"/>
  <c r="AN289" i="19"/>
  <c r="AO289" i="19"/>
  <c r="AP289" i="19"/>
  <c r="AQ289" i="19"/>
  <c r="AR289" i="19"/>
  <c r="Z290" i="19"/>
  <c r="AA290" i="19"/>
  <c r="AB290" i="19"/>
  <c r="AC290" i="19"/>
  <c r="AD290" i="19"/>
  <c r="AE290" i="19"/>
  <c r="AF290" i="19"/>
  <c r="AG290" i="19"/>
  <c r="AH290" i="19"/>
  <c r="AI290" i="19"/>
  <c r="AJ290" i="19"/>
  <c r="AK290" i="19"/>
  <c r="AL290" i="19"/>
  <c r="AM290" i="19"/>
  <c r="AN290" i="19"/>
  <c r="AO290" i="19"/>
  <c r="AP290" i="19"/>
  <c r="AQ290" i="19"/>
  <c r="AR290" i="19"/>
  <c r="Z291" i="19"/>
  <c r="AA291" i="19"/>
  <c r="AB291" i="19"/>
  <c r="AC291" i="19"/>
  <c r="AD291" i="19"/>
  <c r="AE291" i="19"/>
  <c r="AF291" i="19"/>
  <c r="AG291" i="19"/>
  <c r="AH291" i="19"/>
  <c r="AI291" i="19"/>
  <c r="AJ291" i="19"/>
  <c r="AK291" i="19"/>
  <c r="AL291" i="19"/>
  <c r="AM291" i="19"/>
  <c r="AN291" i="19"/>
  <c r="AO291" i="19"/>
  <c r="AP291" i="19"/>
  <c r="AQ291" i="19"/>
  <c r="AR291" i="19"/>
  <c r="Z292" i="19"/>
  <c r="AA292" i="19"/>
  <c r="AB292" i="19"/>
  <c r="AC292" i="19"/>
  <c r="AD292" i="19"/>
  <c r="AE292" i="19"/>
  <c r="AF292" i="19"/>
  <c r="AG292" i="19"/>
  <c r="AH292" i="19"/>
  <c r="AI292" i="19"/>
  <c r="AJ292" i="19"/>
  <c r="AK292" i="19"/>
  <c r="AL292" i="19"/>
  <c r="AM292" i="19"/>
  <c r="AN292" i="19"/>
  <c r="AO292" i="19"/>
  <c r="AP292" i="19"/>
  <c r="AQ292" i="19"/>
  <c r="AR292" i="19"/>
  <c r="Z293" i="19"/>
  <c r="AA293" i="19"/>
  <c r="AB293" i="19"/>
  <c r="AC293" i="19"/>
  <c r="AD293" i="19"/>
  <c r="AE293" i="19"/>
  <c r="AF293" i="19"/>
  <c r="AG293" i="19"/>
  <c r="AH293" i="19"/>
  <c r="AI293" i="19"/>
  <c r="AJ293" i="19"/>
  <c r="AK293" i="19"/>
  <c r="AL293" i="19"/>
  <c r="AM293" i="19"/>
  <c r="AN293" i="19"/>
  <c r="AO293" i="19"/>
  <c r="AP293" i="19"/>
  <c r="AQ293" i="19"/>
  <c r="AR293" i="19"/>
  <c r="Z294" i="19"/>
  <c r="AA294" i="19"/>
  <c r="AB294" i="19"/>
  <c r="AC294" i="19"/>
  <c r="AD294" i="19"/>
  <c r="AE294" i="19"/>
  <c r="AF294" i="19"/>
  <c r="AG294" i="19"/>
  <c r="AH294" i="19"/>
  <c r="AI294" i="19"/>
  <c r="AJ294" i="19"/>
  <c r="AK294" i="19"/>
  <c r="AL294" i="19"/>
  <c r="AM294" i="19"/>
  <c r="AN294" i="19"/>
  <c r="AO294" i="19"/>
  <c r="AP294" i="19"/>
  <c r="AQ294" i="19"/>
  <c r="AR294" i="19"/>
  <c r="Z295" i="19"/>
  <c r="AA295" i="19"/>
  <c r="AB295" i="19"/>
  <c r="AC295" i="19"/>
  <c r="AD295" i="19"/>
  <c r="AE295" i="19"/>
  <c r="AF295" i="19"/>
  <c r="AG295" i="19"/>
  <c r="AH295" i="19"/>
  <c r="AI295" i="19"/>
  <c r="AJ295" i="19"/>
  <c r="AK295" i="19"/>
  <c r="AL295" i="19"/>
  <c r="AM295" i="19"/>
  <c r="AN295" i="19"/>
  <c r="AO295" i="19"/>
  <c r="AP295" i="19"/>
  <c r="AQ295" i="19"/>
  <c r="AR295" i="19"/>
  <c r="Z296" i="19"/>
  <c r="AA296" i="19"/>
  <c r="AB296" i="19"/>
  <c r="AC296" i="19"/>
  <c r="AD296" i="19"/>
  <c r="AE296" i="19"/>
  <c r="AF296" i="19"/>
  <c r="AG296" i="19"/>
  <c r="AH296" i="19"/>
  <c r="AI296" i="19"/>
  <c r="AJ296" i="19"/>
  <c r="AK296" i="19"/>
  <c r="AL296" i="19"/>
  <c r="AM296" i="19"/>
  <c r="AN296" i="19"/>
  <c r="AO296" i="19"/>
  <c r="AP296" i="19"/>
  <c r="AQ296" i="19"/>
  <c r="AR296" i="19"/>
  <c r="Z297" i="19"/>
  <c r="AA297" i="19"/>
  <c r="AB297" i="19"/>
  <c r="AC297" i="19"/>
  <c r="AD297" i="19"/>
  <c r="AE297" i="19"/>
  <c r="AF297" i="19"/>
  <c r="AG297" i="19"/>
  <c r="AH297" i="19"/>
  <c r="AI297" i="19"/>
  <c r="AJ297" i="19"/>
  <c r="AK297" i="19"/>
  <c r="AL297" i="19"/>
  <c r="AM297" i="19"/>
  <c r="AN297" i="19"/>
  <c r="AO297" i="19"/>
  <c r="AP297" i="19"/>
  <c r="AQ297" i="19"/>
  <c r="AR297" i="19"/>
  <c r="Z298" i="19"/>
  <c r="AA298" i="19"/>
  <c r="AB298" i="19"/>
  <c r="AC298" i="19"/>
  <c r="AD298" i="19"/>
  <c r="AE298" i="19"/>
  <c r="AF298" i="19"/>
  <c r="AG298" i="19"/>
  <c r="AH298" i="19"/>
  <c r="AI298" i="19"/>
  <c r="AJ298" i="19"/>
  <c r="AK298" i="19"/>
  <c r="AL298" i="19"/>
  <c r="AM298" i="19"/>
  <c r="AN298" i="19"/>
  <c r="AO298" i="19"/>
  <c r="AP298" i="19"/>
  <c r="AQ298" i="19"/>
  <c r="AR298" i="19"/>
  <c r="Z299" i="19"/>
  <c r="AA299" i="19"/>
  <c r="AB299" i="19"/>
  <c r="AC299" i="19"/>
  <c r="AD299" i="19"/>
  <c r="AE299" i="19"/>
  <c r="AF299" i="19"/>
  <c r="AG299" i="19"/>
  <c r="AH299" i="19"/>
  <c r="AI299" i="19"/>
  <c r="AJ299" i="19"/>
  <c r="AK299" i="19"/>
  <c r="AL299" i="19"/>
  <c r="AM299" i="19"/>
  <c r="AN299" i="19"/>
  <c r="AO299" i="19"/>
  <c r="AP299" i="19"/>
  <c r="AQ299" i="19"/>
  <c r="AR299" i="19"/>
  <c r="Z300" i="19"/>
  <c r="AA300" i="19"/>
  <c r="AB300" i="19"/>
  <c r="AC300" i="19"/>
  <c r="AD300" i="19"/>
  <c r="AE300" i="19"/>
  <c r="AF300" i="19"/>
  <c r="AG300" i="19"/>
  <c r="AH300" i="19"/>
  <c r="AI300" i="19"/>
  <c r="AJ300" i="19"/>
  <c r="AK300" i="19"/>
  <c r="AL300" i="19"/>
  <c r="AM300" i="19"/>
  <c r="AN300" i="19"/>
  <c r="AO300" i="19"/>
  <c r="AP300" i="19"/>
  <c r="AQ300" i="19"/>
  <c r="AR300" i="19"/>
  <c r="Z301" i="19"/>
  <c r="AA301" i="19"/>
  <c r="AB301" i="19"/>
  <c r="AC301" i="19"/>
  <c r="AD301" i="19"/>
  <c r="AE301" i="19"/>
  <c r="AF301" i="19"/>
  <c r="AG301" i="19"/>
  <c r="AH301" i="19"/>
  <c r="AI301" i="19"/>
  <c r="AJ301" i="19"/>
  <c r="AK301" i="19"/>
  <c r="AL301" i="19"/>
  <c r="AM301" i="19"/>
  <c r="AN301" i="19"/>
  <c r="AO301" i="19"/>
  <c r="AP301" i="19"/>
  <c r="AQ301" i="19"/>
  <c r="AR301" i="19"/>
  <c r="Z302" i="19"/>
  <c r="AA302" i="19"/>
  <c r="AB302" i="19"/>
  <c r="AC302" i="19"/>
  <c r="AD302" i="19"/>
  <c r="AE302" i="19"/>
  <c r="AF302" i="19"/>
  <c r="AG302" i="19"/>
  <c r="AH302" i="19"/>
  <c r="AI302" i="19"/>
  <c r="AJ302" i="19"/>
  <c r="AK302" i="19"/>
  <c r="AL302" i="19"/>
  <c r="AM302" i="19"/>
  <c r="AN302" i="19"/>
  <c r="AO302" i="19"/>
  <c r="AP302" i="19"/>
  <c r="AQ302" i="19"/>
  <c r="AR302" i="19"/>
  <c r="Z303" i="19"/>
  <c r="AA303" i="19"/>
  <c r="AB303" i="19"/>
  <c r="AC303" i="19"/>
  <c r="AD303" i="19"/>
  <c r="AE303" i="19"/>
  <c r="AF303" i="19"/>
  <c r="AG303" i="19"/>
  <c r="AH303" i="19"/>
  <c r="AI303" i="19"/>
  <c r="AJ303" i="19"/>
  <c r="AK303" i="19"/>
  <c r="AL303" i="19"/>
  <c r="AM303" i="19"/>
  <c r="AN303" i="19"/>
  <c r="AO303" i="19"/>
  <c r="AP303" i="19"/>
  <c r="AQ303" i="19"/>
  <c r="AR303" i="19"/>
  <c r="Z304" i="19"/>
  <c r="AA304" i="19"/>
  <c r="AB304" i="19"/>
  <c r="AC304" i="19"/>
  <c r="AD304" i="19"/>
  <c r="AE304" i="19"/>
  <c r="AF304" i="19"/>
  <c r="AG304" i="19"/>
  <c r="AH304" i="19"/>
  <c r="AI304" i="19"/>
  <c r="AJ304" i="19"/>
  <c r="AK304" i="19"/>
  <c r="AL304" i="19"/>
  <c r="AM304" i="19"/>
  <c r="AN304" i="19"/>
  <c r="AO304" i="19"/>
  <c r="AP304" i="19"/>
  <c r="AQ304" i="19"/>
  <c r="AR304" i="19"/>
  <c r="Z305" i="19"/>
  <c r="AA305" i="19"/>
  <c r="AB305" i="19"/>
  <c r="AC305" i="19"/>
  <c r="AD305" i="19"/>
  <c r="AE305" i="19"/>
  <c r="AF305" i="19"/>
  <c r="AG305" i="19"/>
  <c r="AH305" i="19"/>
  <c r="AI305" i="19"/>
  <c r="AJ305" i="19"/>
  <c r="AK305" i="19"/>
  <c r="AL305" i="19"/>
  <c r="AM305" i="19"/>
  <c r="AN305" i="19"/>
  <c r="AO305" i="19"/>
  <c r="AP305" i="19"/>
  <c r="AQ305" i="19"/>
  <c r="AR305" i="19"/>
  <c r="Z306" i="19"/>
  <c r="AA306" i="19"/>
  <c r="AB306" i="19"/>
  <c r="AC306" i="19"/>
  <c r="AD306" i="19"/>
  <c r="AE306" i="19"/>
  <c r="AF306" i="19"/>
  <c r="AG306" i="19"/>
  <c r="AH306" i="19"/>
  <c r="AI306" i="19"/>
  <c r="AJ306" i="19"/>
  <c r="AK306" i="19"/>
  <c r="AL306" i="19"/>
  <c r="AM306" i="19"/>
  <c r="AN306" i="19"/>
  <c r="AO306" i="19"/>
  <c r="AP306" i="19"/>
  <c r="AQ306" i="19"/>
  <c r="AR306" i="19"/>
  <c r="Z307" i="19"/>
  <c r="AA307" i="19"/>
  <c r="AB307" i="19"/>
  <c r="AC307" i="19"/>
  <c r="AD307" i="19"/>
  <c r="AE307" i="19"/>
  <c r="AF307" i="19"/>
  <c r="AG307" i="19"/>
  <c r="AH307" i="19"/>
  <c r="AI307" i="19"/>
  <c r="AJ307" i="19"/>
  <c r="AK307" i="19"/>
  <c r="AL307" i="19"/>
  <c r="AM307" i="19"/>
  <c r="AN307" i="19"/>
  <c r="AO307" i="19"/>
  <c r="AP307" i="19"/>
  <c r="AQ307" i="19"/>
  <c r="AR307" i="19"/>
  <c r="Z308" i="19"/>
  <c r="AA308" i="19"/>
  <c r="AB308" i="19"/>
  <c r="AC308" i="19"/>
  <c r="AD308" i="19"/>
  <c r="AE308" i="19"/>
  <c r="AF308" i="19"/>
  <c r="AG308" i="19"/>
  <c r="AH308" i="19"/>
  <c r="AI308" i="19"/>
  <c r="AJ308" i="19"/>
  <c r="AK308" i="19"/>
  <c r="AL308" i="19"/>
  <c r="AM308" i="19"/>
  <c r="AN308" i="19"/>
  <c r="AO308" i="19"/>
  <c r="AP308" i="19"/>
  <c r="AQ308" i="19"/>
  <c r="AR308" i="19"/>
  <c r="Z309" i="19"/>
  <c r="AA309" i="19"/>
  <c r="AB309" i="19"/>
  <c r="AC309" i="19"/>
  <c r="AD309" i="19"/>
  <c r="AE309" i="19"/>
  <c r="AF309" i="19"/>
  <c r="AG309" i="19"/>
  <c r="AH309" i="19"/>
  <c r="AI309" i="19"/>
  <c r="AJ309" i="19"/>
  <c r="AK309" i="19"/>
  <c r="AL309" i="19"/>
  <c r="AM309" i="19"/>
  <c r="AN309" i="19"/>
  <c r="AO309" i="19"/>
  <c r="AP309" i="19"/>
  <c r="AQ309" i="19"/>
  <c r="AR309" i="19"/>
  <c r="Z310" i="19"/>
  <c r="AA310" i="19"/>
  <c r="AB310" i="19"/>
  <c r="AC310" i="19"/>
  <c r="AD310" i="19"/>
  <c r="AE310" i="19"/>
  <c r="AF310" i="19"/>
  <c r="AG310" i="19"/>
  <c r="AH310" i="19"/>
  <c r="AI310" i="19"/>
  <c r="AJ310" i="19"/>
  <c r="AK310" i="19"/>
  <c r="AL310" i="19"/>
  <c r="AM310" i="19"/>
  <c r="AN310" i="19"/>
  <c r="AO310" i="19"/>
  <c r="AP310" i="19"/>
  <c r="AQ310" i="19"/>
  <c r="AR310" i="19"/>
  <c r="Z311" i="19"/>
  <c r="AA311" i="19"/>
  <c r="AB311" i="19"/>
  <c r="AC311" i="19"/>
  <c r="AD311" i="19"/>
  <c r="AE311" i="19"/>
  <c r="AF311" i="19"/>
  <c r="AG311" i="19"/>
  <c r="AH311" i="19"/>
  <c r="AI311" i="19"/>
  <c r="AJ311" i="19"/>
  <c r="AK311" i="19"/>
  <c r="AL311" i="19"/>
  <c r="AM311" i="19"/>
  <c r="AN311" i="19"/>
  <c r="AO311" i="19"/>
  <c r="AP311" i="19"/>
  <c r="AQ311" i="19"/>
  <c r="AR311" i="19"/>
  <c r="Z312" i="19"/>
  <c r="AA312" i="19"/>
  <c r="AB312" i="19"/>
  <c r="AC312" i="19"/>
  <c r="AD312" i="19"/>
  <c r="AE312" i="19"/>
  <c r="AF312" i="19"/>
  <c r="AG312" i="19"/>
  <c r="AH312" i="19"/>
  <c r="AI312" i="19"/>
  <c r="AJ312" i="19"/>
  <c r="AK312" i="19"/>
  <c r="AL312" i="19"/>
  <c r="AM312" i="19"/>
  <c r="AN312" i="19"/>
  <c r="AO312" i="19"/>
  <c r="AP312" i="19"/>
  <c r="AQ312" i="19"/>
  <c r="AR312" i="19"/>
  <c r="Z313" i="19"/>
  <c r="AA313" i="19"/>
  <c r="AB313" i="19"/>
  <c r="AC313" i="19"/>
  <c r="AD313" i="19"/>
  <c r="AE313" i="19"/>
  <c r="AF313" i="19"/>
  <c r="AG313" i="19"/>
  <c r="AH313" i="19"/>
  <c r="AI313" i="19"/>
  <c r="AJ313" i="19"/>
  <c r="AK313" i="19"/>
  <c r="AL313" i="19"/>
  <c r="AM313" i="19"/>
  <c r="AN313" i="19"/>
  <c r="AO313" i="19"/>
  <c r="AP313" i="19"/>
  <c r="AQ313" i="19"/>
  <c r="AR313" i="19"/>
  <c r="Z314" i="19"/>
  <c r="AA314" i="19"/>
  <c r="AB314" i="19"/>
  <c r="AC314" i="19"/>
  <c r="AD314" i="19"/>
  <c r="AE314" i="19"/>
  <c r="AF314" i="19"/>
  <c r="AG314" i="19"/>
  <c r="AH314" i="19"/>
  <c r="AI314" i="19"/>
  <c r="AJ314" i="19"/>
  <c r="AK314" i="19"/>
  <c r="AL314" i="19"/>
  <c r="AM314" i="19"/>
  <c r="AN314" i="19"/>
  <c r="AO314" i="19"/>
  <c r="AP314" i="19"/>
  <c r="AQ314" i="19"/>
  <c r="AR314" i="19"/>
  <c r="Z315" i="19"/>
  <c r="AA315" i="19"/>
  <c r="AB315" i="19"/>
  <c r="AC315" i="19"/>
  <c r="AD315" i="19"/>
  <c r="AE315" i="19"/>
  <c r="AF315" i="19"/>
  <c r="AG315" i="19"/>
  <c r="AH315" i="19"/>
  <c r="AI315" i="19"/>
  <c r="AJ315" i="19"/>
  <c r="AK315" i="19"/>
  <c r="AL315" i="19"/>
  <c r="AM315" i="19"/>
  <c r="AN315" i="19"/>
  <c r="AO315" i="19"/>
  <c r="AP315" i="19"/>
  <c r="AQ315" i="19"/>
  <c r="AR315" i="19"/>
  <c r="Y8" i="19"/>
  <c r="Y9" i="19"/>
  <c r="Y10" i="19"/>
  <c r="Y11" i="19"/>
  <c r="Y12" i="19"/>
  <c r="Y13" i="19"/>
  <c r="Y14" i="19"/>
  <c r="Y16" i="19"/>
  <c r="Y17" i="19"/>
  <c r="Y18" i="19"/>
  <c r="Y19" i="19"/>
  <c r="Y20" i="19"/>
  <c r="Y21" i="19"/>
  <c r="Y22" i="19"/>
  <c r="Y23" i="19"/>
  <c r="Y25" i="19"/>
  <c r="Y26" i="19"/>
  <c r="Y27" i="19"/>
  <c r="Y28" i="19"/>
  <c r="Y29" i="19"/>
  <c r="Y30" i="19"/>
  <c r="Y31" i="19"/>
  <c r="Y32" i="19"/>
  <c r="Y33" i="19"/>
  <c r="Y34" i="19"/>
  <c r="Y35" i="19"/>
  <c r="Y36" i="19"/>
  <c r="Y37" i="19"/>
  <c r="Y38" i="19"/>
  <c r="Y39" i="19"/>
  <c r="Y40" i="19"/>
  <c r="Y41" i="19"/>
  <c r="Y42" i="19"/>
  <c r="Y43" i="19"/>
  <c r="Y44" i="19"/>
  <c r="Y45" i="19"/>
  <c r="Y46" i="19"/>
  <c r="Y47" i="19"/>
  <c r="Y48" i="19"/>
  <c r="Y49" i="19"/>
  <c r="Y50" i="19"/>
  <c r="Y51" i="19"/>
  <c r="Y52" i="19"/>
  <c r="Y53" i="19"/>
  <c r="Y54" i="19"/>
  <c r="Y55" i="19"/>
  <c r="Y56" i="19"/>
  <c r="Y57" i="19"/>
  <c r="Y58" i="19"/>
  <c r="Y59" i="19"/>
  <c r="Y60" i="19"/>
  <c r="Y62" i="19"/>
  <c r="Y63" i="19"/>
  <c r="Y64" i="19"/>
  <c r="Y65" i="19"/>
  <c r="Y66" i="19"/>
  <c r="Y67" i="19"/>
  <c r="Y68" i="19"/>
  <c r="Y69" i="19"/>
  <c r="Y70" i="19"/>
  <c r="Y71" i="19"/>
  <c r="Y72" i="19"/>
  <c r="Y73" i="19"/>
  <c r="Y74" i="19"/>
  <c r="Y75" i="19"/>
  <c r="Y76" i="19"/>
  <c r="Y77" i="19"/>
  <c r="Y78" i="19"/>
  <c r="Y79" i="19"/>
  <c r="Y80" i="19"/>
  <c r="Y81" i="19"/>
  <c r="Y82" i="19"/>
  <c r="Y83" i="19"/>
  <c r="Y84" i="19"/>
  <c r="Y85" i="19"/>
  <c r="Y86" i="19"/>
  <c r="Y87" i="19"/>
  <c r="Y88" i="19"/>
  <c r="Y89" i="19"/>
  <c r="Y90" i="19"/>
  <c r="Y91" i="19"/>
  <c r="Y92" i="19"/>
  <c r="Y93" i="19"/>
  <c r="Y94" i="19"/>
  <c r="Y95" i="19"/>
  <c r="Y96" i="19"/>
  <c r="Y97" i="19"/>
  <c r="Y98" i="19"/>
  <c r="Y99" i="19"/>
  <c r="Y100" i="19"/>
  <c r="Y101" i="19"/>
  <c r="Y102" i="19"/>
  <c r="Y103" i="19"/>
  <c r="Y104" i="19"/>
  <c r="Y105" i="19"/>
  <c r="Y106" i="19"/>
  <c r="Y107" i="19"/>
  <c r="Y108" i="19"/>
  <c r="Y109" i="19"/>
  <c r="Y110" i="19"/>
  <c r="Y111" i="19"/>
  <c r="Y112" i="19"/>
  <c r="Y113" i="19"/>
  <c r="Y114" i="19"/>
  <c r="Y115" i="19"/>
  <c r="Y116" i="19"/>
  <c r="Y117" i="19"/>
  <c r="Y118" i="19"/>
  <c r="Y119" i="19"/>
  <c r="Y120" i="19"/>
  <c r="Y121" i="19"/>
  <c r="Y122" i="19"/>
  <c r="Y123" i="19"/>
  <c r="Y124" i="19"/>
  <c r="Y125" i="19"/>
  <c r="Y126" i="19"/>
  <c r="Y127" i="19"/>
  <c r="Y128" i="19"/>
  <c r="Y129" i="19"/>
  <c r="Y130" i="19"/>
  <c r="Y131" i="19"/>
  <c r="Y133" i="19"/>
  <c r="Y134" i="19"/>
  <c r="Y135" i="19"/>
  <c r="Y136" i="19"/>
  <c r="Y137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2" i="19"/>
  <c r="Y153" i="19"/>
  <c r="Y154" i="19"/>
  <c r="Y155" i="19"/>
  <c r="Y156" i="19"/>
  <c r="Y157" i="19"/>
  <c r="Y158" i="19"/>
  <c r="Y159" i="19"/>
  <c r="Y160" i="19"/>
  <c r="Y161" i="19"/>
  <c r="Y162" i="19"/>
  <c r="Y163" i="19"/>
  <c r="Y164" i="19"/>
  <c r="Y165" i="19"/>
  <c r="Y166" i="19"/>
  <c r="Y167" i="19"/>
  <c r="Y168" i="19"/>
  <c r="Y169" i="19"/>
  <c r="Y170" i="19"/>
  <c r="Y172" i="19"/>
  <c r="Y173" i="19"/>
  <c r="Y174" i="19"/>
  <c r="Y175" i="19"/>
  <c r="Y176" i="19"/>
  <c r="Y177" i="19"/>
  <c r="Y178" i="19"/>
  <c r="Y179" i="19"/>
  <c r="Y180" i="19"/>
  <c r="Y181" i="19"/>
  <c r="Y182" i="19"/>
  <c r="Y184" i="19"/>
  <c r="Y185" i="19"/>
  <c r="Y186" i="19"/>
  <c r="Y187" i="19"/>
  <c r="Y188" i="19"/>
  <c r="Y189" i="19"/>
  <c r="Y190" i="19"/>
  <c r="Y191" i="19"/>
  <c r="Y192" i="19"/>
  <c r="Y193" i="19"/>
  <c r="Y194" i="19"/>
  <c r="Y195" i="19"/>
  <c r="Y196" i="19"/>
  <c r="Y197" i="19"/>
  <c r="Y198" i="19"/>
  <c r="Y199" i="19"/>
  <c r="Y201" i="19"/>
  <c r="Y202" i="19"/>
  <c r="Y203" i="19"/>
  <c r="Y204" i="19"/>
  <c r="Y205" i="19"/>
  <c r="Y206" i="19"/>
  <c r="Y207" i="19"/>
  <c r="Y208" i="19"/>
  <c r="Y209" i="19"/>
  <c r="Y210" i="19"/>
  <c r="Y211" i="19"/>
  <c r="Y212" i="19"/>
  <c r="Y213" i="19"/>
  <c r="Y214" i="19"/>
  <c r="Y215" i="19"/>
  <c r="Y216" i="19"/>
  <c r="Y217" i="19"/>
  <c r="Y218" i="19"/>
  <c r="Y219" i="19"/>
  <c r="Y221" i="19"/>
  <c r="Y222" i="19"/>
  <c r="Y223" i="19"/>
  <c r="Y224" i="19"/>
  <c r="Y225" i="19"/>
  <c r="Y226" i="19"/>
  <c r="Y227" i="19"/>
  <c r="Y228" i="19"/>
  <c r="Y229" i="19"/>
  <c r="Y230" i="19"/>
  <c r="Y231" i="19"/>
  <c r="Y232" i="19"/>
  <c r="Y233" i="19"/>
  <c r="Y234" i="19"/>
  <c r="Y235" i="19"/>
  <c r="Y236" i="19"/>
  <c r="Y237" i="19"/>
  <c r="Y238" i="19"/>
  <c r="Y239" i="19"/>
  <c r="Y240" i="19"/>
  <c r="Y241" i="19"/>
  <c r="Y242" i="19"/>
  <c r="Y243" i="19"/>
  <c r="Y244" i="19"/>
  <c r="Y246" i="19"/>
  <c r="Y247" i="19"/>
  <c r="Y248" i="19"/>
  <c r="Y249" i="19"/>
  <c r="Y250" i="19"/>
  <c r="Y251" i="19"/>
  <c r="Y252" i="19"/>
  <c r="Y253" i="19"/>
  <c r="Y254" i="19"/>
  <c r="Y255" i="19"/>
  <c r="Y256" i="19"/>
  <c r="Y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Y311" i="19"/>
  <c r="Y312" i="19"/>
  <c r="Y313" i="19"/>
  <c r="Y314" i="19"/>
  <c r="Y315" i="19"/>
  <c r="V8" i="19"/>
  <c r="W8" i="19"/>
  <c r="X8" i="19"/>
  <c r="V9" i="19"/>
  <c r="W9" i="19"/>
  <c r="X9" i="19"/>
  <c r="V10" i="19"/>
  <c r="W10" i="19"/>
  <c r="X10" i="19"/>
  <c r="V11" i="19"/>
  <c r="W11" i="19"/>
  <c r="X11" i="19"/>
  <c r="V12" i="19"/>
  <c r="W12" i="19"/>
  <c r="X12" i="19"/>
  <c r="V13" i="19"/>
  <c r="W13" i="19"/>
  <c r="X13" i="19"/>
  <c r="V14" i="19"/>
  <c r="W14" i="19"/>
  <c r="X14" i="19"/>
  <c r="V15" i="19"/>
  <c r="Y15" i="19" s="1"/>
  <c r="C13" i="32" s="1"/>
  <c r="W15" i="19"/>
  <c r="X15" i="19"/>
  <c r="V16" i="19"/>
  <c r="W16" i="19"/>
  <c r="X16" i="19"/>
  <c r="V17" i="19"/>
  <c r="W17" i="19"/>
  <c r="X17" i="19"/>
  <c r="V18" i="19"/>
  <c r="W18" i="19"/>
  <c r="X18" i="19"/>
  <c r="V19" i="19"/>
  <c r="W19" i="19"/>
  <c r="X19" i="19"/>
  <c r="V20" i="19"/>
  <c r="W20" i="19"/>
  <c r="X20" i="19"/>
  <c r="V21" i="19"/>
  <c r="W21" i="19"/>
  <c r="X21" i="19"/>
  <c r="V22" i="19"/>
  <c r="W22" i="19"/>
  <c r="X22" i="19"/>
  <c r="V23" i="19"/>
  <c r="W23" i="19"/>
  <c r="X23" i="19"/>
  <c r="V24" i="19"/>
  <c r="Y24" i="19" s="1"/>
  <c r="C22" i="32" s="1"/>
  <c r="W24" i="19"/>
  <c r="X24" i="19"/>
  <c r="V25" i="19"/>
  <c r="W25" i="19"/>
  <c r="X25" i="19"/>
  <c r="V26" i="19"/>
  <c r="W26" i="19"/>
  <c r="X26" i="19"/>
  <c r="V27" i="19"/>
  <c r="W27" i="19"/>
  <c r="X27" i="19"/>
  <c r="V28" i="19"/>
  <c r="W28" i="19"/>
  <c r="X28" i="19"/>
  <c r="V29" i="19"/>
  <c r="W29" i="19"/>
  <c r="X29" i="19"/>
  <c r="V30" i="19"/>
  <c r="W30" i="19"/>
  <c r="X30" i="19"/>
  <c r="V31" i="19"/>
  <c r="W31" i="19"/>
  <c r="X31" i="19"/>
  <c r="V32" i="19"/>
  <c r="W32" i="19"/>
  <c r="X32" i="19"/>
  <c r="V33" i="19"/>
  <c r="W33" i="19"/>
  <c r="X33" i="19"/>
  <c r="V34" i="19"/>
  <c r="W34" i="19"/>
  <c r="X34" i="19"/>
  <c r="V35" i="19"/>
  <c r="W35" i="19"/>
  <c r="X35" i="19"/>
  <c r="V36" i="19"/>
  <c r="W36" i="19"/>
  <c r="X36" i="19"/>
  <c r="V37" i="19"/>
  <c r="W37" i="19"/>
  <c r="X37" i="19"/>
  <c r="V38" i="19"/>
  <c r="W38" i="19"/>
  <c r="X38" i="19"/>
  <c r="V39" i="19"/>
  <c r="W39" i="19"/>
  <c r="X39" i="19"/>
  <c r="V40" i="19"/>
  <c r="W40" i="19"/>
  <c r="X40" i="19"/>
  <c r="V41" i="19"/>
  <c r="W41" i="19"/>
  <c r="X41" i="19"/>
  <c r="V42" i="19"/>
  <c r="W42" i="19"/>
  <c r="X42" i="19"/>
  <c r="V43" i="19"/>
  <c r="W43" i="19"/>
  <c r="X43" i="19"/>
  <c r="V44" i="19"/>
  <c r="W44" i="19"/>
  <c r="X44" i="19"/>
  <c r="V45" i="19"/>
  <c r="W45" i="19"/>
  <c r="X45" i="19"/>
  <c r="V46" i="19"/>
  <c r="W46" i="19"/>
  <c r="X46" i="19"/>
  <c r="V47" i="19"/>
  <c r="W47" i="19"/>
  <c r="X47" i="19"/>
  <c r="V48" i="19"/>
  <c r="W48" i="19"/>
  <c r="X48" i="19"/>
  <c r="V49" i="19"/>
  <c r="W49" i="19"/>
  <c r="X49" i="19"/>
  <c r="V50" i="19"/>
  <c r="W50" i="19"/>
  <c r="X50" i="19"/>
  <c r="V51" i="19"/>
  <c r="W51" i="19"/>
  <c r="X51" i="19"/>
  <c r="V52" i="19"/>
  <c r="W52" i="19"/>
  <c r="X52" i="19"/>
  <c r="V53" i="19"/>
  <c r="W53" i="19"/>
  <c r="X53" i="19"/>
  <c r="V54" i="19"/>
  <c r="W54" i="19"/>
  <c r="X54" i="19"/>
  <c r="V55" i="19"/>
  <c r="W55" i="19"/>
  <c r="X55" i="19"/>
  <c r="V56" i="19"/>
  <c r="W56" i="19"/>
  <c r="X56" i="19"/>
  <c r="V57" i="19"/>
  <c r="W57" i="19"/>
  <c r="X57" i="19"/>
  <c r="V58" i="19"/>
  <c r="W58" i="19"/>
  <c r="X58" i="19"/>
  <c r="V59" i="19"/>
  <c r="W59" i="19"/>
  <c r="X59" i="19"/>
  <c r="V60" i="19"/>
  <c r="W60" i="19"/>
  <c r="X60" i="19"/>
  <c r="V61" i="19"/>
  <c r="W61" i="19"/>
  <c r="X61" i="19"/>
  <c r="V62" i="19"/>
  <c r="W62" i="19"/>
  <c r="X62" i="19"/>
  <c r="V63" i="19"/>
  <c r="W63" i="19"/>
  <c r="X63" i="19"/>
  <c r="V64" i="19"/>
  <c r="W64" i="19"/>
  <c r="X64" i="19"/>
  <c r="V65" i="19"/>
  <c r="W65" i="19"/>
  <c r="X65" i="19"/>
  <c r="V66" i="19"/>
  <c r="W66" i="19"/>
  <c r="X66" i="19"/>
  <c r="V67" i="19"/>
  <c r="W67" i="19"/>
  <c r="X67" i="19"/>
  <c r="V68" i="19"/>
  <c r="W68" i="19"/>
  <c r="X68" i="19"/>
  <c r="V69" i="19"/>
  <c r="W69" i="19"/>
  <c r="X69" i="19"/>
  <c r="V70" i="19"/>
  <c r="W70" i="19"/>
  <c r="X70" i="19"/>
  <c r="V71" i="19"/>
  <c r="W71" i="19"/>
  <c r="X71" i="19"/>
  <c r="V72" i="19"/>
  <c r="W72" i="19"/>
  <c r="X72" i="19"/>
  <c r="V73" i="19"/>
  <c r="W73" i="19"/>
  <c r="X73" i="19"/>
  <c r="V74" i="19"/>
  <c r="W74" i="19"/>
  <c r="X74" i="19"/>
  <c r="V75" i="19"/>
  <c r="W75" i="19"/>
  <c r="X75" i="19"/>
  <c r="V76" i="19"/>
  <c r="W76" i="19"/>
  <c r="X76" i="19"/>
  <c r="V77" i="19"/>
  <c r="W77" i="19"/>
  <c r="X77" i="19"/>
  <c r="V78" i="19"/>
  <c r="W78" i="19"/>
  <c r="X78" i="19"/>
  <c r="V79" i="19"/>
  <c r="W79" i="19"/>
  <c r="X79" i="19"/>
  <c r="V80" i="19"/>
  <c r="W80" i="19"/>
  <c r="X80" i="19"/>
  <c r="V81" i="19"/>
  <c r="W81" i="19"/>
  <c r="X81" i="19"/>
  <c r="V82" i="19"/>
  <c r="W82" i="19"/>
  <c r="X82" i="19"/>
  <c r="V83" i="19"/>
  <c r="W83" i="19"/>
  <c r="X83" i="19"/>
  <c r="V84" i="19"/>
  <c r="W84" i="19"/>
  <c r="X84" i="19"/>
  <c r="V85" i="19"/>
  <c r="W85" i="19"/>
  <c r="X85" i="19"/>
  <c r="V86" i="19"/>
  <c r="W86" i="19"/>
  <c r="X86" i="19"/>
  <c r="V87" i="19"/>
  <c r="W87" i="19"/>
  <c r="X87" i="19"/>
  <c r="V88" i="19"/>
  <c r="W88" i="19"/>
  <c r="X88" i="19"/>
  <c r="V89" i="19"/>
  <c r="W89" i="19"/>
  <c r="X89" i="19"/>
  <c r="V90" i="19"/>
  <c r="W90" i="19"/>
  <c r="X90" i="19"/>
  <c r="V91" i="19"/>
  <c r="W91" i="19"/>
  <c r="X91" i="19"/>
  <c r="V92" i="19"/>
  <c r="W92" i="19"/>
  <c r="X92" i="19"/>
  <c r="V93" i="19"/>
  <c r="W93" i="19"/>
  <c r="X93" i="19"/>
  <c r="V94" i="19"/>
  <c r="W94" i="19"/>
  <c r="X94" i="19"/>
  <c r="V95" i="19"/>
  <c r="W95" i="19"/>
  <c r="X95" i="19"/>
  <c r="V96" i="19"/>
  <c r="W96" i="19"/>
  <c r="X96" i="19"/>
  <c r="V97" i="19"/>
  <c r="W97" i="19"/>
  <c r="X97" i="19"/>
  <c r="V98" i="19"/>
  <c r="W98" i="19"/>
  <c r="X98" i="19"/>
  <c r="V99" i="19"/>
  <c r="W99" i="19"/>
  <c r="X99" i="19"/>
  <c r="V100" i="19"/>
  <c r="W100" i="19"/>
  <c r="X100" i="19"/>
  <c r="V101" i="19"/>
  <c r="W101" i="19"/>
  <c r="X101" i="19"/>
  <c r="V102" i="19"/>
  <c r="W102" i="19"/>
  <c r="X102" i="19"/>
  <c r="V103" i="19"/>
  <c r="W103" i="19"/>
  <c r="X103" i="19"/>
  <c r="V104" i="19"/>
  <c r="W104" i="19"/>
  <c r="X104" i="19"/>
  <c r="V105" i="19"/>
  <c r="W105" i="19"/>
  <c r="X105" i="19"/>
  <c r="V106" i="19"/>
  <c r="W106" i="19"/>
  <c r="X106" i="19"/>
  <c r="V107" i="19"/>
  <c r="W107" i="19"/>
  <c r="X107" i="19"/>
  <c r="V108" i="19"/>
  <c r="W108" i="19"/>
  <c r="X108" i="19"/>
  <c r="V109" i="19"/>
  <c r="W109" i="19"/>
  <c r="X109" i="19"/>
  <c r="V110" i="19"/>
  <c r="W110" i="19"/>
  <c r="X110" i="19"/>
  <c r="V111" i="19"/>
  <c r="W111" i="19"/>
  <c r="X111" i="19"/>
  <c r="V112" i="19"/>
  <c r="W112" i="19"/>
  <c r="X112" i="19"/>
  <c r="V113" i="19"/>
  <c r="W113" i="19"/>
  <c r="X113" i="19"/>
  <c r="V114" i="19"/>
  <c r="W114" i="19"/>
  <c r="X114" i="19"/>
  <c r="V115" i="19"/>
  <c r="W115" i="19"/>
  <c r="X115" i="19"/>
  <c r="V116" i="19"/>
  <c r="W116" i="19"/>
  <c r="X116" i="19"/>
  <c r="V117" i="19"/>
  <c r="W117" i="19"/>
  <c r="X117" i="19"/>
  <c r="V118" i="19"/>
  <c r="W118" i="19"/>
  <c r="X118" i="19"/>
  <c r="V119" i="19"/>
  <c r="W119" i="19"/>
  <c r="X119" i="19"/>
  <c r="V120" i="19"/>
  <c r="W120" i="19"/>
  <c r="X120" i="19"/>
  <c r="V121" i="19"/>
  <c r="W121" i="19"/>
  <c r="X121" i="19"/>
  <c r="V122" i="19"/>
  <c r="W122" i="19"/>
  <c r="X122" i="19"/>
  <c r="V123" i="19"/>
  <c r="W123" i="19"/>
  <c r="X123" i="19"/>
  <c r="V124" i="19"/>
  <c r="W124" i="19"/>
  <c r="X124" i="19"/>
  <c r="V125" i="19"/>
  <c r="W125" i="19"/>
  <c r="X125" i="19"/>
  <c r="V126" i="19"/>
  <c r="W126" i="19"/>
  <c r="X126" i="19"/>
  <c r="V127" i="19"/>
  <c r="W127" i="19"/>
  <c r="X127" i="19"/>
  <c r="V128" i="19"/>
  <c r="W128" i="19"/>
  <c r="X128" i="19"/>
  <c r="V129" i="19"/>
  <c r="W129" i="19"/>
  <c r="X129" i="19"/>
  <c r="V130" i="19"/>
  <c r="W130" i="19"/>
  <c r="X130" i="19"/>
  <c r="V131" i="19"/>
  <c r="W131" i="19"/>
  <c r="X131" i="19"/>
  <c r="V132" i="19"/>
  <c r="W132" i="19"/>
  <c r="X132" i="19"/>
  <c r="V133" i="19"/>
  <c r="W133" i="19"/>
  <c r="X133" i="19"/>
  <c r="V134" i="19"/>
  <c r="W134" i="19"/>
  <c r="X134" i="19"/>
  <c r="V135" i="19"/>
  <c r="W135" i="19"/>
  <c r="X135" i="19"/>
  <c r="V136" i="19"/>
  <c r="W136" i="19"/>
  <c r="X136" i="19"/>
  <c r="V137" i="19"/>
  <c r="W137" i="19"/>
  <c r="X137" i="19"/>
  <c r="V138" i="19"/>
  <c r="W138" i="19"/>
  <c r="X138" i="19"/>
  <c r="V139" i="19"/>
  <c r="W139" i="19"/>
  <c r="X139" i="19"/>
  <c r="V140" i="19"/>
  <c r="W140" i="19"/>
  <c r="X140" i="19"/>
  <c r="V141" i="19"/>
  <c r="W141" i="19"/>
  <c r="X141" i="19"/>
  <c r="V142" i="19"/>
  <c r="W142" i="19"/>
  <c r="X142" i="19"/>
  <c r="V143" i="19"/>
  <c r="W143" i="19"/>
  <c r="X143" i="19"/>
  <c r="V144" i="19"/>
  <c r="W144" i="19"/>
  <c r="X144" i="19"/>
  <c r="V145" i="19"/>
  <c r="W145" i="19"/>
  <c r="X145" i="19"/>
  <c r="V146" i="19"/>
  <c r="W146" i="19"/>
  <c r="X146" i="19"/>
  <c r="V147" i="19"/>
  <c r="W147" i="19"/>
  <c r="X147" i="19"/>
  <c r="V148" i="19"/>
  <c r="W148" i="19"/>
  <c r="X148" i="19"/>
  <c r="V149" i="19"/>
  <c r="W149" i="19"/>
  <c r="X149" i="19"/>
  <c r="V150" i="19"/>
  <c r="W150" i="19"/>
  <c r="X150" i="19"/>
  <c r="V151" i="19"/>
  <c r="Y151" i="19" s="1"/>
  <c r="C149" i="32" s="1"/>
  <c r="W151" i="19"/>
  <c r="X151" i="19"/>
  <c r="V152" i="19"/>
  <c r="W152" i="19"/>
  <c r="X152" i="19"/>
  <c r="V153" i="19"/>
  <c r="W153" i="19"/>
  <c r="X153" i="19"/>
  <c r="V154" i="19"/>
  <c r="W154" i="19"/>
  <c r="X154" i="19"/>
  <c r="V155" i="19"/>
  <c r="W155" i="19"/>
  <c r="X155" i="19"/>
  <c r="V156" i="19"/>
  <c r="W156" i="19"/>
  <c r="X156" i="19"/>
  <c r="V157" i="19"/>
  <c r="W157" i="19"/>
  <c r="X157" i="19"/>
  <c r="V158" i="19"/>
  <c r="W158" i="19"/>
  <c r="X158" i="19"/>
  <c r="V159" i="19"/>
  <c r="W159" i="19"/>
  <c r="X159" i="19"/>
  <c r="V160" i="19"/>
  <c r="W160" i="19"/>
  <c r="X160" i="19"/>
  <c r="V161" i="19"/>
  <c r="W161" i="19"/>
  <c r="X161" i="19"/>
  <c r="V162" i="19"/>
  <c r="W162" i="19"/>
  <c r="X162" i="19"/>
  <c r="V163" i="19"/>
  <c r="W163" i="19"/>
  <c r="X163" i="19"/>
  <c r="V164" i="19"/>
  <c r="W164" i="19"/>
  <c r="X164" i="19"/>
  <c r="V165" i="19"/>
  <c r="W165" i="19"/>
  <c r="X165" i="19"/>
  <c r="V166" i="19"/>
  <c r="W166" i="19"/>
  <c r="X166" i="19"/>
  <c r="V167" i="19"/>
  <c r="W167" i="19"/>
  <c r="X167" i="19"/>
  <c r="V168" i="19"/>
  <c r="W168" i="19"/>
  <c r="X168" i="19"/>
  <c r="V169" i="19"/>
  <c r="W169" i="19"/>
  <c r="X169" i="19"/>
  <c r="V170" i="19"/>
  <c r="W170" i="19"/>
  <c r="X170" i="19"/>
  <c r="V171" i="19"/>
  <c r="W171" i="19"/>
  <c r="X171" i="19"/>
  <c r="V172" i="19"/>
  <c r="W172" i="19"/>
  <c r="X172" i="19"/>
  <c r="V173" i="19"/>
  <c r="W173" i="19"/>
  <c r="X173" i="19"/>
  <c r="V174" i="19"/>
  <c r="W174" i="19"/>
  <c r="X174" i="19"/>
  <c r="V175" i="19"/>
  <c r="W175" i="19"/>
  <c r="X175" i="19"/>
  <c r="V176" i="19"/>
  <c r="W176" i="19"/>
  <c r="X176" i="19"/>
  <c r="V177" i="19"/>
  <c r="W177" i="19"/>
  <c r="X177" i="19"/>
  <c r="V178" i="19"/>
  <c r="W178" i="19"/>
  <c r="X178" i="19"/>
  <c r="V179" i="19"/>
  <c r="W179" i="19"/>
  <c r="X179" i="19"/>
  <c r="V180" i="19"/>
  <c r="W180" i="19"/>
  <c r="X180" i="19"/>
  <c r="V181" i="19"/>
  <c r="W181" i="19"/>
  <c r="X181" i="19"/>
  <c r="V182" i="19"/>
  <c r="W182" i="19"/>
  <c r="X182" i="19"/>
  <c r="V183" i="19"/>
  <c r="Y183" i="19" s="1"/>
  <c r="C181" i="32" s="1"/>
  <c r="E181" i="32" s="1"/>
  <c r="G181" i="32" s="1"/>
  <c r="W183" i="19"/>
  <c r="X183" i="19"/>
  <c r="V184" i="19"/>
  <c r="W184" i="19"/>
  <c r="X184" i="19"/>
  <c r="V185" i="19"/>
  <c r="W185" i="19"/>
  <c r="X185" i="19"/>
  <c r="V186" i="19"/>
  <c r="W186" i="19"/>
  <c r="X186" i="19"/>
  <c r="V187" i="19"/>
  <c r="W187" i="19"/>
  <c r="X187" i="19"/>
  <c r="V188" i="19"/>
  <c r="W188" i="19"/>
  <c r="X188" i="19"/>
  <c r="V189" i="19"/>
  <c r="W189" i="19"/>
  <c r="X189" i="19"/>
  <c r="V190" i="19"/>
  <c r="W190" i="19"/>
  <c r="X190" i="19"/>
  <c r="V191" i="19"/>
  <c r="W191" i="19"/>
  <c r="X191" i="19"/>
  <c r="V192" i="19"/>
  <c r="W192" i="19"/>
  <c r="X192" i="19"/>
  <c r="V193" i="19"/>
  <c r="W193" i="19"/>
  <c r="X193" i="19"/>
  <c r="V194" i="19"/>
  <c r="W194" i="19"/>
  <c r="X194" i="19"/>
  <c r="V195" i="19"/>
  <c r="W195" i="19"/>
  <c r="X195" i="19"/>
  <c r="V196" i="19"/>
  <c r="W196" i="19"/>
  <c r="X196" i="19"/>
  <c r="V197" i="19"/>
  <c r="W197" i="19"/>
  <c r="X197" i="19"/>
  <c r="V198" i="19"/>
  <c r="W198" i="19"/>
  <c r="X198" i="19"/>
  <c r="V199" i="19"/>
  <c r="W199" i="19"/>
  <c r="X199" i="19"/>
  <c r="V200" i="19"/>
  <c r="W200" i="19"/>
  <c r="X200" i="19"/>
  <c r="Y200" i="19" s="1"/>
  <c r="C198" i="32" s="1"/>
  <c r="E198" i="32" s="1"/>
  <c r="G198" i="32" s="1"/>
  <c r="V201" i="19"/>
  <c r="W201" i="19"/>
  <c r="X201" i="19"/>
  <c r="V202" i="19"/>
  <c r="W202" i="19"/>
  <c r="X202" i="19"/>
  <c r="V203" i="19"/>
  <c r="W203" i="19"/>
  <c r="X203" i="19"/>
  <c r="V204" i="19"/>
  <c r="W204" i="19"/>
  <c r="X204" i="19"/>
  <c r="V205" i="19"/>
  <c r="W205" i="19"/>
  <c r="X205" i="19"/>
  <c r="V206" i="19"/>
  <c r="W206" i="19"/>
  <c r="X206" i="19"/>
  <c r="V207" i="19"/>
  <c r="W207" i="19"/>
  <c r="X207" i="19"/>
  <c r="V208" i="19"/>
  <c r="W208" i="19"/>
  <c r="X208" i="19"/>
  <c r="V209" i="19"/>
  <c r="W209" i="19"/>
  <c r="X209" i="19"/>
  <c r="V210" i="19"/>
  <c r="W210" i="19"/>
  <c r="X210" i="19"/>
  <c r="V211" i="19"/>
  <c r="W211" i="19"/>
  <c r="X211" i="19"/>
  <c r="V212" i="19"/>
  <c r="W212" i="19"/>
  <c r="X212" i="19"/>
  <c r="V213" i="19"/>
  <c r="W213" i="19"/>
  <c r="X213" i="19"/>
  <c r="V214" i="19"/>
  <c r="W214" i="19"/>
  <c r="X214" i="19"/>
  <c r="V215" i="19"/>
  <c r="W215" i="19"/>
  <c r="X215" i="19"/>
  <c r="V216" i="19"/>
  <c r="W216" i="19"/>
  <c r="X216" i="19"/>
  <c r="V217" i="19"/>
  <c r="W217" i="19"/>
  <c r="X217" i="19"/>
  <c r="V218" i="19"/>
  <c r="W218" i="19"/>
  <c r="X218" i="19"/>
  <c r="V219" i="19"/>
  <c r="W219" i="19"/>
  <c r="X219" i="19"/>
  <c r="V220" i="19"/>
  <c r="W220" i="19"/>
  <c r="X220" i="19"/>
  <c r="V221" i="19"/>
  <c r="W221" i="19"/>
  <c r="X221" i="19"/>
  <c r="V222" i="19"/>
  <c r="W222" i="19"/>
  <c r="X222" i="19"/>
  <c r="V223" i="19"/>
  <c r="W223" i="19"/>
  <c r="X223" i="19"/>
  <c r="V224" i="19"/>
  <c r="W224" i="19"/>
  <c r="X224" i="19"/>
  <c r="V225" i="19"/>
  <c r="W225" i="19"/>
  <c r="X225" i="19"/>
  <c r="V226" i="19"/>
  <c r="W226" i="19"/>
  <c r="X226" i="19"/>
  <c r="V227" i="19"/>
  <c r="W227" i="19"/>
  <c r="X227" i="19"/>
  <c r="V228" i="19"/>
  <c r="W228" i="19"/>
  <c r="X228" i="19"/>
  <c r="V229" i="19"/>
  <c r="W229" i="19"/>
  <c r="X229" i="19"/>
  <c r="V230" i="19"/>
  <c r="W230" i="19"/>
  <c r="X230" i="19"/>
  <c r="V231" i="19"/>
  <c r="W231" i="19"/>
  <c r="X231" i="19"/>
  <c r="V232" i="19"/>
  <c r="W232" i="19"/>
  <c r="X232" i="19"/>
  <c r="V233" i="19"/>
  <c r="W233" i="19"/>
  <c r="X233" i="19"/>
  <c r="V234" i="19"/>
  <c r="W234" i="19"/>
  <c r="X234" i="19"/>
  <c r="V235" i="19"/>
  <c r="W235" i="19"/>
  <c r="X235" i="19"/>
  <c r="V236" i="19"/>
  <c r="W236" i="19"/>
  <c r="X236" i="19"/>
  <c r="V237" i="19"/>
  <c r="W237" i="19"/>
  <c r="X237" i="19"/>
  <c r="V238" i="19"/>
  <c r="W238" i="19"/>
  <c r="X238" i="19"/>
  <c r="V239" i="19"/>
  <c r="W239" i="19"/>
  <c r="X239" i="19"/>
  <c r="V240" i="19"/>
  <c r="W240" i="19"/>
  <c r="X240" i="19"/>
  <c r="V241" i="19"/>
  <c r="W241" i="19"/>
  <c r="X241" i="19"/>
  <c r="V242" i="19"/>
  <c r="W242" i="19"/>
  <c r="X242" i="19"/>
  <c r="V243" i="19"/>
  <c r="W243" i="19"/>
  <c r="X243" i="19"/>
  <c r="V244" i="19"/>
  <c r="W244" i="19"/>
  <c r="X244" i="19"/>
  <c r="V245" i="19"/>
  <c r="W245" i="19"/>
  <c r="X245" i="19"/>
  <c r="V246" i="19"/>
  <c r="W246" i="19"/>
  <c r="X246" i="19"/>
  <c r="V247" i="19"/>
  <c r="W247" i="19"/>
  <c r="X247" i="19"/>
  <c r="V248" i="19"/>
  <c r="W248" i="19"/>
  <c r="X248" i="19"/>
  <c r="V249" i="19"/>
  <c r="W249" i="19"/>
  <c r="X249" i="19"/>
  <c r="V250" i="19"/>
  <c r="W250" i="19"/>
  <c r="X250" i="19"/>
  <c r="V251" i="19"/>
  <c r="W251" i="19"/>
  <c r="X251" i="19"/>
  <c r="V252" i="19"/>
  <c r="W252" i="19"/>
  <c r="X252" i="19"/>
  <c r="V253" i="19"/>
  <c r="W253" i="19"/>
  <c r="X253" i="19"/>
  <c r="V254" i="19"/>
  <c r="W254" i="19"/>
  <c r="X254" i="19"/>
  <c r="V255" i="19"/>
  <c r="W255" i="19"/>
  <c r="X255" i="19"/>
  <c r="V256" i="19"/>
  <c r="W256" i="19"/>
  <c r="X256" i="19"/>
  <c r="V257" i="19"/>
  <c r="W257" i="19"/>
  <c r="X257" i="19"/>
  <c r="V258" i="19"/>
  <c r="W258" i="19"/>
  <c r="X258" i="19"/>
  <c r="V259" i="19"/>
  <c r="W259" i="19"/>
  <c r="X259" i="19"/>
  <c r="V260" i="19"/>
  <c r="W260" i="19"/>
  <c r="X260" i="19"/>
  <c r="V261" i="19"/>
  <c r="W261" i="19"/>
  <c r="X261" i="19"/>
  <c r="V262" i="19"/>
  <c r="W262" i="19"/>
  <c r="X262" i="19"/>
  <c r="V263" i="19"/>
  <c r="W263" i="19"/>
  <c r="X263" i="19"/>
  <c r="V264" i="19"/>
  <c r="W264" i="19"/>
  <c r="X264" i="19"/>
  <c r="V265" i="19"/>
  <c r="W265" i="19"/>
  <c r="X265" i="19"/>
  <c r="V266" i="19"/>
  <c r="W266" i="19"/>
  <c r="X266" i="19"/>
  <c r="V267" i="19"/>
  <c r="W267" i="19"/>
  <c r="X267" i="19"/>
  <c r="V268" i="19"/>
  <c r="W268" i="19"/>
  <c r="X268" i="19"/>
  <c r="V269" i="19"/>
  <c r="W269" i="19"/>
  <c r="X269" i="19"/>
  <c r="V270" i="19"/>
  <c r="W270" i="19"/>
  <c r="X270" i="19"/>
  <c r="V271" i="19"/>
  <c r="W271" i="19"/>
  <c r="X271" i="19"/>
  <c r="V272" i="19"/>
  <c r="W272" i="19"/>
  <c r="X272" i="19"/>
  <c r="V273" i="19"/>
  <c r="W273" i="19"/>
  <c r="X273" i="19"/>
  <c r="V274" i="19"/>
  <c r="W274" i="19"/>
  <c r="X274" i="19"/>
  <c r="V275" i="19"/>
  <c r="W275" i="19"/>
  <c r="X275" i="19"/>
  <c r="V276" i="19"/>
  <c r="W276" i="19"/>
  <c r="X276" i="19"/>
  <c r="V277" i="19"/>
  <c r="W277" i="19"/>
  <c r="X277" i="19"/>
  <c r="V278" i="19"/>
  <c r="W278" i="19"/>
  <c r="X278" i="19"/>
  <c r="V279" i="19"/>
  <c r="W279" i="19"/>
  <c r="X279" i="19"/>
  <c r="V280" i="19"/>
  <c r="W280" i="19"/>
  <c r="X280" i="19"/>
  <c r="V281" i="19"/>
  <c r="W281" i="19"/>
  <c r="X281" i="19"/>
  <c r="V282" i="19"/>
  <c r="W282" i="19"/>
  <c r="X282" i="19"/>
  <c r="V283" i="19"/>
  <c r="W283" i="19"/>
  <c r="X283" i="19"/>
  <c r="V284" i="19"/>
  <c r="W284" i="19"/>
  <c r="X284" i="19"/>
  <c r="V285" i="19"/>
  <c r="W285" i="19"/>
  <c r="X285" i="19"/>
  <c r="V286" i="19"/>
  <c r="W286" i="19"/>
  <c r="X286" i="19"/>
  <c r="V287" i="19"/>
  <c r="W287" i="19"/>
  <c r="X287" i="19"/>
  <c r="V288" i="19"/>
  <c r="W288" i="19"/>
  <c r="X288" i="19"/>
  <c r="V289" i="19"/>
  <c r="W289" i="19"/>
  <c r="X289" i="19"/>
  <c r="V290" i="19"/>
  <c r="W290" i="19"/>
  <c r="X290" i="19"/>
  <c r="V291" i="19"/>
  <c r="W291" i="19"/>
  <c r="X291" i="19"/>
  <c r="V292" i="19"/>
  <c r="W292" i="19"/>
  <c r="X292" i="19"/>
  <c r="V293" i="19"/>
  <c r="W293" i="19"/>
  <c r="X293" i="19"/>
  <c r="V294" i="19"/>
  <c r="W294" i="19"/>
  <c r="X294" i="19"/>
  <c r="V295" i="19"/>
  <c r="W295" i="19"/>
  <c r="X295" i="19"/>
  <c r="V296" i="19"/>
  <c r="W296" i="19"/>
  <c r="X296" i="19"/>
  <c r="V297" i="19"/>
  <c r="W297" i="19"/>
  <c r="X297" i="19"/>
  <c r="V298" i="19"/>
  <c r="W298" i="19"/>
  <c r="X298" i="19"/>
  <c r="V299" i="19"/>
  <c r="W299" i="19"/>
  <c r="X299" i="19"/>
  <c r="V300" i="19"/>
  <c r="W300" i="19"/>
  <c r="X300" i="19"/>
  <c r="V301" i="19"/>
  <c r="W301" i="19"/>
  <c r="X301" i="19"/>
  <c r="V302" i="19"/>
  <c r="W302" i="19"/>
  <c r="X302" i="19"/>
  <c r="V303" i="19"/>
  <c r="W303" i="19"/>
  <c r="X303" i="19"/>
  <c r="V304" i="19"/>
  <c r="W304" i="19"/>
  <c r="X304" i="19"/>
  <c r="V305" i="19"/>
  <c r="W305" i="19"/>
  <c r="X305" i="19"/>
  <c r="V306" i="19"/>
  <c r="W306" i="19"/>
  <c r="X306" i="19"/>
  <c r="V307" i="19"/>
  <c r="W307" i="19"/>
  <c r="X307" i="19"/>
  <c r="V308" i="19"/>
  <c r="W308" i="19"/>
  <c r="X308" i="19"/>
  <c r="V309" i="19"/>
  <c r="W309" i="19"/>
  <c r="X309" i="19"/>
  <c r="V310" i="19"/>
  <c r="W310" i="19"/>
  <c r="X310" i="19"/>
  <c r="V311" i="19"/>
  <c r="W311" i="19"/>
  <c r="X311" i="19"/>
  <c r="V312" i="19"/>
  <c r="W312" i="19"/>
  <c r="X312" i="19"/>
  <c r="V313" i="19"/>
  <c r="W313" i="19"/>
  <c r="X313" i="19"/>
  <c r="V314" i="19"/>
  <c r="W314" i="19"/>
  <c r="X314" i="19"/>
  <c r="V315" i="19"/>
  <c r="W315" i="19"/>
  <c r="X315" i="19"/>
  <c r="T8" i="19"/>
  <c r="U8" i="19"/>
  <c r="T9" i="19"/>
  <c r="U9" i="19"/>
  <c r="T10" i="19"/>
  <c r="U10" i="19"/>
  <c r="T11" i="19"/>
  <c r="U11" i="19"/>
  <c r="T12" i="19"/>
  <c r="U12" i="19"/>
  <c r="T13" i="19"/>
  <c r="U13" i="19"/>
  <c r="T14" i="19"/>
  <c r="U14" i="19"/>
  <c r="T16" i="19"/>
  <c r="U16" i="19"/>
  <c r="T17" i="19"/>
  <c r="U17" i="19"/>
  <c r="T18" i="19"/>
  <c r="U18" i="19"/>
  <c r="T19" i="19"/>
  <c r="U19" i="19"/>
  <c r="T20" i="19"/>
  <c r="U20" i="19"/>
  <c r="T21" i="19"/>
  <c r="U21" i="19"/>
  <c r="T22" i="19"/>
  <c r="U22" i="19"/>
  <c r="T23" i="19"/>
  <c r="U23" i="19"/>
  <c r="T25" i="19"/>
  <c r="U25" i="19"/>
  <c r="T26" i="19"/>
  <c r="U26" i="19"/>
  <c r="T27" i="19"/>
  <c r="U27" i="19"/>
  <c r="T28" i="19"/>
  <c r="U28" i="19"/>
  <c r="T29" i="19"/>
  <c r="U29" i="19"/>
  <c r="T30" i="19"/>
  <c r="U30" i="19"/>
  <c r="T31" i="19"/>
  <c r="U31" i="19"/>
  <c r="T32" i="19"/>
  <c r="U32" i="19"/>
  <c r="T33" i="19"/>
  <c r="U33" i="19"/>
  <c r="T34" i="19"/>
  <c r="U34" i="19"/>
  <c r="T35" i="19"/>
  <c r="U35" i="19"/>
  <c r="T36" i="19"/>
  <c r="U36" i="19"/>
  <c r="T37" i="19"/>
  <c r="U37" i="19"/>
  <c r="T38" i="19"/>
  <c r="U38" i="19"/>
  <c r="T39" i="19"/>
  <c r="U39" i="19"/>
  <c r="T40" i="19"/>
  <c r="U40" i="19"/>
  <c r="T41" i="19"/>
  <c r="U41" i="19"/>
  <c r="T42" i="19"/>
  <c r="U42" i="19"/>
  <c r="T43" i="19"/>
  <c r="U43" i="19"/>
  <c r="T44" i="19"/>
  <c r="U44" i="19"/>
  <c r="T45" i="19"/>
  <c r="U45" i="19"/>
  <c r="T46" i="19"/>
  <c r="U46" i="19"/>
  <c r="T47" i="19"/>
  <c r="U47" i="19"/>
  <c r="T48" i="19"/>
  <c r="U48" i="19"/>
  <c r="T49" i="19"/>
  <c r="U49" i="19"/>
  <c r="T50" i="19"/>
  <c r="U50" i="19"/>
  <c r="T51" i="19"/>
  <c r="U51" i="19"/>
  <c r="T52" i="19"/>
  <c r="U52" i="19"/>
  <c r="T53" i="19"/>
  <c r="U53" i="19"/>
  <c r="T54" i="19"/>
  <c r="U54" i="19"/>
  <c r="T55" i="19"/>
  <c r="U55" i="19"/>
  <c r="T56" i="19"/>
  <c r="U56" i="19"/>
  <c r="T57" i="19"/>
  <c r="U57" i="19"/>
  <c r="T59" i="19"/>
  <c r="U59" i="19"/>
  <c r="T60" i="19"/>
  <c r="U60" i="19"/>
  <c r="T61" i="19"/>
  <c r="U61" i="19"/>
  <c r="T62" i="19"/>
  <c r="U62" i="19"/>
  <c r="T63" i="19"/>
  <c r="U63" i="19"/>
  <c r="T64" i="19"/>
  <c r="U64" i="19"/>
  <c r="T65" i="19"/>
  <c r="U65" i="19"/>
  <c r="T66" i="19"/>
  <c r="U66" i="19"/>
  <c r="T68" i="19"/>
  <c r="U68" i="19"/>
  <c r="T69" i="19"/>
  <c r="U69" i="19"/>
  <c r="T70" i="19"/>
  <c r="U70" i="19"/>
  <c r="T71" i="19"/>
  <c r="U71" i="19"/>
  <c r="T72" i="19"/>
  <c r="U72" i="19"/>
  <c r="T73" i="19"/>
  <c r="U73" i="19"/>
  <c r="T74" i="19"/>
  <c r="U74" i="19"/>
  <c r="T75" i="19"/>
  <c r="U75" i="19"/>
  <c r="T76" i="19"/>
  <c r="U76" i="19"/>
  <c r="T77" i="19"/>
  <c r="U77" i="19"/>
  <c r="T78" i="19"/>
  <c r="U78" i="19"/>
  <c r="T79" i="19"/>
  <c r="U79" i="19"/>
  <c r="T80" i="19"/>
  <c r="U80" i="19"/>
  <c r="T81" i="19"/>
  <c r="U81" i="19"/>
  <c r="T83" i="19"/>
  <c r="U83" i="19"/>
  <c r="T84" i="19"/>
  <c r="U84" i="19"/>
  <c r="T85" i="19"/>
  <c r="U85" i="19"/>
  <c r="T86" i="19"/>
  <c r="U86" i="19"/>
  <c r="T87" i="19"/>
  <c r="U87" i="19"/>
  <c r="T88" i="19"/>
  <c r="U88" i="19"/>
  <c r="T89" i="19"/>
  <c r="U89" i="19"/>
  <c r="T90" i="19"/>
  <c r="U90" i="19"/>
  <c r="T91" i="19"/>
  <c r="U91" i="19"/>
  <c r="T92" i="19"/>
  <c r="U92" i="19"/>
  <c r="T93" i="19"/>
  <c r="U93" i="19"/>
  <c r="T94" i="19"/>
  <c r="U94" i="19"/>
  <c r="T95" i="19"/>
  <c r="U95" i="19"/>
  <c r="T96" i="19"/>
  <c r="U96" i="19"/>
  <c r="T97" i="19"/>
  <c r="U97" i="19"/>
  <c r="T99" i="19"/>
  <c r="U99" i="19"/>
  <c r="T100" i="19"/>
  <c r="U100" i="19"/>
  <c r="T101" i="19"/>
  <c r="U101" i="19"/>
  <c r="T102" i="19"/>
  <c r="U102" i="19"/>
  <c r="T103" i="19"/>
  <c r="U103" i="19"/>
  <c r="T104" i="19"/>
  <c r="U104" i="19"/>
  <c r="T105" i="19"/>
  <c r="U105" i="19"/>
  <c r="T106" i="19"/>
  <c r="U106" i="19"/>
  <c r="T107" i="19"/>
  <c r="U107" i="19"/>
  <c r="T108" i="19"/>
  <c r="U108" i="19"/>
  <c r="T110" i="19"/>
  <c r="U110" i="19"/>
  <c r="T111" i="19"/>
  <c r="U111" i="19"/>
  <c r="T112" i="19"/>
  <c r="U112" i="19"/>
  <c r="T113" i="19"/>
  <c r="U113" i="19"/>
  <c r="T114" i="19"/>
  <c r="U114" i="19"/>
  <c r="T115" i="19"/>
  <c r="U115" i="19"/>
  <c r="T116" i="19"/>
  <c r="U116" i="19"/>
  <c r="T117" i="19"/>
  <c r="U117" i="19"/>
  <c r="T118" i="19"/>
  <c r="U118" i="19"/>
  <c r="T119" i="19"/>
  <c r="U119" i="19"/>
  <c r="T120" i="19"/>
  <c r="U120" i="19"/>
  <c r="T121" i="19"/>
  <c r="U121" i="19"/>
  <c r="T122" i="19"/>
  <c r="U122" i="19"/>
  <c r="T123" i="19"/>
  <c r="U123" i="19"/>
  <c r="T124" i="19"/>
  <c r="U124" i="19"/>
  <c r="T125" i="19"/>
  <c r="U125" i="19"/>
  <c r="T126" i="19"/>
  <c r="U126" i="19"/>
  <c r="T127" i="19"/>
  <c r="U127" i="19"/>
  <c r="T128" i="19"/>
  <c r="U128" i="19"/>
  <c r="T129" i="19"/>
  <c r="U129" i="19"/>
  <c r="T130" i="19"/>
  <c r="U130" i="19"/>
  <c r="T131" i="19"/>
  <c r="U131" i="19"/>
  <c r="T132" i="19"/>
  <c r="U132" i="19"/>
  <c r="T133" i="19"/>
  <c r="U133" i="19"/>
  <c r="T134" i="19"/>
  <c r="U134" i="19"/>
  <c r="T135" i="19"/>
  <c r="U135" i="19"/>
  <c r="T136" i="19"/>
  <c r="U136" i="19"/>
  <c r="T137" i="19"/>
  <c r="U137" i="19"/>
  <c r="T138" i="19"/>
  <c r="U138" i="19"/>
  <c r="T139" i="19"/>
  <c r="U139" i="19"/>
  <c r="T140" i="19"/>
  <c r="U140" i="19"/>
  <c r="T141" i="19"/>
  <c r="U141" i="19"/>
  <c r="T142" i="19"/>
  <c r="U142" i="19"/>
  <c r="T143" i="19"/>
  <c r="U143" i="19"/>
  <c r="T144" i="19"/>
  <c r="U144" i="19"/>
  <c r="T145" i="19"/>
  <c r="U145" i="19"/>
  <c r="T146" i="19"/>
  <c r="U146" i="19"/>
  <c r="T147" i="19"/>
  <c r="U147" i="19"/>
  <c r="T148" i="19"/>
  <c r="U148" i="19"/>
  <c r="T149" i="19"/>
  <c r="U149" i="19"/>
  <c r="T150" i="19"/>
  <c r="U150" i="19"/>
  <c r="T151" i="19"/>
  <c r="U151" i="19"/>
  <c r="T152" i="19"/>
  <c r="U152" i="19"/>
  <c r="T153" i="19"/>
  <c r="U153" i="19"/>
  <c r="T154" i="19"/>
  <c r="U154" i="19"/>
  <c r="T155" i="19"/>
  <c r="U155" i="19"/>
  <c r="T156" i="19"/>
  <c r="U156" i="19"/>
  <c r="T157" i="19"/>
  <c r="U157" i="19"/>
  <c r="T158" i="19"/>
  <c r="U158" i="19"/>
  <c r="T159" i="19"/>
  <c r="U159" i="19"/>
  <c r="T160" i="19"/>
  <c r="U160" i="19"/>
  <c r="T161" i="19"/>
  <c r="U161" i="19"/>
  <c r="T162" i="19"/>
  <c r="U162" i="19"/>
  <c r="T163" i="19"/>
  <c r="U163" i="19"/>
  <c r="T164" i="19"/>
  <c r="U164" i="19"/>
  <c r="T165" i="19"/>
  <c r="U165" i="19"/>
  <c r="T166" i="19"/>
  <c r="U166" i="19"/>
  <c r="T167" i="19"/>
  <c r="U167" i="19"/>
  <c r="T168" i="19"/>
  <c r="U168" i="19"/>
  <c r="T169" i="19"/>
  <c r="U169" i="19"/>
  <c r="T170" i="19"/>
  <c r="U170" i="19"/>
  <c r="T172" i="19"/>
  <c r="U172" i="19"/>
  <c r="T173" i="19"/>
  <c r="U173" i="19"/>
  <c r="T174" i="19"/>
  <c r="U174" i="19"/>
  <c r="T175" i="19"/>
  <c r="U175" i="19"/>
  <c r="T176" i="19"/>
  <c r="U176" i="19"/>
  <c r="T178" i="19"/>
  <c r="U178" i="19"/>
  <c r="T179" i="19"/>
  <c r="U179" i="19"/>
  <c r="T180" i="19"/>
  <c r="U180" i="19"/>
  <c r="T181" i="19"/>
  <c r="U181" i="19"/>
  <c r="T182" i="19"/>
  <c r="U182" i="19"/>
  <c r="T183" i="19"/>
  <c r="U183" i="19"/>
  <c r="T184" i="19"/>
  <c r="U184" i="19"/>
  <c r="T185" i="19"/>
  <c r="U185" i="19"/>
  <c r="T186" i="19"/>
  <c r="U186" i="19"/>
  <c r="T187" i="19"/>
  <c r="U187" i="19"/>
  <c r="T189" i="19"/>
  <c r="U189" i="19"/>
  <c r="T190" i="19"/>
  <c r="U190" i="19"/>
  <c r="T191" i="19"/>
  <c r="U191" i="19"/>
  <c r="T192" i="19"/>
  <c r="U192" i="19"/>
  <c r="T193" i="19"/>
  <c r="U193" i="19"/>
  <c r="T194" i="19"/>
  <c r="U194" i="19"/>
  <c r="T195" i="19"/>
  <c r="U195" i="19"/>
  <c r="T196" i="19"/>
  <c r="U196" i="19"/>
  <c r="T197" i="19"/>
  <c r="U197" i="19"/>
  <c r="T198" i="19"/>
  <c r="U198" i="19"/>
  <c r="T199" i="19"/>
  <c r="U199" i="19"/>
  <c r="T200" i="19"/>
  <c r="U200" i="19"/>
  <c r="T202" i="19"/>
  <c r="U202" i="19"/>
  <c r="T203" i="19"/>
  <c r="U203" i="19"/>
  <c r="T204" i="19"/>
  <c r="U204" i="19"/>
  <c r="T205" i="19"/>
  <c r="U205" i="19"/>
  <c r="T206" i="19"/>
  <c r="U206" i="19"/>
  <c r="T208" i="19"/>
  <c r="U208" i="19"/>
  <c r="T209" i="19"/>
  <c r="U209" i="19"/>
  <c r="T210" i="19"/>
  <c r="U210" i="19"/>
  <c r="T211" i="19"/>
  <c r="U211" i="19"/>
  <c r="T212" i="19"/>
  <c r="U212" i="19"/>
  <c r="T213" i="19"/>
  <c r="U213" i="19"/>
  <c r="T214" i="19"/>
  <c r="U214" i="19"/>
  <c r="T215" i="19"/>
  <c r="U215" i="19"/>
  <c r="T216" i="19"/>
  <c r="U216" i="19"/>
  <c r="T217" i="19"/>
  <c r="U217" i="19"/>
  <c r="T218" i="19"/>
  <c r="U218" i="19"/>
  <c r="T219" i="19"/>
  <c r="U219" i="19"/>
  <c r="T221" i="19"/>
  <c r="U221" i="19"/>
  <c r="T223" i="19"/>
  <c r="U223" i="19"/>
  <c r="T224" i="19"/>
  <c r="U224" i="19"/>
  <c r="T225" i="19"/>
  <c r="U225" i="19"/>
  <c r="T226" i="19"/>
  <c r="U226" i="19"/>
  <c r="T227" i="19"/>
  <c r="U227" i="19"/>
  <c r="T228" i="19"/>
  <c r="U228" i="19"/>
  <c r="T229" i="19"/>
  <c r="U229" i="19"/>
  <c r="T230" i="19"/>
  <c r="U230" i="19"/>
  <c r="T231" i="19"/>
  <c r="U231" i="19"/>
  <c r="T232" i="19"/>
  <c r="U232" i="19"/>
  <c r="T233" i="19"/>
  <c r="U233" i="19"/>
  <c r="T234" i="19"/>
  <c r="U234" i="19"/>
  <c r="T235" i="19"/>
  <c r="U235" i="19"/>
  <c r="T236" i="19"/>
  <c r="U236" i="19"/>
  <c r="T237" i="19"/>
  <c r="U237" i="19"/>
  <c r="T238" i="19"/>
  <c r="U238" i="19"/>
  <c r="T239" i="19"/>
  <c r="U239" i="19"/>
  <c r="T240" i="19"/>
  <c r="U240" i="19"/>
  <c r="T241" i="19"/>
  <c r="U241" i="19"/>
  <c r="T242" i="19"/>
  <c r="U242" i="19"/>
  <c r="T243" i="19"/>
  <c r="U243" i="19"/>
  <c r="T244" i="19"/>
  <c r="U244" i="19"/>
  <c r="T246" i="19"/>
  <c r="U246" i="19"/>
  <c r="T247" i="19"/>
  <c r="U247" i="19"/>
  <c r="T248" i="19"/>
  <c r="U248" i="19"/>
  <c r="T249" i="19"/>
  <c r="U249" i="19"/>
  <c r="T250" i="19"/>
  <c r="U250" i="19"/>
  <c r="T251" i="19"/>
  <c r="U251" i="19"/>
  <c r="T252" i="19"/>
  <c r="U252" i="19"/>
  <c r="T253" i="19"/>
  <c r="U253" i="19"/>
  <c r="T254" i="19"/>
  <c r="U254" i="19"/>
  <c r="T255" i="19"/>
  <c r="U255" i="19"/>
  <c r="T256" i="19"/>
  <c r="U256" i="19"/>
  <c r="T257" i="19"/>
  <c r="U257" i="19"/>
  <c r="T258" i="19"/>
  <c r="U258" i="19"/>
  <c r="T259" i="19"/>
  <c r="U259" i="19"/>
  <c r="T260" i="19"/>
  <c r="U260" i="19"/>
  <c r="T261" i="19"/>
  <c r="U261" i="19"/>
  <c r="T262" i="19"/>
  <c r="U262" i="19"/>
  <c r="T263" i="19"/>
  <c r="U263" i="19"/>
  <c r="T264" i="19"/>
  <c r="U264" i="19"/>
  <c r="T265" i="19"/>
  <c r="U265" i="19"/>
  <c r="T266" i="19"/>
  <c r="U266" i="19"/>
  <c r="T267" i="19"/>
  <c r="U267" i="19"/>
  <c r="T268" i="19"/>
  <c r="U268" i="19"/>
  <c r="T269" i="19"/>
  <c r="U269" i="19"/>
  <c r="T271" i="19"/>
  <c r="U271" i="19"/>
  <c r="T272" i="19"/>
  <c r="U272" i="19"/>
  <c r="T273" i="19"/>
  <c r="U273" i="19"/>
  <c r="T274" i="19"/>
  <c r="U274" i="19"/>
  <c r="T275" i="19"/>
  <c r="U275" i="19"/>
  <c r="T276" i="19"/>
  <c r="U276" i="19"/>
  <c r="T277" i="19"/>
  <c r="U277" i="19"/>
  <c r="T278" i="19"/>
  <c r="U278" i="19"/>
  <c r="T279" i="19"/>
  <c r="U279" i="19"/>
  <c r="T281" i="19"/>
  <c r="U281" i="19"/>
  <c r="T282" i="19"/>
  <c r="U282" i="19"/>
  <c r="T283" i="19"/>
  <c r="U283" i="19"/>
  <c r="T284" i="19"/>
  <c r="U284" i="19"/>
  <c r="T285" i="19"/>
  <c r="U285" i="19"/>
  <c r="T286" i="19"/>
  <c r="U286" i="19"/>
  <c r="T287" i="19"/>
  <c r="U287" i="19"/>
  <c r="T288" i="19"/>
  <c r="U288" i="19"/>
  <c r="T289" i="19"/>
  <c r="U289" i="19"/>
  <c r="T290" i="19"/>
  <c r="U290" i="19"/>
  <c r="T291" i="19"/>
  <c r="U291" i="19"/>
  <c r="T292" i="19"/>
  <c r="U292" i="19"/>
  <c r="T293" i="19"/>
  <c r="U293" i="19"/>
  <c r="T294" i="19"/>
  <c r="U294" i="19"/>
  <c r="T295" i="19"/>
  <c r="U295" i="19"/>
  <c r="T296" i="19"/>
  <c r="U296" i="19"/>
  <c r="T297" i="19"/>
  <c r="U297" i="19"/>
  <c r="T298" i="19"/>
  <c r="U298" i="19"/>
  <c r="T299" i="19"/>
  <c r="U299" i="19"/>
  <c r="T300" i="19"/>
  <c r="U300" i="19"/>
  <c r="T301" i="19"/>
  <c r="U301" i="19"/>
  <c r="T302" i="19"/>
  <c r="U302" i="19"/>
  <c r="T303" i="19"/>
  <c r="U303" i="19"/>
  <c r="T304" i="19"/>
  <c r="U304" i="19"/>
  <c r="T305" i="19"/>
  <c r="U305" i="19"/>
  <c r="T306" i="19"/>
  <c r="U306" i="19"/>
  <c r="T307" i="19"/>
  <c r="U307" i="19"/>
  <c r="T308" i="19"/>
  <c r="U308" i="19"/>
  <c r="T309" i="19"/>
  <c r="U309" i="19"/>
  <c r="T310" i="19"/>
  <c r="U310" i="19"/>
  <c r="T311" i="19"/>
  <c r="U311" i="19"/>
  <c r="T313" i="19"/>
  <c r="U313" i="19"/>
  <c r="T314" i="19"/>
  <c r="U314" i="19"/>
  <c r="T315" i="19"/>
  <c r="U315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0" i="19"/>
  <c r="S41" i="19"/>
  <c r="S42" i="19"/>
  <c r="S43" i="19"/>
  <c r="S44" i="19"/>
  <c r="S45" i="19"/>
  <c r="S46" i="19"/>
  <c r="S47" i="19"/>
  <c r="S48" i="19"/>
  <c r="S49" i="19"/>
  <c r="S50" i="19"/>
  <c r="S51" i="19"/>
  <c r="S52" i="19"/>
  <c r="S53" i="19"/>
  <c r="S54" i="19"/>
  <c r="S55" i="19"/>
  <c r="S56" i="19"/>
  <c r="S57" i="19"/>
  <c r="S58" i="19"/>
  <c r="S59" i="19"/>
  <c r="S60" i="19"/>
  <c r="S61" i="19"/>
  <c r="S62" i="19"/>
  <c r="S63" i="19"/>
  <c r="S64" i="19"/>
  <c r="S65" i="19"/>
  <c r="S66" i="19"/>
  <c r="S67" i="19"/>
  <c r="S68" i="19"/>
  <c r="S69" i="19"/>
  <c r="S70" i="19"/>
  <c r="S7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96" i="19"/>
  <c r="S97" i="19"/>
  <c r="S98" i="19"/>
  <c r="S99" i="19"/>
  <c r="S100" i="19"/>
  <c r="S101" i="19"/>
  <c r="S102" i="19"/>
  <c r="S103" i="19"/>
  <c r="S104" i="19"/>
  <c r="S105" i="19"/>
  <c r="S106" i="19"/>
  <c r="S107" i="19"/>
  <c r="S108" i="19"/>
  <c r="S109" i="19"/>
  <c r="S110" i="19"/>
  <c r="S111" i="19"/>
  <c r="S112" i="19"/>
  <c r="S113" i="19"/>
  <c r="S114" i="19"/>
  <c r="S115" i="19"/>
  <c r="S116" i="19"/>
  <c r="S117" i="19"/>
  <c r="S118" i="19"/>
  <c r="S119" i="19"/>
  <c r="S120" i="19"/>
  <c r="S121" i="19"/>
  <c r="S122" i="19"/>
  <c r="S123" i="19"/>
  <c r="S124" i="19"/>
  <c r="S125" i="19"/>
  <c r="S126" i="19"/>
  <c r="S127" i="19"/>
  <c r="S128" i="19"/>
  <c r="S129" i="19"/>
  <c r="S130" i="19"/>
  <c r="S131" i="19"/>
  <c r="S132" i="19"/>
  <c r="S133" i="19"/>
  <c r="S134" i="19"/>
  <c r="S135" i="19"/>
  <c r="S136" i="19"/>
  <c r="S137" i="19"/>
  <c r="S138" i="19"/>
  <c r="S139" i="19"/>
  <c r="S140" i="19"/>
  <c r="S141" i="19"/>
  <c r="S142" i="19"/>
  <c r="S143" i="19"/>
  <c r="S144" i="19"/>
  <c r="S145" i="19"/>
  <c r="S146" i="19"/>
  <c r="S147" i="19"/>
  <c r="S148" i="19"/>
  <c r="S149" i="19"/>
  <c r="S150" i="19"/>
  <c r="S151" i="19"/>
  <c r="S152" i="19"/>
  <c r="S153" i="19"/>
  <c r="S154" i="19"/>
  <c r="S155" i="19"/>
  <c r="S156" i="19"/>
  <c r="S157" i="19"/>
  <c r="S158" i="19"/>
  <c r="S159" i="19"/>
  <c r="S160" i="19"/>
  <c r="S161" i="19"/>
  <c r="S162" i="19"/>
  <c r="S163" i="19"/>
  <c r="S164" i="19"/>
  <c r="S165" i="19"/>
  <c r="S166" i="19"/>
  <c r="S167" i="19"/>
  <c r="S168" i="19"/>
  <c r="S169" i="19"/>
  <c r="S170" i="19"/>
  <c r="S171" i="19"/>
  <c r="S172" i="19"/>
  <c r="S173" i="19"/>
  <c r="S174" i="19"/>
  <c r="S175" i="19"/>
  <c r="S176" i="19"/>
  <c r="S177" i="19"/>
  <c r="S178" i="19"/>
  <c r="S179" i="19"/>
  <c r="S180" i="19"/>
  <c r="S181" i="19"/>
  <c r="S182" i="19"/>
  <c r="S183" i="19"/>
  <c r="S184" i="19"/>
  <c r="S185" i="19"/>
  <c r="S186" i="19"/>
  <c r="S187" i="19"/>
  <c r="S188" i="19"/>
  <c r="S189" i="19"/>
  <c r="S190" i="19"/>
  <c r="S191" i="19"/>
  <c r="S192" i="19"/>
  <c r="S193" i="19"/>
  <c r="S194" i="19"/>
  <c r="S195" i="19"/>
  <c r="S196" i="19"/>
  <c r="S197" i="19"/>
  <c r="S198" i="19"/>
  <c r="S199" i="19"/>
  <c r="S200" i="19"/>
  <c r="S201" i="19"/>
  <c r="S202" i="19"/>
  <c r="S203" i="19"/>
  <c r="S204" i="19"/>
  <c r="S205" i="19"/>
  <c r="S206" i="19"/>
  <c r="S207" i="19"/>
  <c r="S208" i="19"/>
  <c r="S209" i="19"/>
  <c r="S210" i="19"/>
  <c r="S211" i="19"/>
  <c r="S212" i="19"/>
  <c r="S213" i="19"/>
  <c r="S214" i="19"/>
  <c r="S215" i="19"/>
  <c r="S216" i="19"/>
  <c r="S217" i="19"/>
  <c r="S218" i="19"/>
  <c r="S219" i="19"/>
  <c r="S220" i="19"/>
  <c r="S221" i="19"/>
  <c r="S222" i="19"/>
  <c r="S223" i="19"/>
  <c r="S224" i="19"/>
  <c r="S225" i="19"/>
  <c r="S226" i="19"/>
  <c r="S227" i="19"/>
  <c r="S228" i="19"/>
  <c r="S229" i="19"/>
  <c r="S230" i="19"/>
  <c r="S231" i="19"/>
  <c r="S232" i="19"/>
  <c r="S233" i="19"/>
  <c r="S234" i="19"/>
  <c r="S235" i="19"/>
  <c r="S236" i="19"/>
  <c r="S237" i="19"/>
  <c r="S238" i="19"/>
  <c r="S239" i="19"/>
  <c r="S240" i="19"/>
  <c r="S241" i="19"/>
  <c r="S242" i="19"/>
  <c r="S243" i="19"/>
  <c r="S244" i="19"/>
  <c r="S245" i="19"/>
  <c r="S246" i="19"/>
  <c r="S247" i="19"/>
  <c r="S248" i="19"/>
  <c r="S249" i="19"/>
  <c r="S250" i="19"/>
  <c r="S251" i="19"/>
  <c r="S252" i="19"/>
  <c r="S253" i="19"/>
  <c r="S254" i="19"/>
  <c r="S255" i="19"/>
  <c r="S256" i="19"/>
  <c r="S257" i="19"/>
  <c r="S258" i="19"/>
  <c r="S259" i="19"/>
  <c r="S260" i="19"/>
  <c r="S261" i="19"/>
  <c r="S262" i="19"/>
  <c r="S263" i="19"/>
  <c r="S264" i="19"/>
  <c r="S265" i="19"/>
  <c r="S266" i="19"/>
  <c r="S267" i="19"/>
  <c r="S268" i="19"/>
  <c r="S269" i="19"/>
  <c r="S270" i="19"/>
  <c r="S271" i="19"/>
  <c r="S272" i="19"/>
  <c r="S273" i="19"/>
  <c r="S274" i="19"/>
  <c r="S275" i="19"/>
  <c r="S276" i="19"/>
  <c r="S277" i="19"/>
  <c r="S278" i="19"/>
  <c r="S279" i="19"/>
  <c r="S280" i="19"/>
  <c r="S281" i="19"/>
  <c r="S282" i="19"/>
  <c r="S283" i="19"/>
  <c r="S284" i="19"/>
  <c r="S285" i="19"/>
  <c r="S286" i="19"/>
  <c r="S287" i="19"/>
  <c r="S288" i="19"/>
  <c r="S289" i="19"/>
  <c r="S290" i="19"/>
  <c r="S291" i="19"/>
  <c r="S292" i="19"/>
  <c r="S293" i="19"/>
  <c r="S294" i="19"/>
  <c r="S295" i="19"/>
  <c r="S296" i="19"/>
  <c r="S297" i="19"/>
  <c r="S298" i="19"/>
  <c r="S299" i="19"/>
  <c r="S300" i="19"/>
  <c r="S301" i="19"/>
  <c r="S302" i="19"/>
  <c r="S303" i="19"/>
  <c r="S304" i="19"/>
  <c r="S305" i="19"/>
  <c r="S306" i="19"/>
  <c r="S307" i="19"/>
  <c r="S308" i="19"/>
  <c r="S309" i="19"/>
  <c r="S310" i="19"/>
  <c r="S311" i="19"/>
  <c r="S312" i="19"/>
  <c r="S313" i="19"/>
  <c r="S314" i="19"/>
  <c r="S315" i="19"/>
  <c r="R8" i="19"/>
  <c r="R9" i="19"/>
  <c r="R10" i="19"/>
  <c r="R11" i="19"/>
  <c r="R12" i="19"/>
  <c r="R13" i="19"/>
  <c r="R14" i="19"/>
  <c r="R16" i="19"/>
  <c r="R17" i="19"/>
  <c r="R18" i="19"/>
  <c r="R19" i="19"/>
  <c r="R20" i="19"/>
  <c r="R21" i="19"/>
  <c r="R22" i="19"/>
  <c r="R23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47" i="19"/>
  <c r="R48" i="19"/>
  <c r="R49" i="19"/>
  <c r="R50" i="19"/>
  <c r="R51" i="19"/>
  <c r="R52" i="19"/>
  <c r="R53" i="19"/>
  <c r="R54" i="19"/>
  <c r="R55" i="19"/>
  <c r="R56" i="19"/>
  <c r="R57" i="19"/>
  <c r="R59" i="19"/>
  <c r="R60" i="19"/>
  <c r="R61" i="19"/>
  <c r="R62" i="19"/>
  <c r="R63" i="19"/>
  <c r="R64" i="19"/>
  <c r="R65" i="19"/>
  <c r="R66" i="19"/>
  <c r="R68" i="19"/>
  <c r="R69" i="19"/>
  <c r="R70" i="19"/>
  <c r="R71" i="19"/>
  <c r="R72" i="19"/>
  <c r="R73" i="19"/>
  <c r="R74" i="19"/>
  <c r="R75" i="19"/>
  <c r="R76" i="19"/>
  <c r="R77" i="19"/>
  <c r="R78" i="19"/>
  <c r="R79" i="19"/>
  <c r="R80" i="19"/>
  <c r="R81" i="19"/>
  <c r="R83" i="19"/>
  <c r="R84" i="19"/>
  <c r="R85" i="19"/>
  <c r="R86" i="19"/>
  <c r="R87" i="19"/>
  <c r="R88" i="19"/>
  <c r="R89" i="19"/>
  <c r="R90" i="19"/>
  <c r="R91" i="19"/>
  <c r="R92" i="19"/>
  <c r="R93" i="19"/>
  <c r="R94" i="19"/>
  <c r="R95" i="19"/>
  <c r="R96" i="19"/>
  <c r="R97" i="19"/>
  <c r="R99" i="19"/>
  <c r="R100" i="19"/>
  <c r="R101" i="19"/>
  <c r="R102" i="19"/>
  <c r="R103" i="19"/>
  <c r="R104" i="19"/>
  <c r="R105" i="19"/>
  <c r="R106" i="19"/>
  <c r="R107" i="19"/>
  <c r="R108" i="19"/>
  <c r="R110" i="19"/>
  <c r="R111" i="19"/>
  <c r="R112" i="19"/>
  <c r="R113" i="19"/>
  <c r="R114" i="19"/>
  <c r="R115" i="19"/>
  <c r="R116" i="19"/>
  <c r="R117" i="19"/>
  <c r="R118" i="19"/>
  <c r="R119" i="19"/>
  <c r="R120" i="19"/>
  <c r="R121" i="19"/>
  <c r="R122" i="19"/>
  <c r="R123" i="19"/>
  <c r="R124" i="19"/>
  <c r="R125" i="19"/>
  <c r="R126" i="19"/>
  <c r="R127" i="19"/>
  <c r="R128" i="19"/>
  <c r="R129" i="19"/>
  <c r="R130" i="19"/>
  <c r="R131" i="19"/>
  <c r="R132" i="19"/>
  <c r="R133" i="19"/>
  <c r="R134" i="19"/>
  <c r="R135" i="19"/>
  <c r="R136" i="19"/>
  <c r="R137" i="19"/>
  <c r="R138" i="19"/>
  <c r="R139" i="19"/>
  <c r="R140" i="19"/>
  <c r="R141" i="19"/>
  <c r="R142" i="19"/>
  <c r="R143" i="19"/>
  <c r="R144" i="19"/>
  <c r="R145" i="19"/>
  <c r="R146" i="19"/>
  <c r="R147" i="19"/>
  <c r="R148" i="19"/>
  <c r="R149" i="19"/>
  <c r="R150" i="19"/>
  <c r="R151" i="19"/>
  <c r="R152" i="19"/>
  <c r="R153" i="19"/>
  <c r="R154" i="19"/>
  <c r="R155" i="19"/>
  <c r="R156" i="19"/>
  <c r="R157" i="19"/>
  <c r="R158" i="19"/>
  <c r="R159" i="19"/>
  <c r="R160" i="19"/>
  <c r="R161" i="19"/>
  <c r="R162" i="19"/>
  <c r="R163" i="19"/>
  <c r="R164" i="19"/>
  <c r="R165" i="19"/>
  <c r="R166" i="19"/>
  <c r="R167" i="19"/>
  <c r="R168" i="19"/>
  <c r="R169" i="19"/>
  <c r="R170" i="19"/>
  <c r="R172" i="19"/>
  <c r="R173" i="19"/>
  <c r="R174" i="19"/>
  <c r="R175" i="19"/>
  <c r="R176" i="19"/>
  <c r="R178" i="19"/>
  <c r="R179" i="19"/>
  <c r="R180" i="19"/>
  <c r="R181" i="19"/>
  <c r="R182" i="19"/>
  <c r="R183" i="19"/>
  <c r="R184" i="19"/>
  <c r="R185" i="19"/>
  <c r="R186" i="19"/>
  <c r="R187" i="19"/>
  <c r="R189" i="19"/>
  <c r="R190" i="19"/>
  <c r="R191" i="19"/>
  <c r="R192" i="19"/>
  <c r="R193" i="19"/>
  <c r="R194" i="19"/>
  <c r="R195" i="19"/>
  <c r="R196" i="19"/>
  <c r="R197" i="19"/>
  <c r="R198" i="19"/>
  <c r="R199" i="19"/>
  <c r="R200" i="19"/>
  <c r="R202" i="19"/>
  <c r="R203" i="19"/>
  <c r="R204" i="19"/>
  <c r="R205" i="19"/>
  <c r="R206" i="19"/>
  <c r="R208" i="19"/>
  <c r="R209" i="19"/>
  <c r="R210" i="19"/>
  <c r="R211" i="19"/>
  <c r="R212" i="19"/>
  <c r="R213" i="19"/>
  <c r="R214" i="19"/>
  <c r="R215" i="19"/>
  <c r="R216" i="19"/>
  <c r="R217" i="19"/>
  <c r="R218" i="19"/>
  <c r="R219" i="19"/>
  <c r="R221" i="19"/>
  <c r="R223" i="19"/>
  <c r="R224" i="19"/>
  <c r="R225" i="19"/>
  <c r="R226" i="19"/>
  <c r="R227" i="19"/>
  <c r="R228" i="19"/>
  <c r="R229" i="19"/>
  <c r="R230" i="19"/>
  <c r="R231" i="19"/>
  <c r="R232" i="19"/>
  <c r="R233" i="19"/>
  <c r="R234" i="19"/>
  <c r="R235" i="19"/>
  <c r="R236" i="19"/>
  <c r="R237" i="19"/>
  <c r="R238" i="19"/>
  <c r="R239" i="19"/>
  <c r="R240" i="19"/>
  <c r="R241" i="19"/>
  <c r="R242" i="19"/>
  <c r="R243" i="19"/>
  <c r="R244" i="19"/>
  <c r="R246" i="19"/>
  <c r="R247" i="19"/>
  <c r="R248" i="19"/>
  <c r="R249" i="19"/>
  <c r="R250" i="19"/>
  <c r="R251" i="19"/>
  <c r="R252" i="19"/>
  <c r="R253" i="19"/>
  <c r="R254" i="19"/>
  <c r="R255" i="19"/>
  <c r="R256" i="19"/>
  <c r="R257" i="19"/>
  <c r="R258" i="19"/>
  <c r="R259" i="19"/>
  <c r="R260" i="19"/>
  <c r="R261" i="19"/>
  <c r="R262" i="19"/>
  <c r="R263" i="19"/>
  <c r="R264" i="19"/>
  <c r="R265" i="19"/>
  <c r="R266" i="19"/>
  <c r="R267" i="19"/>
  <c r="R268" i="19"/>
  <c r="R269" i="19"/>
  <c r="R271" i="19"/>
  <c r="R272" i="19"/>
  <c r="R273" i="19"/>
  <c r="R274" i="19"/>
  <c r="R275" i="19"/>
  <c r="R276" i="19"/>
  <c r="R277" i="19"/>
  <c r="R278" i="19"/>
  <c r="R279" i="19"/>
  <c r="R281" i="19"/>
  <c r="R282" i="19"/>
  <c r="R283" i="19"/>
  <c r="R284" i="19"/>
  <c r="R285" i="19"/>
  <c r="R286" i="19"/>
  <c r="R287" i="19"/>
  <c r="R288" i="19"/>
  <c r="R289" i="19"/>
  <c r="R290" i="19"/>
  <c r="R291" i="19"/>
  <c r="R292" i="19"/>
  <c r="R293" i="19"/>
  <c r="R294" i="19"/>
  <c r="R295" i="19"/>
  <c r="R296" i="19"/>
  <c r="R297" i="19"/>
  <c r="R298" i="19"/>
  <c r="R299" i="19"/>
  <c r="R300" i="19"/>
  <c r="R301" i="19"/>
  <c r="R302" i="19"/>
  <c r="R303" i="19"/>
  <c r="R304" i="19"/>
  <c r="R305" i="19"/>
  <c r="R306" i="19"/>
  <c r="R307" i="19"/>
  <c r="R308" i="19"/>
  <c r="R309" i="19"/>
  <c r="R310" i="19"/>
  <c r="R311" i="19"/>
  <c r="R313" i="19"/>
  <c r="R314" i="19"/>
  <c r="R315" i="19"/>
  <c r="H8" i="19"/>
  <c r="I8" i="19"/>
  <c r="J8" i="19"/>
  <c r="K8" i="19"/>
  <c r="L8" i="19"/>
  <c r="M8" i="19"/>
  <c r="N8" i="19"/>
  <c r="P8" i="19"/>
  <c r="O8" i="19" s="1"/>
  <c r="Q8" i="19"/>
  <c r="H9" i="19"/>
  <c r="I9" i="19"/>
  <c r="J9" i="19"/>
  <c r="K9" i="19"/>
  <c r="L9" i="19"/>
  <c r="M9" i="19"/>
  <c r="N9" i="19"/>
  <c r="P9" i="19"/>
  <c r="Q9" i="19"/>
  <c r="O9" i="19" s="1"/>
  <c r="H10" i="19"/>
  <c r="I10" i="19"/>
  <c r="J10" i="19"/>
  <c r="K10" i="19"/>
  <c r="L10" i="19"/>
  <c r="M10" i="19"/>
  <c r="N10" i="19"/>
  <c r="P10" i="19"/>
  <c r="O10" i="19" s="1"/>
  <c r="Q10" i="19"/>
  <c r="H11" i="19"/>
  <c r="I11" i="19"/>
  <c r="J11" i="19"/>
  <c r="K11" i="19"/>
  <c r="L11" i="19"/>
  <c r="M11" i="19"/>
  <c r="N11" i="19"/>
  <c r="P11" i="19"/>
  <c r="O11" i="19" s="1"/>
  <c r="Q11" i="19"/>
  <c r="H12" i="19"/>
  <c r="I12" i="19"/>
  <c r="J12" i="19"/>
  <c r="K12" i="19"/>
  <c r="L12" i="19"/>
  <c r="M12" i="19"/>
  <c r="N12" i="19"/>
  <c r="P12" i="19"/>
  <c r="O12" i="19" s="1"/>
  <c r="Q12" i="19"/>
  <c r="H13" i="19"/>
  <c r="I13" i="19"/>
  <c r="J13" i="19"/>
  <c r="K13" i="19"/>
  <c r="L13" i="19"/>
  <c r="M13" i="19"/>
  <c r="N13" i="19"/>
  <c r="P13" i="19"/>
  <c r="O13" i="19" s="1"/>
  <c r="Q13" i="19"/>
  <c r="H14" i="19"/>
  <c r="I14" i="19"/>
  <c r="J14" i="19"/>
  <c r="K14" i="19"/>
  <c r="L14" i="19"/>
  <c r="M14" i="19"/>
  <c r="N14" i="19"/>
  <c r="P14" i="19"/>
  <c r="O14" i="19" s="1"/>
  <c r="Q14" i="19"/>
  <c r="H15" i="19"/>
  <c r="I15" i="19"/>
  <c r="J15" i="19"/>
  <c r="K15" i="19"/>
  <c r="R15" i="19" s="1"/>
  <c r="U15" i="19" s="1"/>
  <c r="L15" i="19"/>
  <c r="M15" i="19"/>
  <c r="N15" i="19"/>
  <c r="P15" i="19"/>
  <c r="O15" i="19" s="1"/>
  <c r="Q15" i="19"/>
  <c r="H16" i="19"/>
  <c r="I16" i="19"/>
  <c r="J16" i="19"/>
  <c r="K16" i="19"/>
  <c r="L16" i="19"/>
  <c r="M16" i="19"/>
  <c r="N16" i="19"/>
  <c r="P16" i="19"/>
  <c r="O16" i="19" s="1"/>
  <c r="Q16" i="19"/>
  <c r="H17" i="19"/>
  <c r="I17" i="19"/>
  <c r="J17" i="19"/>
  <c r="K17" i="19"/>
  <c r="L17" i="19"/>
  <c r="M17" i="19"/>
  <c r="N17" i="19"/>
  <c r="P17" i="19"/>
  <c r="O17" i="19" s="1"/>
  <c r="Q17" i="19"/>
  <c r="H18" i="19"/>
  <c r="I18" i="19"/>
  <c r="J18" i="19"/>
  <c r="K18" i="19"/>
  <c r="L18" i="19"/>
  <c r="M18" i="19"/>
  <c r="N18" i="19"/>
  <c r="P18" i="19"/>
  <c r="O18" i="19" s="1"/>
  <c r="Q18" i="19"/>
  <c r="H19" i="19"/>
  <c r="I19" i="19"/>
  <c r="J19" i="19"/>
  <c r="K19" i="19"/>
  <c r="L19" i="19"/>
  <c r="M19" i="19"/>
  <c r="N19" i="19"/>
  <c r="P19" i="19"/>
  <c r="O19" i="19" s="1"/>
  <c r="Q19" i="19"/>
  <c r="H20" i="19"/>
  <c r="I20" i="19"/>
  <c r="J20" i="19"/>
  <c r="K20" i="19"/>
  <c r="L20" i="19"/>
  <c r="M20" i="19"/>
  <c r="N20" i="19"/>
  <c r="P20" i="19"/>
  <c r="O20" i="19" s="1"/>
  <c r="Q20" i="19"/>
  <c r="H21" i="19"/>
  <c r="I21" i="19"/>
  <c r="J21" i="19"/>
  <c r="K21" i="19"/>
  <c r="L21" i="19"/>
  <c r="M21" i="19"/>
  <c r="N21" i="19"/>
  <c r="P21" i="19"/>
  <c r="O21" i="19" s="1"/>
  <c r="Q21" i="19"/>
  <c r="H22" i="19"/>
  <c r="I22" i="19"/>
  <c r="J22" i="19"/>
  <c r="K22" i="19"/>
  <c r="L22" i="19"/>
  <c r="M22" i="19"/>
  <c r="N22" i="19"/>
  <c r="P22" i="19"/>
  <c r="O22" i="19" s="1"/>
  <c r="Q22" i="19"/>
  <c r="H23" i="19"/>
  <c r="I23" i="19"/>
  <c r="J23" i="19"/>
  <c r="K23" i="19"/>
  <c r="L23" i="19"/>
  <c r="M23" i="19"/>
  <c r="N23" i="19"/>
  <c r="P23" i="19"/>
  <c r="O23" i="19" s="1"/>
  <c r="Q23" i="19"/>
  <c r="H24" i="19"/>
  <c r="I24" i="19"/>
  <c r="J24" i="19"/>
  <c r="K24" i="19"/>
  <c r="L24" i="19"/>
  <c r="M24" i="19"/>
  <c r="N24" i="19"/>
  <c r="P24" i="19"/>
  <c r="O24" i="19" s="1"/>
  <c r="Q24" i="19"/>
  <c r="H25" i="19"/>
  <c r="I25" i="19"/>
  <c r="J25" i="19"/>
  <c r="K25" i="19"/>
  <c r="L25" i="19"/>
  <c r="M25" i="19"/>
  <c r="N25" i="19"/>
  <c r="P25" i="19"/>
  <c r="O25" i="19" s="1"/>
  <c r="Q25" i="19"/>
  <c r="H26" i="19"/>
  <c r="I26" i="19"/>
  <c r="J26" i="19"/>
  <c r="K26" i="19"/>
  <c r="L26" i="19"/>
  <c r="M26" i="19"/>
  <c r="N26" i="19"/>
  <c r="P26" i="19"/>
  <c r="O26" i="19" s="1"/>
  <c r="Q26" i="19"/>
  <c r="H27" i="19"/>
  <c r="I27" i="19"/>
  <c r="J27" i="19"/>
  <c r="K27" i="19"/>
  <c r="L27" i="19"/>
  <c r="M27" i="19"/>
  <c r="N27" i="19"/>
  <c r="P27" i="19"/>
  <c r="O27" i="19" s="1"/>
  <c r="Q27" i="19"/>
  <c r="H28" i="19"/>
  <c r="I28" i="19"/>
  <c r="J28" i="19"/>
  <c r="K28" i="19"/>
  <c r="L28" i="19"/>
  <c r="M28" i="19"/>
  <c r="N28" i="19"/>
  <c r="P28" i="19"/>
  <c r="O28" i="19" s="1"/>
  <c r="Q28" i="19"/>
  <c r="H29" i="19"/>
  <c r="I29" i="19"/>
  <c r="J29" i="19"/>
  <c r="K29" i="19"/>
  <c r="L29" i="19"/>
  <c r="M29" i="19"/>
  <c r="N29" i="19"/>
  <c r="P29" i="19"/>
  <c r="O29" i="19" s="1"/>
  <c r="Q29" i="19"/>
  <c r="H30" i="19"/>
  <c r="I30" i="19"/>
  <c r="J30" i="19"/>
  <c r="K30" i="19"/>
  <c r="L30" i="19"/>
  <c r="M30" i="19"/>
  <c r="N30" i="19"/>
  <c r="P30" i="19"/>
  <c r="O30" i="19" s="1"/>
  <c r="Q30" i="19"/>
  <c r="H31" i="19"/>
  <c r="I31" i="19"/>
  <c r="J31" i="19"/>
  <c r="K31" i="19"/>
  <c r="L31" i="19"/>
  <c r="M31" i="19"/>
  <c r="N31" i="19"/>
  <c r="P31" i="19"/>
  <c r="O31" i="19" s="1"/>
  <c r="Q31" i="19"/>
  <c r="H32" i="19"/>
  <c r="I32" i="19"/>
  <c r="J32" i="19"/>
  <c r="K32" i="19"/>
  <c r="L32" i="19"/>
  <c r="M32" i="19"/>
  <c r="N32" i="19"/>
  <c r="P32" i="19"/>
  <c r="O32" i="19" s="1"/>
  <c r="Q32" i="19"/>
  <c r="H33" i="19"/>
  <c r="I33" i="19"/>
  <c r="J33" i="19"/>
  <c r="K33" i="19"/>
  <c r="L33" i="19"/>
  <c r="M33" i="19"/>
  <c r="N33" i="19"/>
  <c r="P33" i="19"/>
  <c r="O33" i="19" s="1"/>
  <c r="Q33" i="19"/>
  <c r="H34" i="19"/>
  <c r="I34" i="19"/>
  <c r="J34" i="19"/>
  <c r="K34" i="19"/>
  <c r="L34" i="19"/>
  <c r="M34" i="19"/>
  <c r="N34" i="19"/>
  <c r="P34" i="19"/>
  <c r="O34" i="19" s="1"/>
  <c r="Q34" i="19"/>
  <c r="H35" i="19"/>
  <c r="I35" i="19"/>
  <c r="J35" i="19"/>
  <c r="K35" i="19"/>
  <c r="L35" i="19"/>
  <c r="M35" i="19"/>
  <c r="N35" i="19"/>
  <c r="P35" i="19"/>
  <c r="O35" i="19" s="1"/>
  <c r="Q35" i="19"/>
  <c r="H36" i="19"/>
  <c r="I36" i="19"/>
  <c r="J36" i="19"/>
  <c r="K36" i="19"/>
  <c r="L36" i="19"/>
  <c r="M36" i="19"/>
  <c r="N36" i="19"/>
  <c r="P36" i="19"/>
  <c r="O36" i="19" s="1"/>
  <c r="Q36" i="19"/>
  <c r="H37" i="19"/>
  <c r="I37" i="19"/>
  <c r="J37" i="19"/>
  <c r="K37" i="19"/>
  <c r="L37" i="19"/>
  <c r="M37" i="19"/>
  <c r="N37" i="19"/>
  <c r="P37" i="19"/>
  <c r="O37" i="19" s="1"/>
  <c r="Q37" i="19"/>
  <c r="H38" i="19"/>
  <c r="I38" i="19"/>
  <c r="J38" i="19"/>
  <c r="K38" i="19"/>
  <c r="L38" i="19"/>
  <c r="M38" i="19"/>
  <c r="N38" i="19"/>
  <c r="P38" i="19"/>
  <c r="O38" i="19" s="1"/>
  <c r="Q38" i="19"/>
  <c r="H39" i="19"/>
  <c r="I39" i="19"/>
  <c r="J39" i="19"/>
  <c r="K39" i="19"/>
  <c r="L39" i="19"/>
  <c r="M39" i="19"/>
  <c r="N39" i="19"/>
  <c r="P39" i="19"/>
  <c r="O39" i="19" s="1"/>
  <c r="Q39" i="19"/>
  <c r="H40" i="19"/>
  <c r="I40" i="19"/>
  <c r="J40" i="19"/>
  <c r="K40" i="19"/>
  <c r="L40" i="19"/>
  <c r="M40" i="19"/>
  <c r="N40" i="19"/>
  <c r="P40" i="19"/>
  <c r="O40" i="19" s="1"/>
  <c r="Q40" i="19"/>
  <c r="H41" i="19"/>
  <c r="I41" i="19"/>
  <c r="J41" i="19"/>
  <c r="K41" i="19"/>
  <c r="L41" i="19"/>
  <c r="M41" i="19"/>
  <c r="N41" i="19"/>
  <c r="P41" i="19"/>
  <c r="O41" i="19" s="1"/>
  <c r="Q41" i="19"/>
  <c r="H42" i="19"/>
  <c r="I42" i="19"/>
  <c r="J42" i="19"/>
  <c r="K42" i="19"/>
  <c r="L42" i="19"/>
  <c r="M42" i="19"/>
  <c r="N42" i="19"/>
  <c r="P42" i="19"/>
  <c r="O42" i="19" s="1"/>
  <c r="Q42" i="19"/>
  <c r="H43" i="19"/>
  <c r="I43" i="19"/>
  <c r="J43" i="19"/>
  <c r="K43" i="19"/>
  <c r="L43" i="19"/>
  <c r="M43" i="19"/>
  <c r="N43" i="19"/>
  <c r="P43" i="19"/>
  <c r="O43" i="19" s="1"/>
  <c r="Q43" i="19"/>
  <c r="H44" i="19"/>
  <c r="I44" i="19"/>
  <c r="J44" i="19"/>
  <c r="K44" i="19"/>
  <c r="L44" i="19"/>
  <c r="M44" i="19"/>
  <c r="N44" i="19"/>
  <c r="P44" i="19"/>
  <c r="O44" i="19" s="1"/>
  <c r="Q44" i="19"/>
  <c r="H45" i="19"/>
  <c r="I45" i="19"/>
  <c r="J45" i="19"/>
  <c r="K45" i="19"/>
  <c r="L45" i="19"/>
  <c r="M45" i="19"/>
  <c r="N45" i="19"/>
  <c r="P45" i="19"/>
  <c r="O45" i="19" s="1"/>
  <c r="Q45" i="19"/>
  <c r="H46" i="19"/>
  <c r="I46" i="19"/>
  <c r="J46" i="19"/>
  <c r="K46" i="19"/>
  <c r="L46" i="19"/>
  <c r="M46" i="19"/>
  <c r="N46" i="19"/>
  <c r="P46" i="19"/>
  <c r="O46" i="19" s="1"/>
  <c r="Q46" i="19"/>
  <c r="H47" i="19"/>
  <c r="I47" i="19"/>
  <c r="J47" i="19"/>
  <c r="K47" i="19"/>
  <c r="L47" i="19"/>
  <c r="M47" i="19"/>
  <c r="N47" i="19"/>
  <c r="P47" i="19"/>
  <c r="O47" i="19" s="1"/>
  <c r="Q47" i="19"/>
  <c r="H48" i="19"/>
  <c r="I48" i="19"/>
  <c r="J48" i="19"/>
  <c r="K48" i="19"/>
  <c r="L48" i="19"/>
  <c r="M48" i="19"/>
  <c r="N48" i="19"/>
  <c r="P48" i="19"/>
  <c r="O48" i="19" s="1"/>
  <c r="Q48" i="19"/>
  <c r="H49" i="19"/>
  <c r="I49" i="19"/>
  <c r="J49" i="19"/>
  <c r="K49" i="19"/>
  <c r="L49" i="19"/>
  <c r="M49" i="19"/>
  <c r="N49" i="19"/>
  <c r="P49" i="19"/>
  <c r="O49" i="19" s="1"/>
  <c r="Q49" i="19"/>
  <c r="H50" i="19"/>
  <c r="I50" i="19"/>
  <c r="J50" i="19"/>
  <c r="K50" i="19"/>
  <c r="L50" i="19"/>
  <c r="M50" i="19"/>
  <c r="N50" i="19"/>
  <c r="P50" i="19"/>
  <c r="O50" i="19" s="1"/>
  <c r="Q50" i="19"/>
  <c r="H51" i="19"/>
  <c r="I51" i="19"/>
  <c r="J51" i="19"/>
  <c r="K51" i="19"/>
  <c r="L51" i="19"/>
  <c r="M51" i="19"/>
  <c r="N51" i="19"/>
  <c r="P51" i="19"/>
  <c r="O51" i="19" s="1"/>
  <c r="Q51" i="19"/>
  <c r="H52" i="19"/>
  <c r="I52" i="19"/>
  <c r="J52" i="19"/>
  <c r="K52" i="19"/>
  <c r="L52" i="19"/>
  <c r="M52" i="19"/>
  <c r="N52" i="19"/>
  <c r="P52" i="19"/>
  <c r="O52" i="19" s="1"/>
  <c r="Q52" i="19"/>
  <c r="H53" i="19"/>
  <c r="I53" i="19"/>
  <c r="J53" i="19"/>
  <c r="K53" i="19"/>
  <c r="L53" i="19"/>
  <c r="M53" i="19"/>
  <c r="N53" i="19"/>
  <c r="P53" i="19"/>
  <c r="O53" i="19" s="1"/>
  <c r="Q53" i="19"/>
  <c r="H54" i="19"/>
  <c r="I54" i="19"/>
  <c r="J54" i="19"/>
  <c r="K54" i="19"/>
  <c r="L54" i="19"/>
  <c r="M54" i="19"/>
  <c r="N54" i="19"/>
  <c r="P54" i="19"/>
  <c r="O54" i="19" s="1"/>
  <c r="Q54" i="19"/>
  <c r="H55" i="19"/>
  <c r="I55" i="19"/>
  <c r="J55" i="19"/>
  <c r="K55" i="19"/>
  <c r="L55" i="19"/>
  <c r="M55" i="19"/>
  <c r="N55" i="19"/>
  <c r="P55" i="19"/>
  <c r="O55" i="19" s="1"/>
  <c r="Q55" i="19"/>
  <c r="H56" i="19"/>
  <c r="I56" i="19"/>
  <c r="J56" i="19"/>
  <c r="K56" i="19"/>
  <c r="L56" i="19"/>
  <c r="M56" i="19"/>
  <c r="N56" i="19"/>
  <c r="P56" i="19"/>
  <c r="O56" i="19" s="1"/>
  <c r="Q56" i="19"/>
  <c r="H57" i="19"/>
  <c r="I57" i="19"/>
  <c r="J57" i="19"/>
  <c r="K57" i="19"/>
  <c r="L57" i="19"/>
  <c r="M57" i="19"/>
  <c r="N57" i="19"/>
  <c r="P57" i="19"/>
  <c r="O57" i="19" s="1"/>
  <c r="Q57" i="19"/>
  <c r="H58" i="19"/>
  <c r="I58" i="19"/>
  <c r="J58" i="19"/>
  <c r="R58" i="19" s="1"/>
  <c r="U58" i="19" s="1"/>
  <c r="K58" i="19"/>
  <c r="L58" i="19"/>
  <c r="M58" i="19"/>
  <c r="N58" i="19"/>
  <c r="P58" i="19"/>
  <c r="O58" i="19" s="1"/>
  <c r="Q58" i="19"/>
  <c r="H59" i="19"/>
  <c r="I59" i="19"/>
  <c r="J59" i="19"/>
  <c r="K59" i="19"/>
  <c r="L59" i="19"/>
  <c r="M59" i="19"/>
  <c r="N59" i="19"/>
  <c r="P59" i="19"/>
  <c r="O59" i="19" s="1"/>
  <c r="Q59" i="19"/>
  <c r="H60" i="19"/>
  <c r="I60" i="19"/>
  <c r="J60" i="19"/>
  <c r="K60" i="19"/>
  <c r="L60" i="19"/>
  <c r="M60" i="19"/>
  <c r="N60" i="19"/>
  <c r="P60" i="19"/>
  <c r="O60" i="19" s="1"/>
  <c r="Q60" i="19"/>
  <c r="H61" i="19"/>
  <c r="I61" i="19"/>
  <c r="J61" i="19"/>
  <c r="K61" i="19"/>
  <c r="L61" i="19"/>
  <c r="M61" i="19"/>
  <c r="N61" i="19"/>
  <c r="P61" i="19"/>
  <c r="O61" i="19" s="1"/>
  <c r="Q61" i="19"/>
  <c r="H62" i="19"/>
  <c r="I62" i="19"/>
  <c r="J62" i="19"/>
  <c r="K62" i="19"/>
  <c r="L62" i="19"/>
  <c r="M62" i="19"/>
  <c r="N62" i="19"/>
  <c r="P62" i="19"/>
  <c r="O62" i="19" s="1"/>
  <c r="Q62" i="19"/>
  <c r="H63" i="19"/>
  <c r="I63" i="19"/>
  <c r="J63" i="19"/>
  <c r="K63" i="19"/>
  <c r="L63" i="19"/>
  <c r="M63" i="19"/>
  <c r="N63" i="19"/>
  <c r="P63" i="19"/>
  <c r="O63" i="19" s="1"/>
  <c r="Q63" i="19"/>
  <c r="H64" i="19"/>
  <c r="I64" i="19"/>
  <c r="J64" i="19"/>
  <c r="K64" i="19"/>
  <c r="L64" i="19"/>
  <c r="M64" i="19"/>
  <c r="N64" i="19"/>
  <c r="P64" i="19"/>
  <c r="O64" i="19" s="1"/>
  <c r="Q64" i="19"/>
  <c r="H65" i="19"/>
  <c r="I65" i="19"/>
  <c r="J65" i="19"/>
  <c r="K65" i="19"/>
  <c r="L65" i="19"/>
  <c r="M65" i="19"/>
  <c r="N65" i="19"/>
  <c r="P65" i="19"/>
  <c r="O65" i="19" s="1"/>
  <c r="Q65" i="19"/>
  <c r="H66" i="19"/>
  <c r="I66" i="19"/>
  <c r="J66" i="19"/>
  <c r="K66" i="19"/>
  <c r="L66" i="19"/>
  <c r="M66" i="19"/>
  <c r="N66" i="19"/>
  <c r="P66" i="19"/>
  <c r="O66" i="19" s="1"/>
  <c r="Q66" i="19"/>
  <c r="H67" i="19"/>
  <c r="I67" i="19"/>
  <c r="J67" i="19"/>
  <c r="T67" i="19" s="1"/>
  <c r="K67" i="19"/>
  <c r="L67" i="19"/>
  <c r="M67" i="19"/>
  <c r="N67" i="19"/>
  <c r="P67" i="19"/>
  <c r="O67" i="19" s="1"/>
  <c r="Q67" i="19"/>
  <c r="H68" i="19"/>
  <c r="I68" i="19"/>
  <c r="J68" i="19"/>
  <c r="K68" i="19"/>
  <c r="L68" i="19"/>
  <c r="M68" i="19"/>
  <c r="N68" i="19"/>
  <c r="P68" i="19"/>
  <c r="O68" i="19" s="1"/>
  <c r="Q68" i="19"/>
  <c r="H69" i="19"/>
  <c r="I69" i="19"/>
  <c r="J69" i="19"/>
  <c r="K69" i="19"/>
  <c r="L69" i="19"/>
  <c r="M69" i="19"/>
  <c r="N69" i="19"/>
  <c r="P69" i="19"/>
  <c r="O69" i="19" s="1"/>
  <c r="Q69" i="19"/>
  <c r="H70" i="19"/>
  <c r="I70" i="19"/>
  <c r="J70" i="19"/>
  <c r="K70" i="19"/>
  <c r="L70" i="19"/>
  <c r="M70" i="19"/>
  <c r="N70" i="19"/>
  <c r="P70" i="19"/>
  <c r="O70" i="19" s="1"/>
  <c r="Q70" i="19"/>
  <c r="H71" i="19"/>
  <c r="I71" i="19"/>
  <c r="J71" i="19"/>
  <c r="K71" i="19"/>
  <c r="L71" i="19"/>
  <c r="M71" i="19"/>
  <c r="N71" i="19"/>
  <c r="P71" i="19"/>
  <c r="O71" i="19" s="1"/>
  <c r="Q71" i="19"/>
  <c r="H72" i="19"/>
  <c r="I72" i="19"/>
  <c r="J72" i="19"/>
  <c r="K72" i="19"/>
  <c r="L72" i="19"/>
  <c r="M72" i="19"/>
  <c r="N72" i="19"/>
  <c r="P72" i="19"/>
  <c r="O72" i="19" s="1"/>
  <c r="Q72" i="19"/>
  <c r="H73" i="19"/>
  <c r="I73" i="19"/>
  <c r="J73" i="19"/>
  <c r="K73" i="19"/>
  <c r="L73" i="19"/>
  <c r="M73" i="19"/>
  <c r="N73" i="19"/>
  <c r="P73" i="19"/>
  <c r="O73" i="19" s="1"/>
  <c r="Q73" i="19"/>
  <c r="H74" i="19"/>
  <c r="I74" i="19"/>
  <c r="J74" i="19"/>
  <c r="K74" i="19"/>
  <c r="L74" i="19"/>
  <c r="M74" i="19"/>
  <c r="N74" i="19"/>
  <c r="P74" i="19"/>
  <c r="O74" i="19" s="1"/>
  <c r="Q74" i="19"/>
  <c r="H75" i="19"/>
  <c r="I75" i="19"/>
  <c r="J75" i="19"/>
  <c r="K75" i="19"/>
  <c r="L75" i="19"/>
  <c r="M75" i="19"/>
  <c r="N75" i="19"/>
  <c r="P75" i="19"/>
  <c r="O75" i="19" s="1"/>
  <c r="Q75" i="19"/>
  <c r="H76" i="19"/>
  <c r="I76" i="19"/>
  <c r="J76" i="19"/>
  <c r="K76" i="19"/>
  <c r="L76" i="19"/>
  <c r="M76" i="19"/>
  <c r="N76" i="19"/>
  <c r="P76" i="19"/>
  <c r="O76" i="19" s="1"/>
  <c r="Q76" i="19"/>
  <c r="H77" i="19"/>
  <c r="I77" i="19"/>
  <c r="J77" i="19"/>
  <c r="K77" i="19"/>
  <c r="L77" i="19"/>
  <c r="M77" i="19"/>
  <c r="N77" i="19"/>
  <c r="P77" i="19"/>
  <c r="O77" i="19" s="1"/>
  <c r="Q77" i="19"/>
  <c r="H78" i="19"/>
  <c r="I78" i="19"/>
  <c r="J78" i="19"/>
  <c r="K78" i="19"/>
  <c r="L78" i="19"/>
  <c r="M78" i="19"/>
  <c r="N78" i="19"/>
  <c r="P78" i="19"/>
  <c r="O78" i="19" s="1"/>
  <c r="Q78" i="19"/>
  <c r="H79" i="19"/>
  <c r="I79" i="19"/>
  <c r="J79" i="19"/>
  <c r="K79" i="19"/>
  <c r="L79" i="19"/>
  <c r="M79" i="19"/>
  <c r="N79" i="19"/>
  <c r="P79" i="19"/>
  <c r="O79" i="19" s="1"/>
  <c r="Q79" i="19"/>
  <c r="H80" i="19"/>
  <c r="I80" i="19"/>
  <c r="J80" i="19"/>
  <c r="K80" i="19"/>
  <c r="L80" i="19"/>
  <c r="M80" i="19"/>
  <c r="N80" i="19"/>
  <c r="P80" i="19"/>
  <c r="O80" i="19" s="1"/>
  <c r="Q80" i="19"/>
  <c r="H81" i="19"/>
  <c r="I81" i="19"/>
  <c r="J81" i="19"/>
  <c r="K81" i="19"/>
  <c r="L81" i="19"/>
  <c r="M81" i="19"/>
  <c r="N81" i="19"/>
  <c r="P81" i="19"/>
  <c r="O81" i="19" s="1"/>
  <c r="Q81" i="19"/>
  <c r="H82" i="19"/>
  <c r="I82" i="19"/>
  <c r="J82" i="19"/>
  <c r="T82" i="19" s="1"/>
  <c r="K82" i="19"/>
  <c r="L82" i="19"/>
  <c r="M82" i="19"/>
  <c r="N82" i="19"/>
  <c r="P82" i="19"/>
  <c r="O82" i="19" s="1"/>
  <c r="Q82" i="19"/>
  <c r="H83" i="19"/>
  <c r="I83" i="19"/>
  <c r="J83" i="19"/>
  <c r="K83" i="19"/>
  <c r="L83" i="19"/>
  <c r="M83" i="19"/>
  <c r="N83" i="19"/>
  <c r="P83" i="19"/>
  <c r="O83" i="19" s="1"/>
  <c r="Q83" i="19"/>
  <c r="H84" i="19"/>
  <c r="I84" i="19"/>
  <c r="J84" i="19"/>
  <c r="K84" i="19"/>
  <c r="L84" i="19"/>
  <c r="M84" i="19"/>
  <c r="N84" i="19"/>
  <c r="P84" i="19"/>
  <c r="O84" i="19" s="1"/>
  <c r="Q84" i="19"/>
  <c r="H85" i="19"/>
  <c r="I85" i="19"/>
  <c r="J85" i="19"/>
  <c r="K85" i="19"/>
  <c r="L85" i="19"/>
  <c r="M85" i="19"/>
  <c r="N85" i="19"/>
  <c r="P85" i="19"/>
  <c r="O85" i="19" s="1"/>
  <c r="Q85" i="19"/>
  <c r="H86" i="19"/>
  <c r="I86" i="19"/>
  <c r="J86" i="19"/>
  <c r="K86" i="19"/>
  <c r="L86" i="19"/>
  <c r="M86" i="19"/>
  <c r="N86" i="19"/>
  <c r="P86" i="19"/>
  <c r="O86" i="19" s="1"/>
  <c r="Q86" i="19"/>
  <c r="H87" i="19"/>
  <c r="I87" i="19"/>
  <c r="J87" i="19"/>
  <c r="K87" i="19"/>
  <c r="L87" i="19"/>
  <c r="M87" i="19"/>
  <c r="N87" i="19"/>
  <c r="P87" i="19"/>
  <c r="O87" i="19" s="1"/>
  <c r="Q87" i="19"/>
  <c r="H88" i="19"/>
  <c r="I88" i="19"/>
  <c r="J88" i="19"/>
  <c r="K88" i="19"/>
  <c r="L88" i="19"/>
  <c r="M88" i="19"/>
  <c r="N88" i="19"/>
  <c r="P88" i="19"/>
  <c r="O88" i="19" s="1"/>
  <c r="Q88" i="19"/>
  <c r="H89" i="19"/>
  <c r="I89" i="19"/>
  <c r="J89" i="19"/>
  <c r="K89" i="19"/>
  <c r="L89" i="19"/>
  <c r="M89" i="19"/>
  <c r="N89" i="19"/>
  <c r="P89" i="19"/>
  <c r="O89" i="19" s="1"/>
  <c r="Q89" i="19"/>
  <c r="H90" i="19"/>
  <c r="I90" i="19"/>
  <c r="J90" i="19"/>
  <c r="K90" i="19"/>
  <c r="L90" i="19"/>
  <c r="M90" i="19"/>
  <c r="N90" i="19"/>
  <c r="P90" i="19"/>
  <c r="O90" i="19" s="1"/>
  <c r="Q90" i="19"/>
  <c r="H91" i="19"/>
  <c r="I91" i="19"/>
  <c r="J91" i="19"/>
  <c r="K91" i="19"/>
  <c r="L91" i="19"/>
  <c r="M91" i="19"/>
  <c r="N91" i="19"/>
  <c r="P91" i="19"/>
  <c r="O91" i="19" s="1"/>
  <c r="Q91" i="19"/>
  <c r="H92" i="19"/>
  <c r="I92" i="19"/>
  <c r="J92" i="19"/>
  <c r="K92" i="19"/>
  <c r="L92" i="19"/>
  <c r="M92" i="19"/>
  <c r="N92" i="19"/>
  <c r="P92" i="19"/>
  <c r="O92" i="19" s="1"/>
  <c r="Q92" i="19"/>
  <c r="H93" i="19"/>
  <c r="I93" i="19"/>
  <c r="J93" i="19"/>
  <c r="K93" i="19"/>
  <c r="L93" i="19"/>
  <c r="M93" i="19"/>
  <c r="N93" i="19"/>
  <c r="P93" i="19"/>
  <c r="O93" i="19" s="1"/>
  <c r="Q93" i="19"/>
  <c r="H94" i="19"/>
  <c r="I94" i="19"/>
  <c r="J94" i="19"/>
  <c r="K94" i="19"/>
  <c r="L94" i="19"/>
  <c r="M94" i="19"/>
  <c r="N94" i="19"/>
  <c r="P94" i="19"/>
  <c r="O94" i="19" s="1"/>
  <c r="Q94" i="19"/>
  <c r="H95" i="19"/>
  <c r="I95" i="19"/>
  <c r="J95" i="19"/>
  <c r="K95" i="19"/>
  <c r="L95" i="19"/>
  <c r="M95" i="19"/>
  <c r="N95" i="19"/>
  <c r="P95" i="19"/>
  <c r="O95" i="19" s="1"/>
  <c r="Q95" i="19"/>
  <c r="H96" i="19"/>
  <c r="I96" i="19"/>
  <c r="J96" i="19"/>
  <c r="K96" i="19"/>
  <c r="L96" i="19"/>
  <c r="M96" i="19"/>
  <c r="N96" i="19"/>
  <c r="P96" i="19"/>
  <c r="O96" i="19" s="1"/>
  <c r="Q96" i="19"/>
  <c r="H97" i="19"/>
  <c r="I97" i="19"/>
  <c r="J97" i="19"/>
  <c r="K97" i="19"/>
  <c r="L97" i="19"/>
  <c r="M97" i="19"/>
  <c r="N97" i="19"/>
  <c r="P97" i="19"/>
  <c r="O97" i="19" s="1"/>
  <c r="Q97" i="19"/>
  <c r="H98" i="19"/>
  <c r="I98" i="19"/>
  <c r="J98" i="19"/>
  <c r="K98" i="19"/>
  <c r="L98" i="19"/>
  <c r="M98" i="19"/>
  <c r="N98" i="19"/>
  <c r="P98" i="19"/>
  <c r="O98" i="19" s="1"/>
  <c r="Q98" i="19"/>
  <c r="H99" i="19"/>
  <c r="I99" i="19"/>
  <c r="J99" i="19"/>
  <c r="K99" i="19"/>
  <c r="L99" i="19"/>
  <c r="M99" i="19"/>
  <c r="N99" i="19"/>
  <c r="P99" i="19"/>
  <c r="O99" i="19" s="1"/>
  <c r="Q99" i="19"/>
  <c r="H100" i="19"/>
  <c r="I100" i="19"/>
  <c r="J100" i="19"/>
  <c r="K100" i="19"/>
  <c r="L100" i="19"/>
  <c r="M100" i="19"/>
  <c r="N100" i="19"/>
  <c r="P100" i="19"/>
  <c r="O100" i="19" s="1"/>
  <c r="Q100" i="19"/>
  <c r="H101" i="19"/>
  <c r="I101" i="19"/>
  <c r="J101" i="19"/>
  <c r="K101" i="19"/>
  <c r="L101" i="19"/>
  <c r="M101" i="19"/>
  <c r="N101" i="19"/>
  <c r="P101" i="19"/>
  <c r="O101" i="19" s="1"/>
  <c r="Q101" i="19"/>
  <c r="H102" i="19"/>
  <c r="I102" i="19"/>
  <c r="J102" i="19"/>
  <c r="K102" i="19"/>
  <c r="L102" i="19"/>
  <c r="M102" i="19"/>
  <c r="N102" i="19"/>
  <c r="P102" i="19"/>
  <c r="O102" i="19" s="1"/>
  <c r="Q102" i="19"/>
  <c r="H103" i="19"/>
  <c r="I103" i="19"/>
  <c r="J103" i="19"/>
  <c r="K103" i="19"/>
  <c r="L103" i="19"/>
  <c r="M103" i="19"/>
  <c r="N103" i="19"/>
  <c r="P103" i="19"/>
  <c r="O103" i="19" s="1"/>
  <c r="Q103" i="19"/>
  <c r="H104" i="19"/>
  <c r="I104" i="19"/>
  <c r="J104" i="19"/>
  <c r="K104" i="19"/>
  <c r="L104" i="19"/>
  <c r="M104" i="19"/>
  <c r="N104" i="19"/>
  <c r="P104" i="19"/>
  <c r="O104" i="19" s="1"/>
  <c r="Q104" i="19"/>
  <c r="H105" i="19"/>
  <c r="I105" i="19"/>
  <c r="J105" i="19"/>
  <c r="K105" i="19"/>
  <c r="L105" i="19"/>
  <c r="M105" i="19"/>
  <c r="N105" i="19"/>
  <c r="P105" i="19"/>
  <c r="O105" i="19" s="1"/>
  <c r="Q105" i="19"/>
  <c r="H106" i="19"/>
  <c r="I106" i="19"/>
  <c r="J106" i="19"/>
  <c r="K106" i="19"/>
  <c r="L106" i="19"/>
  <c r="M106" i="19"/>
  <c r="N106" i="19"/>
  <c r="P106" i="19"/>
  <c r="O106" i="19" s="1"/>
  <c r="Q106" i="19"/>
  <c r="H107" i="19"/>
  <c r="I107" i="19"/>
  <c r="J107" i="19"/>
  <c r="K107" i="19"/>
  <c r="L107" i="19"/>
  <c r="M107" i="19"/>
  <c r="N107" i="19"/>
  <c r="P107" i="19"/>
  <c r="O107" i="19" s="1"/>
  <c r="Q107" i="19"/>
  <c r="H108" i="19"/>
  <c r="I108" i="19"/>
  <c r="J108" i="19"/>
  <c r="K108" i="19"/>
  <c r="L108" i="19"/>
  <c r="M108" i="19"/>
  <c r="N108" i="19"/>
  <c r="P108" i="19"/>
  <c r="O108" i="19" s="1"/>
  <c r="Q108" i="19"/>
  <c r="H109" i="19"/>
  <c r="I109" i="19"/>
  <c r="J109" i="19"/>
  <c r="T109" i="19" s="1"/>
  <c r="K109" i="19"/>
  <c r="L109" i="19"/>
  <c r="M109" i="19"/>
  <c r="N109" i="19"/>
  <c r="P109" i="19"/>
  <c r="O109" i="19" s="1"/>
  <c r="Q109" i="19"/>
  <c r="H110" i="19"/>
  <c r="I110" i="19"/>
  <c r="J110" i="19"/>
  <c r="K110" i="19"/>
  <c r="L110" i="19"/>
  <c r="M110" i="19"/>
  <c r="N110" i="19"/>
  <c r="P110" i="19"/>
  <c r="O110" i="19" s="1"/>
  <c r="Q110" i="19"/>
  <c r="H111" i="19"/>
  <c r="I111" i="19"/>
  <c r="J111" i="19"/>
  <c r="K111" i="19"/>
  <c r="L111" i="19"/>
  <c r="M111" i="19"/>
  <c r="N111" i="19"/>
  <c r="P111" i="19"/>
  <c r="O111" i="19" s="1"/>
  <c r="Q111" i="19"/>
  <c r="H112" i="19"/>
  <c r="I112" i="19"/>
  <c r="J112" i="19"/>
  <c r="K112" i="19"/>
  <c r="L112" i="19"/>
  <c r="M112" i="19"/>
  <c r="N112" i="19"/>
  <c r="P112" i="19"/>
  <c r="O112" i="19" s="1"/>
  <c r="Q112" i="19"/>
  <c r="H113" i="19"/>
  <c r="I113" i="19"/>
  <c r="J113" i="19"/>
  <c r="K113" i="19"/>
  <c r="L113" i="19"/>
  <c r="M113" i="19"/>
  <c r="N113" i="19"/>
  <c r="P113" i="19"/>
  <c r="O113" i="19" s="1"/>
  <c r="Q113" i="19"/>
  <c r="H114" i="19"/>
  <c r="I114" i="19"/>
  <c r="J114" i="19"/>
  <c r="K114" i="19"/>
  <c r="L114" i="19"/>
  <c r="M114" i="19"/>
  <c r="N114" i="19"/>
  <c r="P114" i="19"/>
  <c r="O114" i="19" s="1"/>
  <c r="Q114" i="19"/>
  <c r="H115" i="19"/>
  <c r="I115" i="19"/>
  <c r="J115" i="19"/>
  <c r="K115" i="19"/>
  <c r="L115" i="19"/>
  <c r="M115" i="19"/>
  <c r="N115" i="19"/>
  <c r="P115" i="19"/>
  <c r="O115" i="19" s="1"/>
  <c r="Q115" i="19"/>
  <c r="H116" i="19"/>
  <c r="I116" i="19"/>
  <c r="J116" i="19"/>
  <c r="K116" i="19"/>
  <c r="L116" i="19"/>
  <c r="M116" i="19"/>
  <c r="N116" i="19"/>
  <c r="P116" i="19"/>
  <c r="O116" i="19" s="1"/>
  <c r="Q116" i="19"/>
  <c r="H117" i="19"/>
  <c r="I117" i="19"/>
  <c r="J117" i="19"/>
  <c r="K117" i="19"/>
  <c r="L117" i="19"/>
  <c r="M117" i="19"/>
  <c r="N117" i="19"/>
  <c r="P117" i="19"/>
  <c r="O117" i="19" s="1"/>
  <c r="Q117" i="19"/>
  <c r="H118" i="19"/>
  <c r="I118" i="19"/>
  <c r="J118" i="19"/>
  <c r="K118" i="19"/>
  <c r="L118" i="19"/>
  <c r="M118" i="19"/>
  <c r="N118" i="19"/>
  <c r="P118" i="19"/>
  <c r="O118" i="19" s="1"/>
  <c r="Q118" i="19"/>
  <c r="H119" i="19"/>
  <c r="I119" i="19"/>
  <c r="J119" i="19"/>
  <c r="K119" i="19"/>
  <c r="L119" i="19"/>
  <c r="M119" i="19"/>
  <c r="N119" i="19"/>
  <c r="P119" i="19"/>
  <c r="O119" i="19" s="1"/>
  <c r="Q119" i="19"/>
  <c r="H120" i="19"/>
  <c r="I120" i="19"/>
  <c r="J120" i="19"/>
  <c r="K120" i="19"/>
  <c r="L120" i="19"/>
  <c r="M120" i="19"/>
  <c r="N120" i="19"/>
  <c r="P120" i="19"/>
  <c r="O120" i="19" s="1"/>
  <c r="Q120" i="19"/>
  <c r="H121" i="19"/>
  <c r="I121" i="19"/>
  <c r="J121" i="19"/>
  <c r="K121" i="19"/>
  <c r="L121" i="19"/>
  <c r="M121" i="19"/>
  <c r="N121" i="19"/>
  <c r="P121" i="19"/>
  <c r="O121" i="19" s="1"/>
  <c r="Q121" i="19"/>
  <c r="H122" i="19"/>
  <c r="I122" i="19"/>
  <c r="J122" i="19"/>
  <c r="K122" i="19"/>
  <c r="L122" i="19"/>
  <c r="M122" i="19"/>
  <c r="N122" i="19"/>
  <c r="P122" i="19"/>
  <c r="O122" i="19" s="1"/>
  <c r="Q122" i="19"/>
  <c r="H123" i="19"/>
  <c r="I123" i="19"/>
  <c r="J123" i="19"/>
  <c r="K123" i="19"/>
  <c r="L123" i="19"/>
  <c r="M123" i="19"/>
  <c r="N123" i="19"/>
  <c r="P123" i="19"/>
  <c r="O123" i="19" s="1"/>
  <c r="Q123" i="19"/>
  <c r="H124" i="19"/>
  <c r="I124" i="19"/>
  <c r="J124" i="19"/>
  <c r="K124" i="19"/>
  <c r="L124" i="19"/>
  <c r="M124" i="19"/>
  <c r="N124" i="19"/>
  <c r="P124" i="19"/>
  <c r="O124" i="19" s="1"/>
  <c r="Q124" i="19"/>
  <c r="H125" i="19"/>
  <c r="I125" i="19"/>
  <c r="J125" i="19"/>
  <c r="K125" i="19"/>
  <c r="L125" i="19"/>
  <c r="M125" i="19"/>
  <c r="N125" i="19"/>
  <c r="P125" i="19"/>
  <c r="O125" i="19" s="1"/>
  <c r="Q125" i="19"/>
  <c r="H126" i="19"/>
  <c r="I126" i="19"/>
  <c r="J126" i="19"/>
  <c r="K126" i="19"/>
  <c r="L126" i="19"/>
  <c r="M126" i="19"/>
  <c r="N126" i="19"/>
  <c r="P126" i="19"/>
  <c r="O126" i="19" s="1"/>
  <c r="Q126" i="19"/>
  <c r="H127" i="19"/>
  <c r="I127" i="19"/>
  <c r="J127" i="19"/>
  <c r="K127" i="19"/>
  <c r="L127" i="19"/>
  <c r="M127" i="19"/>
  <c r="N127" i="19"/>
  <c r="P127" i="19"/>
  <c r="O127" i="19" s="1"/>
  <c r="Q127" i="19"/>
  <c r="H128" i="19"/>
  <c r="I128" i="19"/>
  <c r="J128" i="19"/>
  <c r="K128" i="19"/>
  <c r="L128" i="19"/>
  <c r="M128" i="19"/>
  <c r="N128" i="19"/>
  <c r="P128" i="19"/>
  <c r="O128" i="19" s="1"/>
  <c r="Q128" i="19"/>
  <c r="H129" i="19"/>
  <c r="I129" i="19"/>
  <c r="J129" i="19"/>
  <c r="K129" i="19"/>
  <c r="L129" i="19"/>
  <c r="M129" i="19"/>
  <c r="N129" i="19"/>
  <c r="P129" i="19"/>
  <c r="O129" i="19" s="1"/>
  <c r="Q129" i="19"/>
  <c r="H130" i="19"/>
  <c r="I130" i="19"/>
  <c r="J130" i="19"/>
  <c r="K130" i="19"/>
  <c r="L130" i="19"/>
  <c r="M130" i="19"/>
  <c r="N130" i="19"/>
  <c r="P130" i="19"/>
  <c r="O130" i="19" s="1"/>
  <c r="Q130" i="19"/>
  <c r="H131" i="19"/>
  <c r="I131" i="19"/>
  <c r="J131" i="19"/>
  <c r="K131" i="19"/>
  <c r="L131" i="19"/>
  <c r="M131" i="19"/>
  <c r="N131" i="19"/>
  <c r="P131" i="19"/>
  <c r="O131" i="19" s="1"/>
  <c r="Q131" i="19"/>
  <c r="H132" i="19"/>
  <c r="I132" i="19"/>
  <c r="J132" i="19"/>
  <c r="K132" i="19"/>
  <c r="L132" i="19"/>
  <c r="M132" i="19"/>
  <c r="N132" i="19"/>
  <c r="P132" i="19"/>
  <c r="O132" i="19" s="1"/>
  <c r="Q132" i="19"/>
  <c r="H133" i="19"/>
  <c r="I133" i="19"/>
  <c r="J133" i="19"/>
  <c r="K133" i="19"/>
  <c r="L133" i="19"/>
  <c r="M133" i="19"/>
  <c r="N133" i="19"/>
  <c r="P133" i="19"/>
  <c r="O133" i="19" s="1"/>
  <c r="Q133" i="19"/>
  <c r="H134" i="19"/>
  <c r="I134" i="19"/>
  <c r="J134" i="19"/>
  <c r="K134" i="19"/>
  <c r="L134" i="19"/>
  <c r="M134" i="19"/>
  <c r="N134" i="19"/>
  <c r="P134" i="19"/>
  <c r="O134" i="19" s="1"/>
  <c r="Q134" i="19"/>
  <c r="H135" i="19"/>
  <c r="I135" i="19"/>
  <c r="J135" i="19"/>
  <c r="K135" i="19"/>
  <c r="L135" i="19"/>
  <c r="M135" i="19"/>
  <c r="N135" i="19"/>
  <c r="P135" i="19"/>
  <c r="O135" i="19" s="1"/>
  <c r="Q135" i="19"/>
  <c r="H136" i="19"/>
  <c r="I136" i="19"/>
  <c r="J136" i="19"/>
  <c r="K136" i="19"/>
  <c r="L136" i="19"/>
  <c r="M136" i="19"/>
  <c r="N136" i="19"/>
  <c r="P136" i="19"/>
  <c r="O136" i="19" s="1"/>
  <c r="Q136" i="19"/>
  <c r="H137" i="19"/>
  <c r="I137" i="19"/>
  <c r="J137" i="19"/>
  <c r="K137" i="19"/>
  <c r="L137" i="19"/>
  <c r="M137" i="19"/>
  <c r="N137" i="19"/>
  <c r="P137" i="19"/>
  <c r="O137" i="19" s="1"/>
  <c r="Q137" i="19"/>
  <c r="H138" i="19"/>
  <c r="I138" i="19"/>
  <c r="J138" i="19"/>
  <c r="K138" i="19"/>
  <c r="L138" i="19"/>
  <c r="M138" i="19"/>
  <c r="N138" i="19"/>
  <c r="P138" i="19"/>
  <c r="O138" i="19" s="1"/>
  <c r="Q138" i="19"/>
  <c r="H139" i="19"/>
  <c r="I139" i="19"/>
  <c r="J139" i="19"/>
  <c r="K139" i="19"/>
  <c r="L139" i="19"/>
  <c r="M139" i="19"/>
  <c r="N139" i="19"/>
  <c r="P139" i="19"/>
  <c r="O139" i="19" s="1"/>
  <c r="Q139" i="19"/>
  <c r="H140" i="19"/>
  <c r="I140" i="19"/>
  <c r="J140" i="19"/>
  <c r="K140" i="19"/>
  <c r="L140" i="19"/>
  <c r="M140" i="19"/>
  <c r="N140" i="19"/>
  <c r="P140" i="19"/>
  <c r="O140" i="19" s="1"/>
  <c r="Q140" i="19"/>
  <c r="H141" i="19"/>
  <c r="I141" i="19"/>
  <c r="J141" i="19"/>
  <c r="K141" i="19"/>
  <c r="L141" i="19"/>
  <c r="M141" i="19"/>
  <c r="N141" i="19"/>
  <c r="P141" i="19"/>
  <c r="O141" i="19" s="1"/>
  <c r="Q141" i="19"/>
  <c r="H142" i="19"/>
  <c r="I142" i="19"/>
  <c r="J142" i="19"/>
  <c r="K142" i="19"/>
  <c r="L142" i="19"/>
  <c r="M142" i="19"/>
  <c r="N142" i="19"/>
  <c r="P142" i="19"/>
  <c r="O142" i="19" s="1"/>
  <c r="Q142" i="19"/>
  <c r="H143" i="19"/>
  <c r="I143" i="19"/>
  <c r="J143" i="19"/>
  <c r="K143" i="19"/>
  <c r="L143" i="19"/>
  <c r="M143" i="19"/>
  <c r="N143" i="19"/>
  <c r="P143" i="19"/>
  <c r="O143" i="19" s="1"/>
  <c r="Q143" i="19"/>
  <c r="H144" i="19"/>
  <c r="I144" i="19"/>
  <c r="J144" i="19"/>
  <c r="K144" i="19"/>
  <c r="L144" i="19"/>
  <c r="M144" i="19"/>
  <c r="N144" i="19"/>
  <c r="P144" i="19"/>
  <c r="O144" i="19" s="1"/>
  <c r="Q144" i="19"/>
  <c r="H145" i="19"/>
  <c r="I145" i="19"/>
  <c r="J145" i="19"/>
  <c r="K145" i="19"/>
  <c r="L145" i="19"/>
  <c r="M145" i="19"/>
  <c r="N145" i="19"/>
  <c r="P145" i="19"/>
  <c r="O145" i="19" s="1"/>
  <c r="Q145" i="19"/>
  <c r="H146" i="19"/>
  <c r="I146" i="19"/>
  <c r="J146" i="19"/>
  <c r="K146" i="19"/>
  <c r="L146" i="19"/>
  <c r="M146" i="19"/>
  <c r="N146" i="19"/>
  <c r="P146" i="19"/>
  <c r="O146" i="19" s="1"/>
  <c r="Q146" i="19"/>
  <c r="H147" i="19"/>
  <c r="I147" i="19"/>
  <c r="J147" i="19"/>
  <c r="K147" i="19"/>
  <c r="L147" i="19"/>
  <c r="M147" i="19"/>
  <c r="N147" i="19"/>
  <c r="P147" i="19"/>
  <c r="O147" i="19" s="1"/>
  <c r="Q147" i="19"/>
  <c r="H148" i="19"/>
  <c r="I148" i="19"/>
  <c r="J148" i="19"/>
  <c r="K148" i="19"/>
  <c r="L148" i="19"/>
  <c r="M148" i="19"/>
  <c r="N148" i="19"/>
  <c r="P148" i="19"/>
  <c r="O148" i="19" s="1"/>
  <c r="Q148" i="19"/>
  <c r="H149" i="19"/>
  <c r="I149" i="19"/>
  <c r="J149" i="19"/>
  <c r="K149" i="19"/>
  <c r="L149" i="19"/>
  <c r="M149" i="19"/>
  <c r="N149" i="19"/>
  <c r="P149" i="19"/>
  <c r="O149" i="19" s="1"/>
  <c r="Q149" i="19"/>
  <c r="H150" i="19"/>
  <c r="I150" i="19"/>
  <c r="J150" i="19"/>
  <c r="K150" i="19"/>
  <c r="L150" i="19"/>
  <c r="M150" i="19"/>
  <c r="N150" i="19"/>
  <c r="P150" i="19"/>
  <c r="O150" i="19" s="1"/>
  <c r="Q150" i="19"/>
  <c r="H151" i="19"/>
  <c r="I151" i="19"/>
  <c r="J151" i="19"/>
  <c r="K151" i="19"/>
  <c r="L151" i="19"/>
  <c r="M151" i="19"/>
  <c r="N151" i="19"/>
  <c r="P151" i="19"/>
  <c r="O151" i="19" s="1"/>
  <c r="Q151" i="19"/>
  <c r="H152" i="19"/>
  <c r="I152" i="19"/>
  <c r="J152" i="19"/>
  <c r="K152" i="19"/>
  <c r="L152" i="19"/>
  <c r="M152" i="19"/>
  <c r="N152" i="19"/>
  <c r="P152" i="19"/>
  <c r="O152" i="19" s="1"/>
  <c r="Q152" i="19"/>
  <c r="H153" i="19"/>
  <c r="I153" i="19"/>
  <c r="J153" i="19"/>
  <c r="K153" i="19"/>
  <c r="L153" i="19"/>
  <c r="M153" i="19"/>
  <c r="N153" i="19"/>
  <c r="P153" i="19"/>
  <c r="O153" i="19" s="1"/>
  <c r="Q153" i="19"/>
  <c r="H154" i="19"/>
  <c r="I154" i="19"/>
  <c r="J154" i="19"/>
  <c r="K154" i="19"/>
  <c r="L154" i="19"/>
  <c r="M154" i="19"/>
  <c r="N154" i="19"/>
  <c r="P154" i="19"/>
  <c r="O154" i="19" s="1"/>
  <c r="Q154" i="19"/>
  <c r="H155" i="19"/>
  <c r="I155" i="19"/>
  <c r="J155" i="19"/>
  <c r="K155" i="19"/>
  <c r="L155" i="19"/>
  <c r="M155" i="19"/>
  <c r="N155" i="19"/>
  <c r="P155" i="19"/>
  <c r="O155" i="19" s="1"/>
  <c r="Q155" i="19"/>
  <c r="H156" i="19"/>
  <c r="I156" i="19"/>
  <c r="J156" i="19"/>
  <c r="K156" i="19"/>
  <c r="L156" i="19"/>
  <c r="M156" i="19"/>
  <c r="N156" i="19"/>
  <c r="P156" i="19"/>
  <c r="O156" i="19" s="1"/>
  <c r="Q156" i="19"/>
  <c r="H157" i="19"/>
  <c r="I157" i="19"/>
  <c r="J157" i="19"/>
  <c r="K157" i="19"/>
  <c r="L157" i="19"/>
  <c r="M157" i="19"/>
  <c r="N157" i="19"/>
  <c r="P157" i="19"/>
  <c r="O157" i="19" s="1"/>
  <c r="Q157" i="19"/>
  <c r="H158" i="19"/>
  <c r="I158" i="19"/>
  <c r="J158" i="19"/>
  <c r="K158" i="19"/>
  <c r="L158" i="19"/>
  <c r="M158" i="19"/>
  <c r="N158" i="19"/>
  <c r="P158" i="19"/>
  <c r="O158" i="19" s="1"/>
  <c r="Q158" i="19"/>
  <c r="H159" i="19"/>
  <c r="I159" i="19"/>
  <c r="J159" i="19"/>
  <c r="K159" i="19"/>
  <c r="L159" i="19"/>
  <c r="M159" i="19"/>
  <c r="N159" i="19"/>
  <c r="P159" i="19"/>
  <c r="O159" i="19" s="1"/>
  <c r="Q159" i="19"/>
  <c r="H160" i="19"/>
  <c r="I160" i="19"/>
  <c r="J160" i="19"/>
  <c r="K160" i="19"/>
  <c r="L160" i="19"/>
  <c r="M160" i="19"/>
  <c r="N160" i="19"/>
  <c r="P160" i="19"/>
  <c r="O160" i="19" s="1"/>
  <c r="Q160" i="19"/>
  <c r="H161" i="19"/>
  <c r="I161" i="19"/>
  <c r="J161" i="19"/>
  <c r="K161" i="19"/>
  <c r="L161" i="19"/>
  <c r="M161" i="19"/>
  <c r="N161" i="19"/>
  <c r="P161" i="19"/>
  <c r="O161" i="19" s="1"/>
  <c r="Q161" i="19"/>
  <c r="H162" i="19"/>
  <c r="I162" i="19"/>
  <c r="J162" i="19"/>
  <c r="K162" i="19"/>
  <c r="L162" i="19"/>
  <c r="M162" i="19"/>
  <c r="N162" i="19"/>
  <c r="P162" i="19"/>
  <c r="O162" i="19" s="1"/>
  <c r="Q162" i="19"/>
  <c r="H163" i="19"/>
  <c r="I163" i="19"/>
  <c r="J163" i="19"/>
  <c r="K163" i="19"/>
  <c r="L163" i="19"/>
  <c r="M163" i="19"/>
  <c r="N163" i="19"/>
  <c r="P163" i="19"/>
  <c r="O163" i="19" s="1"/>
  <c r="Q163" i="19"/>
  <c r="H164" i="19"/>
  <c r="I164" i="19"/>
  <c r="J164" i="19"/>
  <c r="K164" i="19"/>
  <c r="L164" i="19"/>
  <c r="M164" i="19"/>
  <c r="N164" i="19"/>
  <c r="P164" i="19"/>
  <c r="O164" i="19" s="1"/>
  <c r="Q164" i="19"/>
  <c r="H165" i="19"/>
  <c r="I165" i="19"/>
  <c r="J165" i="19"/>
  <c r="K165" i="19"/>
  <c r="L165" i="19"/>
  <c r="M165" i="19"/>
  <c r="N165" i="19"/>
  <c r="P165" i="19"/>
  <c r="O165" i="19" s="1"/>
  <c r="Q165" i="19"/>
  <c r="H166" i="19"/>
  <c r="I166" i="19"/>
  <c r="J166" i="19"/>
  <c r="K166" i="19"/>
  <c r="L166" i="19"/>
  <c r="M166" i="19"/>
  <c r="N166" i="19"/>
  <c r="P166" i="19"/>
  <c r="O166" i="19" s="1"/>
  <c r="Q166" i="19"/>
  <c r="H167" i="19"/>
  <c r="I167" i="19"/>
  <c r="J167" i="19"/>
  <c r="K167" i="19"/>
  <c r="L167" i="19"/>
  <c r="M167" i="19"/>
  <c r="N167" i="19"/>
  <c r="P167" i="19"/>
  <c r="O167" i="19" s="1"/>
  <c r="Q167" i="19"/>
  <c r="H168" i="19"/>
  <c r="I168" i="19"/>
  <c r="J168" i="19"/>
  <c r="K168" i="19"/>
  <c r="L168" i="19"/>
  <c r="M168" i="19"/>
  <c r="N168" i="19"/>
  <c r="P168" i="19"/>
  <c r="O168" i="19" s="1"/>
  <c r="Q168" i="19"/>
  <c r="H169" i="19"/>
  <c r="I169" i="19"/>
  <c r="J169" i="19"/>
  <c r="K169" i="19"/>
  <c r="L169" i="19"/>
  <c r="M169" i="19"/>
  <c r="N169" i="19"/>
  <c r="P169" i="19"/>
  <c r="O169" i="19" s="1"/>
  <c r="Q169" i="19"/>
  <c r="H170" i="19"/>
  <c r="I170" i="19"/>
  <c r="J170" i="19"/>
  <c r="K170" i="19"/>
  <c r="L170" i="19"/>
  <c r="M170" i="19"/>
  <c r="N170" i="19"/>
  <c r="P170" i="19"/>
  <c r="O170" i="19" s="1"/>
  <c r="Q170" i="19"/>
  <c r="H171" i="19"/>
  <c r="I171" i="19"/>
  <c r="J171" i="19"/>
  <c r="K171" i="19"/>
  <c r="L171" i="19"/>
  <c r="M171" i="19"/>
  <c r="N171" i="19"/>
  <c r="P171" i="19"/>
  <c r="Q171" i="19"/>
  <c r="H172" i="19"/>
  <c r="I172" i="19"/>
  <c r="J172" i="19"/>
  <c r="K172" i="19"/>
  <c r="L172" i="19"/>
  <c r="M172" i="19"/>
  <c r="N172" i="19"/>
  <c r="P172" i="19"/>
  <c r="O172" i="19" s="1"/>
  <c r="Q172" i="19"/>
  <c r="H173" i="19"/>
  <c r="I173" i="19"/>
  <c r="J173" i="19"/>
  <c r="K173" i="19"/>
  <c r="L173" i="19"/>
  <c r="M173" i="19"/>
  <c r="N173" i="19"/>
  <c r="P173" i="19"/>
  <c r="O173" i="19" s="1"/>
  <c r="Q173" i="19"/>
  <c r="H174" i="19"/>
  <c r="I174" i="19"/>
  <c r="J174" i="19"/>
  <c r="K174" i="19"/>
  <c r="L174" i="19"/>
  <c r="M174" i="19"/>
  <c r="N174" i="19"/>
  <c r="P174" i="19"/>
  <c r="O174" i="19" s="1"/>
  <c r="Q174" i="19"/>
  <c r="H175" i="19"/>
  <c r="I175" i="19"/>
  <c r="J175" i="19"/>
  <c r="K175" i="19"/>
  <c r="L175" i="19"/>
  <c r="M175" i="19"/>
  <c r="N175" i="19"/>
  <c r="P175" i="19"/>
  <c r="O175" i="19" s="1"/>
  <c r="Q175" i="19"/>
  <c r="H176" i="19"/>
  <c r="I176" i="19"/>
  <c r="J176" i="19"/>
  <c r="K176" i="19"/>
  <c r="L176" i="19"/>
  <c r="M176" i="19"/>
  <c r="N176" i="19"/>
  <c r="P176" i="19"/>
  <c r="O176" i="19" s="1"/>
  <c r="Q176" i="19"/>
  <c r="H177" i="19"/>
  <c r="I177" i="19"/>
  <c r="J177" i="19"/>
  <c r="K177" i="19"/>
  <c r="L177" i="19"/>
  <c r="M177" i="19"/>
  <c r="N177" i="19"/>
  <c r="P177" i="19"/>
  <c r="O177" i="19" s="1"/>
  <c r="Q177" i="19"/>
  <c r="H178" i="19"/>
  <c r="I178" i="19"/>
  <c r="J178" i="19"/>
  <c r="K178" i="19"/>
  <c r="L178" i="19"/>
  <c r="M178" i="19"/>
  <c r="N178" i="19"/>
  <c r="P178" i="19"/>
  <c r="O178" i="19" s="1"/>
  <c r="Q178" i="19"/>
  <c r="H179" i="19"/>
  <c r="I179" i="19"/>
  <c r="J179" i="19"/>
  <c r="K179" i="19"/>
  <c r="L179" i="19"/>
  <c r="M179" i="19"/>
  <c r="N179" i="19"/>
  <c r="P179" i="19"/>
  <c r="O179" i="19" s="1"/>
  <c r="Q179" i="19"/>
  <c r="H180" i="19"/>
  <c r="I180" i="19"/>
  <c r="J180" i="19"/>
  <c r="K180" i="19"/>
  <c r="L180" i="19"/>
  <c r="M180" i="19"/>
  <c r="N180" i="19"/>
  <c r="P180" i="19"/>
  <c r="O180" i="19" s="1"/>
  <c r="Q180" i="19"/>
  <c r="H181" i="19"/>
  <c r="I181" i="19"/>
  <c r="J181" i="19"/>
  <c r="K181" i="19"/>
  <c r="L181" i="19"/>
  <c r="M181" i="19"/>
  <c r="N181" i="19"/>
  <c r="P181" i="19"/>
  <c r="O181" i="19" s="1"/>
  <c r="Q181" i="19"/>
  <c r="H182" i="19"/>
  <c r="I182" i="19"/>
  <c r="J182" i="19"/>
  <c r="K182" i="19"/>
  <c r="L182" i="19"/>
  <c r="M182" i="19"/>
  <c r="N182" i="19"/>
  <c r="P182" i="19"/>
  <c r="O182" i="19" s="1"/>
  <c r="Q182" i="19"/>
  <c r="H183" i="19"/>
  <c r="I183" i="19"/>
  <c r="J183" i="19"/>
  <c r="K183" i="19"/>
  <c r="L183" i="19"/>
  <c r="M183" i="19"/>
  <c r="N183" i="19"/>
  <c r="P183" i="19"/>
  <c r="O183" i="19" s="1"/>
  <c r="Q183" i="19"/>
  <c r="H184" i="19"/>
  <c r="I184" i="19"/>
  <c r="J184" i="19"/>
  <c r="K184" i="19"/>
  <c r="L184" i="19"/>
  <c r="M184" i="19"/>
  <c r="N184" i="19"/>
  <c r="P184" i="19"/>
  <c r="O184" i="19" s="1"/>
  <c r="Q184" i="19"/>
  <c r="H185" i="19"/>
  <c r="I185" i="19"/>
  <c r="J185" i="19"/>
  <c r="K185" i="19"/>
  <c r="L185" i="19"/>
  <c r="M185" i="19"/>
  <c r="N185" i="19"/>
  <c r="P185" i="19"/>
  <c r="O185" i="19" s="1"/>
  <c r="Q185" i="19"/>
  <c r="H186" i="19"/>
  <c r="I186" i="19"/>
  <c r="J186" i="19"/>
  <c r="K186" i="19"/>
  <c r="L186" i="19"/>
  <c r="M186" i="19"/>
  <c r="N186" i="19"/>
  <c r="P186" i="19"/>
  <c r="O186" i="19" s="1"/>
  <c r="Q186" i="19"/>
  <c r="H187" i="19"/>
  <c r="I187" i="19"/>
  <c r="J187" i="19"/>
  <c r="K187" i="19"/>
  <c r="L187" i="19"/>
  <c r="M187" i="19"/>
  <c r="N187" i="19"/>
  <c r="P187" i="19"/>
  <c r="O187" i="19" s="1"/>
  <c r="Q187" i="19"/>
  <c r="H188" i="19"/>
  <c r="I188" i="19"/>
  <c r="J188" i="19"/>
  <c r="K188" i="19"/>
  <c r="L188" i="19"/>
  <c r="M188" i="19"/>
  <c r="N188" i="19"/>
  <c r="P188" i="19"/>
  <c r="O188" i="19" s="1"/>
  <c r="Q188" i="19"/>
  <c r="H189" i="19"/>
  <c r="I189" i="19"/>
  <c r="J189" i="19"/>
  <c r="K189" i="19"/>
  <c r="L189" i="19"/>
  <c r="M189" i="19"/>
  <c r="N189" i="19"/>
  <c r="P189" i="19"/>
  <c r="O189" i="19" s="1"/>
  <c r="Q189" i="19"/>
  <c r="H190" i="19"/>
  <c r="I190" i="19"/>
  <c r="J190" i="19"/>
  <c r="K190" i="19"/>
  <c r="L190" i="19"/>
  <c r="M190" i="19"/>
  <c r="N190" i="19"/>
  <c r="P190" i="19"/>
  <c r="O190" i="19" s="1"/>
  <c r="Q190" i="19"/>
  <c r="H191" i="19"/>
  <c r="I191" i="19"/>
  <c r="J191" i="19"/>
  <c r="K191" i="19"/>
  <c r="L191" i="19"/>
  <c r="M191" i="19"/>
  <c r="N191" i="19"/>
  <c r="P191" i="19"/>
  <c r="O191" i="19" s="1"/>
  <c r="Q191" i="19"/>
  <c r="H192" i="19"/>
  <c r="I192" i="19"/>
  <c r="J192" i="19"/>
  <c r="K192" i="19"/>
  <c r="L192" i="19"/>
  <c r="M192" i="19"/>
  <c r="N192" i="19"/>
  <c r="P192" i="19"/>
  <c r="O192" i="19" s="1"/>
  <c r="Q192" i="19"/>
  <c r="H193" i="19"/>
  <c r="I193" i="19"/>
  <c r="J193" i="19"/>
  <c r="K193" i="19"/>
  <c r="L193" i="19"/>
  <c r="M193" i="19"/>
  <c r="N193" i="19"/>
  <c r="P193" i="19"/>
  <c r="O193" i="19" s="1"/>
  <c r="Q193" i="19"/>
  <c r="H194" i="19"/>
  <c r="I194" i="19"/>
  <c r="J194" i="19"/>
  <c r="K194" i="19"/>
  <c r="L194" i="19"/>
  <c r="M194" i="19"/>
  <c r="N194" i="19"/>
  <c r="P194" i="19"/>
  <c r="O194" i="19" s="1"/>
  <c r="Q194" i="19"/>
  <c r="H195" i="19"/>
  <c r="I195" i="19"/>
  <c r="J195" i="19"/>
  <c r="K195" i="19"/>
  <c r="L195" i="19"/>
  <c r="M195" i="19"/>
  <c r="N195" i="19"/>
  <c r="P195" i="19"/>
  <c r="O195" i="19" s="1"/>
  <c r="Q195" i="19"/>
  <c r="H196" i="19"/>
  <c r="I196" i="19"/>
  <c r="J196" i="19"/>
  <c r="K196" i="19"/>
  <c r="L196" i="19"/>
  <c r="M196" i="19"/>
  <c r="N196" i="19"/>
  <c r="P196" i="19"/>
  <c r="O196" i="19" s="1"/>
  <c r="Q196" i="19"/>
  <c r="H197" i="19"/>
  <c r="I197" i="19"/>
  <c r="J197" i="19"/>
  <c r="K197" i="19"/>
  <c r="L197" i="19"/>
  <c r="M197" i="19"/>
  <c r="N197" i="19"/>
  <c r="P197" i="19"/>
  <c r="O197" i="19" s="1"/>
  <c r="Q197" i="19"/>
  <c r="H198" i="19"/>
  <c r="I198" i="19"/>
  <c r="J198" i="19"/>
  <c r="K198" i="19"/>
  <c r="L198" i="19"/>
  <c r="M198" i="19"/>
  <c r="N198" i="19"/>
  <c r="P198" i="19"/>
  <c r="O198" i="19" s="1"/>
  <c r="Q198" i="19"/>
  <c r="H199" i="19"/>
  <c r="I199" i="19"/>
  <c r="J199" i="19"/>
  <c r="K199" i="19"/>
  <c r="L199" i="19"/>
  <c r="M199" i="19"/>
  <c r="N199" i="19"/>
  <c r="P199" i="19"/>
  <c r="O199" i="19" s="1"/>
  <c r="Q199" i="19"/>
  <c r="H200" i="19"/>
  <c r="I200" i="19"/>
  <c r="J200" i="19"/>
  <c r="K200" i="19"/>
  <c r="L200" i="19"/>
  <c r="M200" i="19"/>
  <c r="N200" i="19"/>
  <c r="P200" i="19"/>
  <c r="O200" i="19" s="1"/>
  <c r="Q200" i="19"/>
  <c r="H201" i="19"/>
  <c r="I201" i="19"/>
  <c r="J201" i="19"/>
  <c r="T201" i="19" s="1"/>
  <c r="K201" i="19"/>
  <c r="L201" i="19"/>
  <c r="M201" i="19"/>
  <c r="N201" i="19"/>
  <c r="P201" i="19"/>
  <c r="O201" i="19" s="1"/>
  <c r="Q201" i="19"/>
  <c r="H202" i="19"/>
  <c r="I202" i="19"/>
  <c r="J202" i="19"/>
  <c r="K202" i="19"/>
  <c r="L202" i="19"/>
  <c r="M202" i="19"/>
  <c r="N202" i="19"/>
  <c r="P202" i="19"/>
  <c r="O202" i="19" s="1"/>
  <c r="Q202" i="19"/>
  <c r="H203" i="19"/>
  <c r="I203" i="19"/>
  <c r="J203" i="19"/>
  <c r="K203" i="19"/>
  <c r="L203" i="19"/>
  <c r="M203" i="19"/>
  <c r="N203" i="19"/>
  <c r="P203" i="19"/>
  <c r="O203" i="19" s="1"/>
  <c r="Q203" i="19"/>
  <c r="H204" i="19"/>
  <c r="I204" i="19"/>
  <c r="J204" i="19"/>
  <c r="K204" i="19"/>
  <c r="L204" i="19"/>
  <c r="M204" i="19"/>
  <c r="N204" i="19"/>
  <c r="P204" i="19"/>
  <c r="O204" i="19" s="1"/>
  <c r="Q204" i="19"/>
  <c r="H205" i="19"/>
  <c r="I205" i="19"/>
  <c r="J205" i="19"/>
  <c r="K205" i="19"/>
  <c r="L205" i="19"/>
  <c r="M205" i="19"/>
  <c r="N205" i="19"/>
  <c r="P205" i="19"/>
  <c r="O205" i="19" s="1"/>
  <c r="Q205" i="19"/>
  <c r="H206" i="19"/>
  <c r="I206" i="19"/>
  <c r="J206" i="19"/>
  <c r="K206" i="19"/>
  <c r="L206" i="19"/>
  <c r="M206" i="19"/>
  <c r="N206" i="19"/>
  <c r="P206" i="19"/>
  <c r="O206" i="19" s="1"/>
  <c r="Q206" i="19"/>
  <c r="H207" i="19"/>
  <c r="I207" i="19"/>
  <c r="J207" i="19"/>
  <c r="K207" i="19"/>
  <c r="L207" i="19"/>
  <c r="M207" i="19"/>
  <c r="N207" i="19"/>
  <c r="P207" i="19"/>
  <c r="O207" i="19" s="1"/>
  <c r="Q207" i="19"/>
  <c r="H208" i="19"/>
  <c r="I208" i="19"/>
  <c r="J208" i="19"/>
  <c r="K208" i="19"/>
  <c r="L208" i="19"/>
  <c r="M208" i="19"/>
  <c r="N208" i="19"/>
  <c r="P208" i="19"/>
  <c r="O208" i="19" s="1"/>
  <c r="Q208" i="19"/>
  <c r="H209" i="19"/>
  <c r="I209" i="19"/>
  <c r="J209" i="19"/>
  <c r="K209" i="19"/>
  <c r="L209" i="19"/>
  <c r="M209" i="19"/>
  <c r="N209" i="19"/>
  <c r="P209" i="19"/>
  <c r="O209" i="19" s="1"/>
  <c r="Q209" i="19"/>
  <c r="H210" i="19"/>
  <c r="I210" i="19"/>
  <c r="J210" i="19"/>
  <c r="K210" i="19"/>
  <c r="L210" i="19"/>
  <c r="M210" i="19"/>
  <c r="N210" i="19"/>
  <c r="P210" i="19"/>
  <c r="O210" i="19" s="1"/>
  <c r="Q210" i="19"/>
  <c r="H211" i="19"/>
  <c r="I211" i="19"/>
  <c r="J211" i="19"/>
  <c r="K211" i="19"/>
  <c r="L211" i="19"/>
  <c r="M211" i="19"/>
  <c r="N211" i="19"/>
  <c r="P211" i="19"/>
  <c r="O211" i="19" s="1"/>
  <c r="Q211" i="19"/>
  <c r="H212" i="19"/>
  <c r="I212" i="19"/>
  <c r="J212" i="19"/>
  <c r="K212" i="19"/>
  <c r="L212" i="19"/>
  <c r="M212" i="19"/>
  <c r="N212" i="19"/>
  <c r="P212" i="19"/>
  <c r="O212" i="19" s="1"/>
  <c r="Q212" i="19"/>
  <c r="H213" i="19"/>
  <c r="I213" i="19"/>
  <c r="J213" i="19"/>
  <c r="K213" i="19"/>
  <c r="L213" i="19"/>
  <c r="M213" i="19"/>
  <c r="N213" i="19"/>
  <c r="P213" i="19"/>
  <c r="O213" i="19" s="1"/>
  <c r="Q213" i="19"/>
  <c r="H214" i="19"/>
  <c r="I214" i="19"/>
  <c r="J214" i="19"/>
  <c r="K214" i="19"/>
  <c r="L214" i="19"/>
  <c r="M214" i="19"/>
  <c r="N214" i="19"/>
  <c r="P214" i="19"/>
  <c r="O214" i="19" s="1"/>
  <c r="Q214" i="19"/>
  <c r="H215" i="19"/>
  <c r="I215" i="19"/>
  <c r="J215" i="19"/>
  <c r="K215" i="19"/>
  <c r="L215" i="19"/>
  <c r="M215" i="19"/>
  <c r="N215" i="19"/>
  <c r="P215" i="19"/>
  <c r="O215" i="19" s="1"/>
  <c r="Q215" i="19"/>
  <c r="H216" i="19"/>
  <c r="I216" i="19"/>
  <c r="J216" i="19"/>
  <c r="K216" i="19"/>
  <c r="L216" i="19"/>
  <c r="M216" i="19"/>
  <c r="N216" i="19"/>
  <c r="P216" i="19"/>
  <c r="O216" i="19" s="1"/>
  <c r="Q216" i="19"/>
  <c r="H217" i="19"/>
  <c r="I217" i="19"/>
  <c r="J217" i="19"/>
  <c r="K217" i="19"/>
  <c r="L217" i="19"/>
  <c r="M217" i="19"/>
  <c r="N217" i="19"/>
  <c r="P217" i="19"/>
  <c r="O217" i="19" s="1"/>
  <c r="Q217" i="19"/>
  <c r="H218" i="19"/>
  <c r="I218" i="19"/>
  <c r="J218" i="19"/>
  <c r="K218" i="19"/>
  <c r="L218" i="19"/>
  <c r="M218" i="19"/>
  <c r="N218" i="19"/>
  <c r="P218" i="19"/>
  <c r="O218" i="19" s="1"/>
  <c r="Q218" i="19"/>
  <c r="H219" i="19"/>
  <c r="I219" i="19"/>
  <c r="J219" i="19"/>
  <c r="K219" i="19"/>
  <c r="L219" i="19"/>
  <c r="M219" i="19"/>
  <c r="N219" i="19"/>
  <c r="P219" i="19"/>
  <c r="O219" i="19" s="1"/>
  <c r="Q219" i="19"/>
  <c r="H220" i="19"/>
  <c r="I220" i="19"/>
  <c r="J220" i="19"/>
  <c r="K220" i="19"/>
  <c r="L220" i="19"/>
  <c r="M220" i="19"/>
  <c r="N220" i="19"/>
  <c r="P220" i="19"/>
  <c r="O220" i="19" s="1"/>
  <c r="Q220" i="19"/>
  <c r="H221" i="19"/>
  <c r="I221" i="19"/>
  <c r="J221" i="19"/>
  <c r="K221" i="19"/>
  <c r="L221" i="19"/>
  <c r="M221" i="19"/>
  <c r="N221" i="19"/>
  <c r="P221" i="19"/>
  <c r="O221" i="19" s="1"/>
  <c r="Q221" i="19"/>
  <c r="H222" i="19"/>
  <c r="I222" i="19"/>
  <c r="J222" i="19"/>
  <c r="K222" i="19"/>
  <c r="L222" i="19"/>
  <c r="M222" i="19"/>
  <c r="N222" i="19"/>
  <c r="P222" i="19"/>
  <c r="O222" i="19" s="1"/>
  <c r="Q222" i="19"/>
  <c r="H223" i="19"/>
  <c r="I223" i="19"/>
  <c r="J223" i="19"/>
  <c r="K223" i="19"/>
  <c r="L223" i="19"/>
  <c r="M223" i="19"/>
  <c r="N223" i="19"/>
  <c r="P223" i="19"/>
  <c r="O223" i="19" s="1"/>
  <c r="Q223" i="19"/>
  <c r="H224" i="19"/>
  <c r="I224" i="19"/>
  <c r="J224" i="19"/>
  <c r="K224" i="19"/>
  <c r="L224" i="19"/>
  <c r="M224" i="19"/>
  <c r="N224" i="19"/>
  <c r="P224" i="19"/>
  <c r="O224" i="19" s="1"/>
  <c r="Q224" i="19"/>
  <c r="H225" i="19"/>
  <c r="I225" i="19"/>
  <c r="J225" i="19"/>
  <c r="K225" i="19"/>
  <c r="L225" i="19"/>
  <c r="M225" i="19"/>
  <c r="N225" i="19"/>
  <c r="P225" i="19"/>
  <c r="O225" i="19" s="1"/>
  <c r="Q225" i="19"/>
  <c r="H226" i="19"/>
  <c r="I226" i="19"/>
  <c r="J226" i="19"/>
  <c r="K226" i="19"/>
  <c r="L226" i="19"/>
  <c r="M226" i="19"/>
  <c r="N226" i="19"/>
  <c r="P226" i="19"/>
  <c r="O226" i="19" s="1"/>
  <c r="Q226" i="19"/>
  <c r="H227" i="19"/>
  <c r="I227" i="19"/>
  <c r="J227" i="19"/>
  <c r="K227" i="19"/>
  <c r="L227" i="19"/>
  <c r="M227" i="19"/>
  <c r="N227" i="19"/>
  <c r="P227" i="19"/>
  <c r="O227" i="19" s="1"/>
  <c r="Q227" i="19"/>
  <c r="H228" i="19"/>
  <c r="I228" i="19"/>
  <c r="J228" i="19"/>
  <c r="K228" i="19"/>
  <c r="L228" i="19"/>
  <c r="M228" i="19"/>
  <c r="N228" i="19"/>
  <c r="P228" i="19"/>
  <c r="O228" i="19" s="1"/>
  <c r="Q228" i="19"/>
  <c r="H229" i="19"/>
  <c r="I229" i="19"/>
  <c r="J229" i="19"/>
  <c r="K229" i="19"/>
  <c r="L229" i="19"/>
  <c r="M229" i="19"/>
  <c r="N229" i="19"/>
  <c r="P229" i="19"/>
  <c r="O229" i="19" s="1"/>
  <c r="Q229" i="19"/>
  <c r="H230" i="19"/>
  <c r="I230" i="19"/>
  <c r="J230" i="19"/>
  <c r="K230" i="19"/>
  <c r="L230" i="19"/>
  <c r="M230" i="19"/>
  <c r="N230" i="19"/>
  <c r="P230" i="19"/>
  <c r="O230" i="19" s="1"/>
  <c r="Q230" i="19"/>
  <c r="H231" i="19"/>
  <c r="I231" i="19"/>
  <c r="J231" i="19"/>
  <c r="K231" i="19"/>
  <c r="L231" i="19"/>
  <c r="M231" i="19"/>
  <c r="N231" i="19"/>
  <c r="P231" i="19"/>
  <c r="O231" i="19" s="1"/>
  <c r="Q231" i="19"/>
  <c r="H232" i="19"/>
  <c r="I232" i="19"/>
  <c r="J232" i="19"/>
  <c r="K232" i="19"/>
  <c r="L232" i="19"/>
  <c r="M232" i="19"/>
  <c r="N232" i="19"/>
  <c r="P232" i="19"/>
  <c r="O232" i="19" s="1"/>
  <c r="Q232" i="19"/>
  <c r="H233" i="19"/>
  <c r="I233" i="19"/>
  <c r="J233" i="19"/>
  <c r="K233" i="19"/>
  <c r="L233" i="19"/>
  <c r="M233" i="19"/>
  <c r="N233" i="19"/>
  <c r="P233" i="19"/>
  <c r="O233" i="19" s="1"/>
  <c r="Q233" i="19"/>
  <c r="H234" i="19"/>
  <c r="I234" i="19"/>
  <c r="J234" i="19"/>
  <c r="K234" i="19"/>
  <c r="L234" i="19"/>
  <c r="M234" i="19"/>
  <c r="N234" i="19"/>
  <c r="P234" i="19"/>
  <c r="O234" i="19" s="1"/>
  <c r="Q234" i="19"/>
  <c r="H235" i="19"/>
  <c r="I235" i="19"/>
  <c r="J235" i="19"/>
  <c r="K235" i="19"/>
  <c r="L235" i="19"/>
  <c r="M235" i="19"/>
  <c r="N235" i="19"/>
  <c r="P235" i="19"/>
  <c r="O235" i="19" s="1"/>
  <c r="Q235" i="19"/>
  <c r="H236" i="19"/>
  <c r="I236" i="19"/>
  <c r="J236" i="19"/>
  <c r="K236" i="19"/>
  <c r="L236" i="19"/>
  <c r="M236" i="19"/>
  <c r="N236" i="19"/>
  <c r="P236" i="19"/>
  <c r="O236" i="19" s="1"/>
  <c r="Q236" i="19"/>
  <c r="H237" i="19"/>
  <c r="I237" i="19"/>
  <c r="J237" i="19"/>
  <c r="K237" i="19"/>
  <c r="L237" i="19"/>
  <c r="M237" i="19"/>
  <c r="N237" i="19"/>
  <c r="P237" i="19"/>
  <c r="O237" i="19" s="1"/>
  <c r="Q237" i="19"/>
  <c r="H238" i="19"/>
  <c r="I238" i="19"/>
  <c r="J238" i="19"/>
  <c r="K238" i="19"/>
  <c r="L238" i="19"/>
  <c r="M238" i="19"/>
  <c r="N238" i="19"/>
  <c r="P238" i="19"/>
  <c r="O238" i="19" s="1"/>
  <c r="Q238" i="19"/>
  <c r="H239" i="19"/>
  <c r="I239" i="19"/>
  <c r="J239" i="19"/>
  <c r="K239" i="19"/>
  <c r="L239" i="19"/>
  <c r="M239" i="19"/>
  <c r="N239" i="19"/>
  <c r="P239" i="19"/>
  <c r="O239" i="19" s="1"/>
  <c r="Q239" i="19"/>
  <c r="H240" i="19"/>
  <c r="I240" i="19"/>
  <c r="J240" i="19"/>
  <c r="K240" i="19"/>
  <c r="L240" i="19"/>
  <c r="M240" i="19"/>
  <c r="N240" i="19"/>
  <c r="P240" i="19"/>
  <c r="O240" i="19" s="1"/>
  <c r="Q240" i="19"/>
  <c r="H241" i="19"/>
  <c r="I241" i="19"/>
  <c r="J241" i="19"/>
  <c r="K241" i="19"/>
  <c r="L241" i="19"/>
  <c r="M241" i="19"/>
  <c r="N241" i="19"/>
  <c r="P241" i="19"/>
  <c r="O241" i="19" s="1"/>
  <c r="Q241" i="19"/>
  <c r="H242" i="19"/>
  <c r="I242" i="19"/>
  <c r="J242" i="19"/>
  <c r="K242" i="19"/>
  <c r="L242" i="19"/>
  <c r="M242" i="19"/>
  <c r="N242" i="19"/>
  <c r="P242" i="19"/>
  <c r="O242" i="19" s="1"/>
  <c r="Q242" i="19"/>
  <c r="H243" i="19"/>
  <c r="I243" i="19"/>
  <c r="J243" i="19"/>
  <c r="K243" i="19"/>
  <c r="L243" i="19"/>
  <c r="M243" i="19"/>
  <c r="N243" i="19"/>
  <c r="P243" i="19"/>
  <c r="O243" i="19" s="1"/>
  <c r="Q243" i="19"/>
  <c r="H244" i="19"/>
  <c r="I244" i="19"/>
  <c r="J244" i="19"/>
  <c r="K244" i="19"/>
  <c r="L244" i="19"/>
  <c r="M244" i="19"/>
  <c r="N244" i="19"/>
  <c r="P244" i="19"/>
  <c r="O244" i="19" s="1"/>
  <c r="Q244" i="19"/>
  <c r="H245" i="19"/>
  <c r="I245" i="19"/>
  <c r="J245" i="19"/>
  <c r="K245" i="19"/>
  <c r="L245" i="19"/>
  <c r="M245" i="19"/>
  <c r="N245" i="19"/>
  <c r="P245" i="19"/>
  <c r="Q245" i="19"/>
  <c r="H246" i="19"/>
  <c r="I246" i="19"/>
  <c r="J246" i="19"/>
  <c r="K246" i="19"/>
  <c r="L246" i="19"/>
  <c r="M246" i="19"/>
  <c r="N246" i="19"/>
  <c r="P246" i="19"/>
  <c r="O246" i="19" s="1"/>
  <c r="Q246" i="19"/>
  <c r="H247" i="19"/>
  <c r="I247" i="19"/>
  <c r="J247" i="19"/>
  <c r="K247" i="19"/>
  <c r="L247" i="19"/>
  <c r="M247" i="19"/>
  <c r="N247" i="19"/>
  <c r="P247" i="19"/>
  <c r="O247" i="19" s="1"/>
  <c r="Q247" i="19"/>
  <c r="H248" i="19"/>
  <c r="I248" i="19"/>
  <c r="J248" i="19"/>
  <c r="K248" i="19"/>
  <c r="L248" i="19"/>
  <c r="M248" i="19"/>
  <c r="N248" i="19"/>
  <c r="P248" i="19"/>
  <c r="O248" i="19" s="1"/>
  <c r="Q248" i="19"/>
  <c r="H249" i="19"/>
  <c r="I249" i="19"/>
  <c r="J249" i="19"/>
  <c r="K249" i="19"/>
  <c r="L249" i="19"/>
  <c r="M249" i="19"/>
  <c r="N249" i="19"/>
  <c r="P249" i="19"/>
  <c r="O249" i="19" s="1"/>
  <c r="Q249" i="19"/>
  <c r="H250" i="19"/>
  <c r="I250" i="19"/>
  <c r="J250" i="19"/>
  <c r="K250" i="19"/>
  <c r="L250" i="19"/>
  <c r="M250" i="19"/>
  <c r="N250" i="19"/>
  <c r="P250" i="19"/>
  <c r="O250" i="19" s="1"/>
  <c r="Q250" i="19"/>
  <c r="H251" i="19"/>
  <c r="I251" i="19"/>
  <c r="J251" i="19"/>
  <c r="K251" i="19"/>
  <c r="L251" i="19"/>
  <c r="M251" i="19"/>
  <c r="N251" i="19"/>
  <c r="P251" i="19"/>
  <c r="O251" i="19" s="1"/>
  <c r="Q251" i="19"/>
  <c r="H252" i="19"/>
  <c r="I252" i="19"/>
  <c r="J252" i="19"/>
  <c r="K252" i="19"/>
  <c r="L252" i="19"/>
  <c r="M252" i="19"/>
  <c r="N252" i="19"/>
  <c r="P252" i="19"/>
  <c r="O252" i="19" s="1"/>
  <c r="Q252" i="19"/>
  <c r="H253" i="19"/>
  <c r="I253" i="19"/>
  <c r="J253" i="19"/>
  <c r="K253" i="19"/>
  <c r="L253" i="19"/>
  <c r="M253" i="19"/>
  <c r="N253" i="19"/>
  <c r="P253" i="19"/>
  <c r="O253" i="19" s="1"/>
  <c r="Q253" i="19"/>
  <c r="H254" i="19"/>
  <c r="I254" i="19"/>
  <c r="J254" i="19"/>
  <c r="K254" i="19"/>
  <c r="L254" i="19"/>
  <c r="M254" i="19"/>
  <c r="N254" i="19"/>
  <c r="P254" i="19"/>
  <c r="O254" i="19" s="1"/>
  <c r="Q254" i="19"/>
  <c r="H255" i="19"/>
  <c r="I255" i="19"/>
  <c r="J255" i="19"/>
  <c r="K255" i="19"/>
  <c r="L255" i="19"/>
  <c r="M255" i="19"/>
  <c r="N255" i="19"/>
  <c r="P255" i="19"/>
  <c r="O255" i="19" s="1"/>
  <c r="Q255" i="19"/>
  <c r="H256" i="19"/>
  <c r="I256" i="19"/>
  <c r="J256" i="19"/>
  <c r="K256" i="19"/>
  <c r="L256" i="19"/>
  <c r="M256" i="19"/>
  <c r="N256" i="19"/>
  <c r="P256" i="19"/>
  <c r="O256" i="19" s="1"/>
  <c r="Q256" i="19"/>
  <c r="H257" i="19"/>
  <c r="I257" i="19"/>
  <c r="J257" i="19"/>
  <c r="K257" i="19"/>
  <c r="L257" i="19"/>
  <c r="M257" i="19"/>
  <c r="N257" i="19"/>
  <c r="P257" i="19"/>
  <c r="O257" i="19" s="1"/>
  <c r="Q257" i="19"/>
  <c r="H258" i="19"/>
  <c r="I258" i="19"/>
  <c r="J258" i="19"/>
  <c r="K258" i="19"/>
  <c r="L258" i="19"/>
  <c r="M258" i="19"/>
  <c r="N258" i="19"/>
  <c r="P258" i="19"/>
  <c r="O258" i="19" s="1"/>
  <c r="Q258" i="19"/>
  <c r="H259" i="19"/>
  <c r="I259" i="19"/>
  <c r="J259" i="19"/>
  <c r="K259" i="19"/>
  <c r="L259" i="19"/>
  <c r="M259" i="19"/>
  <c r="N259" i="19"/>
  <c r="P259" i="19"/>
  <c r="O259" i="19" s="1"/>
  <c r="Q259" i="19"/>
  <c r="H260" i="19"/>
  <c r="I260" i="19"/>
  <c r="J260" i="19"/>
  <c r="K260" i="19"/>
  <c r="L260" i="19"/>
  <c r="M260" i="19"/>
  <c r="N260" i="19"/>
  <c r="P260" i="19"/>
  <c r="O260" i="19" s="1"/>
  <c r="Q260" i="19"/>
  <c r="H261" i="19"/>
  <c r="I261" i="19"/>
  <c r="J261" i="19"/>
  <c r="K261" i="19"/>
  <c r="L261" i="19"/>
  <c r="M261" i="19"/>
  <c r="N261" i="19"/>
  <c r="P261" i="19"/>
  <c r="O261" i="19" s="1"/>
  <c r="Q261" i="19"/>
  <c r="H262" i="19"/>
  <c r="I262" i="19"/>
  <c r="J262" i="19"/>
  <c r="K262" i="19"/>
  <c r="L262" i="19"/>
  <c r="M262" i="19"/>
  <c r="N262" i="19"/>
  <c r="P262" i="19"/>
  <c r="O262" i="19" s="1"/>
  <c r="Q262" i="19"/>
  <c r="H263" i="19"/>
  <c r="I263" i="19"/>
  <c r="J263" i="19"/>
  <c r="K263" i="19"/>
  <c r="L263" i="19"/>
  <c r="M263" i="19"/>
  <c r="N263" i="19"/>
  <c r="P263" i="19"/>
  <c r="O263" i="19" s="1"/>
  <c r="Q263" i="19"/>
  <c r="H264" i="19"/>
  <c r="I264" i="19"/>
  <c r="J264" i="19"/>
  <c r="K264" i="19"/>
  <c r="L264" i="19"/>
  <c r="M264" i="19"/>
  <c r="N264" i="19"/>
  <c r="P264" i="19"/>
  <c r="O264" i="19" s="1"/>
  <c r="Q264" i="19"/>
  <c r="H265" i="19"/>
  <c r="I265" i="19"/>
  <c r="J265" i="19"/>
  <c r="K265" i="19"/>
  <c r="L265" i="19"/>
  <c r="M265" i="19"/>
  <c r="N265" i="19"/>
  <c r="P265" i="19"/>
  <c r="O265" i="19" s="1"/>
  <c r="Q265" i="19"/>
  <c r="H266" i="19"/>
  <c r="I266" i="19"/>
  <c r="J266" i="19"/>
  <c r="K266" i="19"/>
  <c r="L266" i="19"/>
  <c r="M266" i="19"/>
  <c r="N266" i="19"/>
  <c r="P266" i="19"/>
  <c r="O266" i="19" s="1"/>
  <c r="Q266" i="19"/>
  <c r="H267" i="19"/>
  <c r="I267" i="19"/>
  <c r="J267" i="19"/>
  <c r="K267" i="19"/>
  <c r="L267" i="19"/>
  <c r="M267" i="19"/>
  <c r="N267" i="19"/>
  <c r="P267" i="19"/>
  <c r="O267" i="19" s="1"/>
  <c r="Q267" i="19"/>
  <c r="H268" i="19"/>
  <c r="I268" i="19"/>
  <c r="J268" i="19"/>
  <c r="K268" i="19"/>
  <c r="L268" i="19"/>
  <c r="M268" i="19"/>
  <c r="N268" i="19"/>
  <c r="P268" i="19"/>
  <c r="O268" i="19" s="1"/>
  <c r="Q268" i="19"/>
  <c r="H269" i="19"/>
  <c r="I269" i="19"/>
  <c r="J269" i="19"/>
  <c r="K269" i="19"/>
  <c r="L269" i="19"/>
  <c r="M269" i="19"/>
  <c r="N269" i="19"/>
  <c r="P269" i="19"/>
  <c r="O269" i="19" s="1"/>
  <c r="Q269" i="19"/>
  <c r="H270" i="19"/>
  <c r="I270" i="19"/>
  <c r="J270" i="19"/>
  <c r="T270" i="19" s="1"/>
  <c r="K270" i="19"/>
  <c r="L270" i="19"/>
  <c r="M270" i="19"/>
  <c r="N270" i="19"/>
  <c r="P270" i="19"/>
  <c r="O270" i="19" s="1"/>
  <c r="Q270" i="19"/>
  <c r="H271" i="19"/>
  <c r="I271" i="19"/>
  <c r="J271" i="19"/>
  <c r="K271" i="19"/>
  <c r="L271" i="19"/>
  <c r="M271" i="19"/>
  <c r="N271" i="19"/>
  <c r="P271" i="19"/>
  <c r="O271" i="19" s="1"/>
  <c r="Q271" i="19"/>
  <c r="H272" i="19"/>
  <c r="I272" i="19"/>
  <c r="J272" i="19"/>
  <c r="K272" i="19"/>
  <c r="L272" i="19"/>
  <c r="M272" i="19"/>
  <c r="N272" i="19"/>
  <c r="P272" i="19"/>
  <c r="O272" i="19" s="1"/>
  <c r="Q272" i="19"/>
  <c r="H273" i="19"/>
  <c r="I273" i="19"/>
  <c r="J273" i="19"/>
  <c r="K273" i="19"/>
  <c r="L273" i="19"/>
  <c r="M273" i="19"/>
  <c r="N273" i="19"/>
  <c r="P273" i="19"/>
  <c r="O273" i="19" s="1"/>
  <c r="Q273" i="19"/>
  <c r="H274" i="19"/>
  <c r="I274" i="19"/>
  <c r="J274" i="19"/>
  <c r="K274" i="19"/>
  <c r="L274" i="19"/>
  <c r="M274" i="19"/>
  <c r="N274" i="19"/>
  <c r="P274" i="19"/>
  <c r="O274" i="19" s="1"/>
  <c r="Q274" i="19"/>
  <c r="H275" i="19"/>
  <c r="I275" i="19"/>
  <c r="J275" i="19"/>
  <c r="K275" i="19"/>
  <c r="L275" i="19"/>
  <c r="M275" i="19"/>
  <c r="N275" i="19"/>
  <c r="P275" i="19"/>
  <c r="O275" i="19" s="1"/>
  <c r="Q275" i="19"/>
  <c r="H276" i="19"/>
  <c r="I276" i="19"/>
  <c r="J276" i="19"/>
  <c r="K276" i="19"/>
  <c r="L276" i="19"/>
  <c r="M276" i="19"/>
  <c r="N276" i="19"/>
  <c r="P276" i="19"/>
  <c r="O276" i="19" s="1"/>
  <c r="Q276" i="19"/>
  <c r="H277" i="19"/>
  <c r="I277" i="19"/>
  <c r="J277" i="19"/>
  <c r="K277" i="19"/>
  <c r="L277" i="19"/>
  <c r="M277" i="19"/>
  <c r="N277" i="19"/>
  <c r="P277" i="19"/>
  <c r="O277" i="19" s="1"/>
  <c r="Q277" i="19"/>
  <c r="H278" i="19"/>
  <c r="I278" i="19"/>
  <c r="J278" i="19"/>
  <c r="K278" i="19"/>
  <c r="L278" i="19"/>
  <c r="M278" i="19"/>
  <c r="N278" i="19"/>
  <c r="P278" i="19"/>
  <c r="O278" i="19" s="1"/>
  <c r="Q278" i="19"/>
  <c r="H279" i="19"/>
  <c r="I279" i="19"/>
  <c r="J279" i="19"/>
  <c r="K279" i="19"/>
  <c r="L279" i="19"/>
  <c r="M279" i="19"/>
  <c r="N279" i="19"/>
  <c r="P279" i="19"/>
  <c r="O279" i="19" s="1"/>
  <c r="Q279" i="19"/>
  <c r="H280" i="19"/>
  <c r="I280" i="19"/>
  <c r="J280" i="19"/>
  <c r="K280" i="19"/>
  <c r="L280" i="19"/>
  <c r="M280" i="19"/>
  <c r="N280" i="19"/>
  <c r="P280" i="19"/>
  <c r="O280" i="19" s="1"/>
  <c r="Q280" i="19"/>
  <c r="H281" i="19"/>
  <c r="I281" i="19"/>
  <c r="J281" i="19"/>
  <c r="K281" i="19"/>
  <c r="L281" i="19"/>
  <c r="M281" i="19"/>
  <c r="N281" i="19"/>
  <c r="P281" i="19"/>
  <c r="O281" i="19" s="1"/>
  <c r="Q281" i="19"/>
  <c r="H282" i="19"/>
  <c r="I282" i="19"/>
  <c r="J282" i="19"/>
  <c r="K282" i="19"/>
  <c r="L282" i="19"/>
  <c r="M282" i="19"/>
  <c r="N282" i="19"/>
  <c r="P282" i="19"/>
  <c r="O282" i="19" s="1"/>
  <c r="Q282" i="19"/>
  <c r="H283" i="19"/>
  <c r="I283" i="19"/>
  <c r="J283" i="19"/>
  <c r="K283" i="19"/>
  <c r="L283" i="19"/>
  <c r="M283" i="19"/>
  <c r="N283" i="19"/>
  <c r="P283" i="19"/>
  <c r="O283" i="19" s="1"/>
  <c r="Q283" i="19"/>
  <c r="H284" i="19"/>
  <c r="I284" i="19"/>
  <c r="J284" i="19"/>
  <c r="K284" i="19"/>
  <c r="L284" i="19"/>
  <c r="M284" i="19"/>
  <c r="N284" i="19"/>
  <c r="P284" i="19"/>
  <c r="O284" i="19" s="1"/>
  <c r="Q284" i="19"/>
  <c r="H285" i="19"/>
  <c r="I285" i="19"/>
  <c r="J285" i="19"/>
  <c r="K285" i="19"/>
  <c r="L285" i="19"/>
  <c r="M285" i="19"/>
  <c r="N285" i="19"/>
  <c r="P285" i="19"/>
  <c r="O285" i="19" s="1"/>
  <c r="Q285" i="19"/>
  <c r="H286" i="19"/>
  <c r="I286" i="19"/>
  <c r="J286" i="19"/>
  <c r="K286" i="19"/>
  <c r="L286" i="19"/>
  <c r="M286" i="19"/>
  <c r="N286" i="19"/>
  <c r="P286" i="19"/>
  <c r="O286" i="19" s="1"/>
  <c r="Q286" i="19"/>
  <c r="H287" i="19"/>
  <c r="I287" i="19"/>
  <c r="J287" i="19"/>
  <c r="K287" i="19"/>
  <c r="L287" i="19"/>
  <c r="M287" i="19"/>
  <c r="N287" i="19"/>
  <c r="P287" i="19"/>
  <c r="O287" i="19" s="1"/>
  <c r="Q287" i="19"/>
  <c r="H288" i="19"/>
  <c r="I288" i="19"/>
  <c r="J288" i="19"/>
  <c r="K288" i="19"/>
  <c r="L288" i="19"/>
  <c r="M288" i="19"/>
  <c r="N288" i="19"/>
  <c r="P288" i="19"/>
  <c r="O288" i="19" s="1"/>
  <c r="Q288" i="19"/>
  <c r="H289" i="19"/>
  <c r="I289" i="19"/>
  <c r="J289" i="19"/>
  <c r="K289" i="19"/>
  <c r="L289" i="19"/>
  <c r="M289" i="19"/>
  <c r="N289" i="19"/>
  <c r="P289" i="19"/>
  <c r="O289" i="19" s="1"/>
  <c r="Q289" i="19"/>
  <c r="H290" i="19"/>
  <c r="I290" i="19"/>
  <c r="J290" i="19"/>
  <c r="K290" i="19"/>
  <c r="L290" i="19"/>
  <c r="M290" i="19"/>
  <c r="N290" i="19"/>
  <c r="P290" i="19"/>
  <c r="O290" i="19" s="1"/>
  <c r="Q290" i="19"/>
  <c r="H291" i="19"/>
  <c r="I291" i="19"/>
  <c r="J291" i="19"/>
  <c r="K291" i="19"/>
  <c r="L291" i="19"/>
  <c r="M291" i="19"/>
  <c r="N291" i="19"/>
  <c r="P291" i="19"/>
  <c r="O291" i="19" s="1"/>
  <c r="Q291" i="19"/>
  <c r="H292" i="19"/>
  <c r="I292" i="19"/>
  <c r="J292" i="19"/>
  <c r="K292" i="19"/>
  <c r="L292" i="19"/>
  <c r="M292" i="19"/>
  <c r="N292" i="19"/>
  <c r="P292" i="19"/>
  <c r="O292" i="19" s="1"/>
  <c r="Q292" i="19"/>
  <c r="H293" i="19"/>
  <c r="I293" i="19"/>
  <c r="J293" i="19"/>
  <c r="K293" i="19"/>
  <c r="L293" i="19"/>
  <c r="M293" i="19"/>
  <c r="N293" i="19"/>
  <c r="P293" i="19"/>
  <c r="O293" i="19" s="1"/>
  <c r="Q293" i="19"/>
  <c r="H294" i="19"/>
  <c r="I294" i="19"/>
  <c r="J294" i="19"/>
  <c r="K294" i="19"/>
  <c r="L294" i="19"/>
  <c r="M294" i="19"/>
  <c r="N294" i="19"/>
  <c r="P294" i="19"/>
  <c r="O294" i="19" s="1"/>
  <c r="Q294" i="19"/>
  <c r="H295" i="19"/>
  <c r="I295" i="19"/>
  <c r="J295" i="19"/>
  <c r="K295" i="19"/>
  <c r="L295" i="19"/>
  <c r="M295" i="19"/>
  <c r="N295" i="19"/>
  <c r="P295" i="19"/>
  <c r="O295" i="19" s="1"/>
  <c r="Q295" i="19"/>
  <c r="H296" i="19"/>
  <c r="I296" i="19"/>
  <c r="J296" i="19"/>
  <c r="K296" i="19"/>
  <c r="L296" i="19"/>
  <c r="M296" i="19"/>
  <c r="N296" i="19"/>
  <c r="P296" i="19"/>
  <c r="O296" i="19" s="1"/>
  <c r="Q296" i="19"/>
  <c r="H297" i="19"/>
  <c r="I297" i="19"/>
  <c r="J297" i="19"/>
  <c r="K297" i="19"/>
  <c r="L297" i="19"/>
  <c r="M297" i="19"/>
  <c r="N297" i="19"/>
  <c r="P297" i="19"/>
  <c r="O297" i="19" s="1"/>
  <c r="Q297" i="19"/>
  <c r="H298" i="19"/>
  <c r="I298" i="19"/>
  <c r="J298" i="19"/>
  <c r="K298" i="19"/>
  <c r="L298" i="19"/>
  <c r="M298" i="19"/>
  <c r="N298" i="19"/>
  <c r="P298" i="19"/>
  <c r="O298" i="19" s="1"/>
  <c r="Q298" i="19"/>
  <c r="H299" i="19"/>
  <c r="I299" i="19"/>
  <c r="J299" i="19"/>
  <c r="K299" i="19"/>
  <c r="L299" i="19"/>
  <c r="M299" i="19"/>
  <c r="N299" i="19"/>
  <c r="P299" i="19"/>
  <c r="O299" i="19" s="1"/>
  <c r="Q299" i="19"/>
  <c r="H300" i="19"/>
  <c r="I300" i="19"/>
  <c r="J300" i="19"/>
  <c r="K300" i="19"/>
  <c r="L300" i="19"/>
  <c r="M300" i="19"/>
  <c r="N300" i="19"/>
  <c r="P300" i="19"/>
  <c r="O300" i="19" s="1"/>
  <c r="Q300" i="19"/>
  <c r="H301" i="19"/>
  <c r="I301" i="19"/>
  <c r="J301" i="19"/>
  <c r="K301" i="19"/>
  <c r="L301" i="19"/>
  <c r="M301" i="19"/>
  <c r="N301" i="19"/>
  <c r="P301" i="19"/>
  <c r="O301" i="19" s="1"/>
  <c r="Q301" i="19"/>
  <c r="H302" i="19"/>
  <c r="I302" i="19"/>
  <c r="J302" i="19"/>
  <c r="K302" i="19"/>
  <c r="L302" i="19"/>
  <c r="M302" i="19"/>
  <c r="N302" i="19"/>
  <c r="P302" i="19"/>
  <c r="O302" i="19" s="1"/>
  <c r="Q302" i="19"/>
  <c r="H303" i="19"/>
  <c r="I303" i="19"/>
  <c r="J303" i="19"/>
  <c r="K303" i="19"/>
  <c r="L303" i="19"/>
  <c r="M303" i="19"/>
  <c r="N303" i="19"/>
  <c r="P303" i="19"/>
  <c r="O303" i="19" s="1"/>
  <c r="Q303" i="19"/>
  <c r="H304" i="19"/>
  <c r="I304" i="19"/>
  <c r="J304" i="19"/>
  <c r="K304" i="19"/>
  <c r="L304" i="19"/>
  <c r="M304" i="19"/>
  <c r="N304" i="19"/>
  <c r="P304" i="19"/>
  <c r="O304" i="19" s="1"/>
  <c r="Q304" i="19"/>
  <c r="H305" i="19"/>
  <c r="I305" i="19"/>
  <c r="J305" i="19"/>
  <c r="K305" i="19"/>
  <c r="L305" i="19"/>
  <c r="M305" i="19"/>
  <c r="N305" i="19"/>
  <c r="P305" i="19"/>
  <c r="O305" i="19" s="1"/>
  <c r="Q305" i="19"/>
  <c r="H306" i="19"/>
  <c r="I306" i="19"/>
  <c r="J306" i="19"/>
  <c r="K306" i="19"/>
  <c r="L306" i="19"/>
  <c r="M306" i="19"/>
  <c r="N306" i="19"/>
  <c r="P306" i="19"/>
  <c r="O306" i="19" s="1"/>
  <c r="Q306" i="19"/>
  <c r="H307" i="19"/>
  <c r="I307" i="19"/>
  <c r="J307" i="19"/>
  <c r="K307" i="19"/>
  <c r="L307" i="19"/>
  <c r="M307" i="19"/>
  <c r="N307" i="19"/>
  <c r="P307" i="19"/>
  <c r="O307" i="19" s="1"/>
  <c r="Q307" i="19"/>
  <c r="H308" i="19"/>
  <c r="I308" i="19"/>
  <c r="J308" i="19"/>
  <c r="K308" i="19"/>
  <c r="L308" i="19"/>
  <c r="M308" i="19"/>
  <c r="N308" i="19"/>
  <c r="P308" i="19"/>
  <c r="O308" i="19" s="1"/>
  <c r="Q308" i="19"/>
  <c r="H309" i="19"/>
  <c r="I309" i="19"/>
  <c r="J309" i="19"/>
  <c r="K309" i="19"/>
  <c r="L309" i="19"/>
  <c r="M309" i="19"/>
  <c r="N309" i="19"/>
  <c r="P309" i="19"/>
  <c r="O309" i="19" s="1"/>
  <c r="Q309" i="19"/>
  <c r="H310" i="19"/>
  <c r="I310" i="19"/>
  <c r="J310" i="19"/>
  <c r="K310" i="19"/>
  <c r="L310" i="19"/>
  <c r="M310" i="19"/>
  <c r="N310" i="19"/>
  <c r="P310" i="19"/>
  <c r="O310" i="19" s="1"/>
  <c r="Q310" i="19"/>
  <c r="H311" i="19"/>
  <c r="I311" i="19"/>
  <c r="J311" i="19"/>
  <c r="K311" i="19"/>
  <c r="L311" i="19"/>
  <c r="M311" i="19"/>
  <c r="N311" i="19"/>
  <c r="P311" i="19"/>
  <c r="O311" i="19" s="1"/>
  <c r="Q311" i="19"/>
  <c r="H312" i="19"/>
  <c r="I312" i="19"/>
  <c r="J312" i="19"/>
  <c r="K312" i="19"/>
  <c r="L312" i="19"/>
  <c r="M312" i="19"/>
  <c r="N312" i="19"/>
  <c r="P312" i="19"/>
  <c r="O312" i="19" s="1"/>
  <c r="Q312" i="19"/>
  <c r="H313" i="19"/>
  <c r="I313" i="19"/>
  <c r="J313" i="19"/>
  <c r="K313" i="19"/>
  <c r="L313" i="19"/>
  <c r="M313" i="19"/>
  <c r="N313" i="19"/>
  <c r="P313" i="19"/>
  <c r="O313" i="19" s="1"/>
  <c r="Q313" i="19"/>
  <c r="H314" i="19"/>
  <c r="I314" i="19"/>
  <c r="J314" i="19"/>
  <c r="K314" i="19"/>
  <c r="L314" i="19"/>
  <c r="M314" i="19"/>
  <c r="N314" i="19"/>
  <c r="P314" i="19"/>
  <c r="O314" i="19" s="1"/>
  <c r="Q314" i="19"/>
  <c r="H315" i="19"/>
  <c r="I315" i="19"/>
  <c r="J315" i="19"/>
  <c r="K315" i="19"/>
  <c r="L315" i="19"/>
  <c r="M315" i="19"/>
  <c r="N315" i="19"/>
  <c r="P315" i="19"/>
  <c r="O315" i="19" s="1"/>
  <c r="Q315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2" i="19"/>
  <c r="G173" i="19"/>
  <c r="G174" i="19"/>
  <c r="G175" i="19"/>
  <c r="G176" i="19"/>
  <c r="G178" i="19"/>
  <c r="G179" i="19"/>
  <c r="G180" i="19"/>
  <c r="G181" i="19"/>
  <c r="G182" i="19"/>
  <c r="G183" i="19"/>
  <c r="G184" i="19"/>
  <c r="G185" i="19"/>
  <c r="G186" i="19"/>
  <c r="G187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1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3" i="19"/>
  <c r="G314" i="19"/>
  <c r="G315" i="19"/>
  <c r="C8" i="19"/>
  <c r="D8" i="19"/>
  <c r="E8" i="19"/>
  <c r="F8" i="19"/>
  <c r="C9" i="19"/>
  <c r="D9" i="19"/>
  <c r="E9" i="19"/>
  <c r="F9" i="19"/>
  <c r="C10" i="19"/>
  <c r="D10" i="19"/>
  <c r="E10" i="19"/>
  <c r="F10" i="19"/>
  <c r="C11" i="19"/>
  <c r="D11" i="19"/>
  <c r="E11" i="19"/>
  <c r="F11" i="19"/>
  <c r="C12" i="19"/>
  <c r="D12" i="19"/>
  <c r="E12" i="19"/>
  <c r="F12" i="19"/>
  <c r="C13" i="19"/>
  <c r="D13" i="19"/>
  <c r="E13" i="19"/>
  <c r="F13" i="19"/>
  <c r="C14" i="19"/>
  <c r="D14" i="19"/>
  <c r="E14" i="19"/>
  <c r="F14" i="19"/>
  <c r="C15" i="19"/>
  <c r="D15" i="19"/>
  <c r="E15" i="19"/>
  <c r="F15" i="19"/>
  <c r="C16" i="19"/>
  <c r="D16" i="19"/>
  <c r="E16" i="19"/>
  <c r="F16" i="19"/>
  <c r="C17" i="19"/>
  <c r="D17" i="19"/>
  <c r="E17" i="19"/>
  <c r="F17" i="19"/>
  <c r="C18" i="19"/>
  <c r="D18" i="19"/>
  <c r="E18" i="19"/>
  <c r="F18" i="19"/>
  <c r="C19" i="19"/>
  <c r="D19" i="19"/>
  <c r="E19" i="19"/>
  <c r="F19" i="19"/>
  <c r="C20" i="19"/>
  <c r="D20" i="19"/>
  <c r="E20" i="19"/>
  <c r="F20" i="19"/>
  <c r="C21" i="19"/>
  <c r="D21" i="19"/>
  <c r="E21" i="19"/>
  <c r="F21" i="19"/>
  <c r="C22" i="19"/>
  <c r="D22" i="19"/>
  <c r="E22" i="19"/>
  <c r="F22" i="19"/>
  <c r="C23" i="19"/>
  <c r="D23" i="19"/>
  <c r="E23" i="19"/>
  <c r="F23" i="19"/>
  <c r="C24" i="19"/>
  <c r="G24" i="19" s="1"/>
  <c r="D24" i="19"/>
  <c r="E24" i="19"/>
  <c r="F24" i="19"/>
  <c r="C25" i="19"/>
  <c r="D25" i="19"/>
  <c r="E25" i="19"/>
  <c r="F25" i="19"/>
  <c r="C26" i="19"/>
  <c r="D26" i="19"/>
  <c r="E26" i="19"/>
  <c r="F26" i="19"/>
  <c r="C27" i="19"/>
  <c r="D27" i="19"/>
  <c r="E27" i="19"/>
  <c r="F27" i="19"/>
  <c r="C28" i="19"/>
  <c r="D28" i="19"/>
  <c r="E28" i="19"/>
  <c r="F28" i="19"/>
  <c r="C29" i="19"/>
  <c r="D29" i="19"/>
  <c r="E29" i="19"/>
  <c r="F29" i="19"/>
  <c r="C30" i="19"/>
  <c r="D30" i="19"/>
  <c r="E30" i="19"/>
  <c r="F30" i="19"/>
  <c r="C31" i="19"/>
  <c r="D31" i="19"/>
  <c r="E31" i="19"/>
  <c r="F31" i="19"/>
  <c r="C32" i="19"/>
  <c r="D32" i="19"/>
  <c r="E32" i="19"/>
  <c r="F32" i="19"/>
  <c r="C33" i="19"/>
  <c r="D33" i="19"/>
  <c r="E33" i="19"/>
  <c r="F33" i="19"/>
  <c r="C34" i="19"/>
  <c r="D34" i="19"/>
  <c r="E34" i="19"/>
  <c r="F34" i="19"/>
  <c r="C35" i="19"/>
  <c r="D35" i="19"/>
  <c r="E35" i="19"/>
  <c r="F35" i="19"/>
  <c r="C36" i="19"/>
  <c r="D36" i="19"/>
  <c r="E36" i="19"/>
  <c r="F36" i="19"/>
  <c r="C37" i="19"/>
  <c r="D37" i="19"/>
  <c r="E37" i="19"/>
  <c r="F37" i="19"/>
  <c r="C38" i="19"/>
  <c r="D38" i="19"/>
  <c r="E38" i="19"/>
  <c r="F38" i="19"/>
  <c r="C39" i="19"/>
  <c r="D39" i="19"/>
  <c r="E39" i="19"/>
  <c r="F39" i="19"/>
  <c r="C40" i="19"/>
  <c r="D40" i="19"/>
  <c r="E40" i="19"/>
  <c r="F40" i="19"/>
  <c r="C41" i="19"/>
  <c r="D41" i="19"/>
  <c r="E41" i="19"/>
  <c r="F41" i="19"/>
  <c r="C42" i="19"/>
  <c r="D42" i="19"/>
  <c r="E42" i="19"/>
  <c r="F42" i="19"/>
  <c r="C43" i="19"/>
  <c r="D43" i="19"/>
  <c r="E43" i="19"/>
  <c r="F43" i="19"/>
  <c r="C44" i="19"/>
  <c r="D44" i="19"/>
  <c r="E44" i="19"/>
  <c r="F44" i="19"/>
  <c r="C45" i="19"/>
  <c r="D45" i="19"/>
  <c r="E45" i="19"/>
  <c r="F45" i="19"/>
  <c r="C46" i="19"/>
  <c r="D46" i="19"/>
  <c r="E46" i="19"/>
  <c r="F46" i="19"/>
  <c r="C47" i="19"/>
  <c r="D47" i="19"/>
  <c r="E47" i="19"/>
  <c r="F47" i="19"/>
  <c r="C48" i="19"/>
  <c r="D48" i="19"/>
  <c r="E48" i="19"/>
  <c r="F48" i="19"/>
  <c r="C49" i="19"/>
  <c r="D49" i="19"/>
  <c r="E49" i="19"/>
  <c r="F49" i="19"/>
  <c r="C50" i="19"/>
  <c r="D50" i="19"/>
  <c r="E50" i="19"/>
  <c r="F50" i="19"/>
  <c r="C51" i="19"/>
  <c r="D51" i="19"/>
  <c r="E51" i="19"/>
  <c r="F51" i="19"/>
  <c r="C52" i="19"/>
  <c r="D52" i="19"/>
  <c r="E52" i="19"/>
  <c r="F52" i="19"/>
  <c r="C53" i="19"/>
  <c r="D53" i="19"/>
  <c r="E53" i="19"/>
  <c r="F53" i="19"/>
  <c r="C54" i="19"/>
  <c r="D54" i="19"/>
  <c r="E54" i="19"/>
  <c r="F54" i="19"/>
  <c r="C55" i="19"/>
  <c r="D55" i="19"/>
  <c r="E55" i="19"/>
  <c r="F55" i="19"/>
  <c r="C56" i="19"/>
  <c r="D56" i="19"/>
  <c r="E56" i="19"/>
  <c r="F56" i="19"/>
  <c r="C57" i="19"/>
  <c r="D57" i="19"/>
  <c r="E57" i="19"/>
  <c r="F57" i="19"/>
  <c r="C58" i="19"/>
  <c r="D58" i="19"/>
  <c r="E58" i="19"/>
  <c r="F58" i="19"/>
  <c r="C59" i="19"/>
  <c r="D59" i="19"/>
  <c r="E59" i="19"/>
  <c r="F59" i="19"/>
  <c r="C60" i="19"/>
  <c r="D60" i="19"/>
  <c r="E60" i="19"/>
  <c r="F60" i="19"/>
  <c r="C61" i="19"/>
  <c r="D61" i="19"/>
  <c r="E61" i="19"/>
  <c r="F61" i="19"/>
  <c r="C62" i="19"/>
  <c r="D62" i="19"/>
  <c r="E62" i="19"/>
  <c r="F62" i="19"/>
  <c r="C63" i="19"/>
  <c r="D63" i="19"/>
  <c r="E63" i="19"/>
  <c r="F63" i="19"/>
  <c r="C64" i="19"/>
  <c r="D64" i="19"/>
  <c r="E64" i="19"/>
  <c r="F64" i="19"/>
  <c r="C65" i="19"/>
  <c r="D65" i="19"/>
  <c r="E65" i="19"/>
  <c r="F65" i="19"/>
  <c r="C66" i="19"/>
  <c r="D66" i="19"/>
  <c r="E66" i="19"/>
  <c r="F66" i="19"/>
  <c r="C67" i="19"/>
  <c r="D67" i="19"/>
  <c r="E67" i="19"/>
  <c r="F67" i="19"/>
  <c r="C68" i="19"/>
  <c r="D68" i="19"/>
  <c r="E68" i="19"/>
  <c r="F68" i="19"/>
  <c r="C69" i="19"/>
  <c r="D69" i="19"/>
  <c r="E69" i="19"/>
  <c r="F69" i="19"/>
  <c r="C70" i="19"/>
  <c r="D70" i="19"/>
  <c r="E70" i="19"/>
  <c r="F70" i="19"/>
  <c r="C71" i="19"/>
  <c r="D71" i="19"/>
  <c r="E71" i="19"/>
  <c r="F71" i="19"/>
  <c r="C72" i="19"/>
  <c r="D72" i="19"/>
  <c r="E72" i="19"/>
  <c r="F72" i="19"/>
  <c r="C73" i="19"/>
  <c r="D73" i="19"/>
  <c r="E73" i="19"/>
  <c r="F73" i="19"/>
  <c r="C74" i="19"/>
  <c r="D74" i="19"/>
  <c r="E74" i="19"/>
  <c r="F74" i="19"/>
  <c r="C75" i="19"/>
  <c r="D75" i="19"/>
  <c r="E75" i="19"/>
  <c r="F75" i="19"/>
  <c r="C76" i="19"/>
  <c r="D76" i="19"/>
  <c r="E76" i="19"/>
  <c r="F76" i="19"/>
  <c r="C77" i="19"/>
  <c r="D77" i="19"/>
  <c r="E77" i="19"/>
  <c r="F77" i="19"/>
  <c r="C78" i="19"/>
  <c r="D78" i="19"/>
  <c r="E78" i="19"/>
  <c r="F78" i="19"/>
  <c r="C79" i="19"/>
  <c r="D79" i="19"/>
  <c r="E79" i="19"/>
  <c r="F79" i="19"/>
  <c r="C80" i="19"/>
  <c r="D80" i="19"/>
  <c r="E80" i="19"/>
  <c r="F80" i="19"/>
  <c r="C81" i="19"/>
  <c r="D81" i="19"/>
  <c r="E81" i="19"/>
  <c r="F81" i="19"/>
  <c r="C82" i="19"/>
  <c r="D82" i="19"/>
  <c r="E82" i="19"/>
  <c r="F82" i="19"/>
  <c r="C83" i="19"/>
  <c r="D83" i="19"/>
  <c r="E83" i="19"/>
  <c r="F83" i="19"/>
  <c r="C84" i="19"/>
  <c r="D84" i="19"/>
  <c r="E84" i="19"/>
  <c r="F84" i="19"/>
  <c r="C85" i="19"/>
  <c r="D85" i="19"/>
  <c r="E85" i="19"/>
  <c r="F85" i="19"/>
  <c r="C86" i="19"/>
  <c r="D86" i="19"/>
  <c r="E86" i="19"/>
  <c r="F86" i="19"/>
  <c r="C87" i="19"/>
  <c r="D87" i="19"/>
  <c r="E87" i="19"/>
  <c r="F87" i="19"/>
  <c r="C88" i="19"/>
  <c r="D88" i="19"/>
  <c r="E88" i="19"/>
  <c r="F88" i="19"/>
  <c r="C89" i="19"/>
  <c r="D89" i="19"/>
  <c r="E89" i="19"/>
  <c r="F89" i="19"/>
  <c r="C90" i="19"/>
  <c r="D90" i="19"/>
  <c r="E90" i="19"/>
  <c r="F90" i="19"/>
  <c r="C91" i="19"/>
  <c r="D91" i="19"/>
  <c r="E91" i="19"/>
  <c r="F91" i="19"/>
  <c r="C92" i="19"/>
  <c r="D92" i="19"/>
  <c r="E92" i="19"/>
  <c r="F92" i="19"/>
  <c r="C93" i="19"/>
  <c r="D93" i="19"/>
  <c r="E93" i="19"/>
  <c r="F93" i="19"/>
  <c r="C94" i="19"/>
  <c r="D94" i="19"/>
  <c r="E94" i="19"/>
  <c r="F94" i="19"/>
  <c r="C95" i="19"/>
  <c r="D95" i="19"/>
  <c r="E95" i="19"/>
  <c r="F95" i="19"/>
  <c r="C96" i="19"/>
  <c r="D96" i="19"/>
  <c r="E96" i="19"/>
  <c r="F96" i="19"/>
  <c r="C97" i="19"/>
  <c r="D97" i="19"/>
  <c r="E97" i="19"/>
  <c r="F97" i="19"/>
  <c r="C98" i="19"/>
  <c r="G98" i="19" s="1"/>
  <c r="D98" i="19"/>
  <c r="E98" i="19"/>
  <c r="F98" i="19"/>
  <c r="C99" i="19"/>
  <c r="D99" i="19"/>
  <c r="E99" i="19"/>
  <c r="F99" i="19"/>
  <c r="C100" i="19"/>
  <c r="D100" i="19"/>
  <c r="E100" i="19"/>
  <c r="F100" i="19"/>
  <c r="C101" i="19"/>
  <c r="D101" i="19"/>
  <c r="E101" i="19"/>
  <c r="F101" i="19"/>
  <c r="C102" i="19"/>
  <c r="D102" i="19"/>
  <c r="E102" i="19"/>
  <c r="F102" i="19"/>
  <c r="C103" i="19"/>
  <c r="D103" i="19"/>
  <c r="E103" i="19"/>
  <c r="F103" i="19"/>
  <c r="C104" i="19"/>
  <c r="D104" i="19"/>
  <c r="E104" i="19"/>
  <c r="F104" i="19"/>
  <c r="C105" i="19"/>
  <c r="D105" i="19"/>
  <c r="E105" i="19"/>
  <c r="F105" i="19"/>
  <c r="C106" i="19"/>
  <c r="D106" i="19"/>
  <c r="E106" i="19"/>
  <c r="F106" i="19"/>
  <c r="C107" i="19"/>
  <c r="D107" i="19"/>
  <c r="E107" i="19"/>
  <c r="F107" i="19"/>
  <c r="C108" i="19"/>
  <c r="D108" i="19"/>
  <c r="E108" i="19"/>
  <c r="F108" i="19"/>
  <c r="C109" i="19"/>
  <c r="D109" i="19"/>
  <c r="E109" i="19"/>
  <c r="F109" i="19"/>
  <c r="C110" i="19"/>
  <c r="D110" i="19"/>
  <c r="E110" i="19"/>
  <c r="F110" i="19"/>
  <c r="C111" i="19"/>
  <c r="D111" i="19"/>
  <c r="E111" i="19"/>
  <c r="F111" i="19"/>
  <c r="C112" i="19"/>
  <c r="D112" i="19"/>
  <c r="E112" i="19"/>
  <c r="F112" i="19"/>
  <c r="C113" i="19"/>
  <c r="D113" i="19"/>
  <c r="E113" i="19"/>
  <c r="F113" i="19"/>
  <c r="C114" i="19"/>
  <c r="D114" i="19"/>
  <c r="E114" i="19"/>
  <c r="F114" i="19"/>
  <c r="C115" i="19"/>
  <c r="D115" i="19"/>
  <c r="E115" i="19"/>
  <c r="F115" i="19"/>
  <c r="C116" i="19"/>
  <c r="D116" i="19"/>
  <c r="E116" i="19"/>
  <c r="F116" i="19"/>
  <c r="C117" i="19"/>
  <c r="D117" i="19"/>
  <c r="E117" i="19"/>
  <c r="F117" i="19"/>
  <c r="C118" i="19"/>
  <c r="D118" i="19"/>
  <c r="E118" i="19"/>
  <c r="F118" i="19"/>
  <c r="C119" i="19"/>
  <c r="D119" i="19"/>
  <c r="E119" i="19"/>
  <c r="F119" i="19"/>
  <c r="C120" i="19"/>
  <c r="D120" i="19"/>
  <c r="E120" i="19"/>
  <c r="F120" i="19"/>
  <c r="C121" i="19"/>
  <c r="D121" i="19"/>
  <c r="E121" i="19"/>
  <c r="F121" i="19"/>
  <c r="C122" i="19"/>
  <c r="D122" i="19"/>
  <c r="E122" i="19"/>
  <c r="F122" i="19"/>
  <c r="C123" i="19"/>
  <c r="D123" i="19"/>
  <c r="E123" i="19"/>
  <c r="F123" i="19"/>
  <c r="C124" i="19"/>
  <c r="D124" i="19"/>
  <c r="E124" i="19"/>
  <c r="F124" i="19"/>
  <c r="C125" i="19"/>
  <c r="D125" i="19"/>
  <c r="E125" i="19"/>
  <c r="F125" i="19"/>
  <c r="C126" i="19"/>
  <c r="D126" i="19"/>
  <c r="E126" i="19"/>
  <c r="F126" i="19"/>
  <c r="C127" i="19"/>
  <c r="D127" i="19"/>
  <c r="E127" i="19"/>
  <c r="F127" i="19"/>
  <c r="C128" i="19"/>
  <c r="D128" i="19"/>
  <c r="E128" i="19"/>
  <c r="F128" i="19"/>
  <c r="C129" i="19"/>
  <c r="D129" i="19"/>
  <c r="E129" i="19"/>
  <c r="F129" i="19"/>
  <c r="C130" i="19"/>
  <c r="D130" i="19"/>
  <c r="E130" i="19"/>
  <c r="F130" i="19"/>
  <c r="C131" i="19"/>
  <c r="D131" i="19"/>
  <c r="E131" i="19"/>
  <c r="F131" i="19"/>
  <c r="C132" i="19"/>
  <c r="D132" i="19"/>
  <c r="E132" i="19"/>
  <c r="F132" i="19"/>
  <c r="C133" i="19"/>
  <c r="D133" i="19"/>
  <c r="E133" i="19"/>
  <c r="F133" i="19"/>
  <c r="C134" i="19"/>
  <c r="D134" i="19"/>
  <c r="E134" i="19"/>
  <c r="F134" i="19"/>
  <c r="C135" i="19"/>
  <c r="D135" i="19"/>
  <c r="E135" i="19"/>
  <c r="F135" i="19"/>
  <c r="C136" i="19"/>
  <c r="D136" i="19"/>
  <c r="E136" i="19"/>
  <c r="F136" i="19"/>
  <c r="C137" i="19"/>
  <c r="D137" i="19"/>
  <c r="E137" i="19"/>
  <c r="F137" i="19"/>
  <c r="C138" i="19"/>
  <c r="D138" i="19"/>
  <c r="E138" i="19"/>
  <c r="F138" i="19"/>
  <c r="C139" i="19"/>
  <c r="D139" i="19"/>
  <c r="E139" i="19"/>
  <c r="F139" i="19"/>
  <c r="C140" i="19"/>
  <c r="D140" i="19"/>
  <c r="E140" i="19"/>
  <c r="F140" i="19"/>
  <c r="C141" i="19"/>
  <c r="D141" i="19"/>
  <c r="E141" i="19"/>
  <c r="F141" i="19"/>
  <c r="C142" i="19"/>
  <c r="D142" i="19"/>
  <c r="E142" i="19"/>
  <c r="F142" i="19"/>
  <c r="C143" i="19"/>
  <c r="D143" i="19"/>
  <c r="E143" i="19"/>
  <c r="F143" i="19"/>
  <c r="C144" i="19"/>
  <c r="D144" i="19"/>
  <c r="E144" i="19"/>
  <c r="F144" i="19"/>
  <c r="C145" i="19"/>
  <c r="D145" i="19"/>
  <c r="E145" i="19"/>
  <c r="F145" i="19"/>
  <c r="C146" i="19"/>
  <c r="D146" i="19"/>
  <c r="E146" i="19"/>
  <c r="F146" i="19"/>
  <c r="C147" i="19"/>
  <c r="D147" i="19"/>
  <c r="E147" i="19"/>
  <c r="F147" i="19"/>
  <c r="C148" i="19"/>
  <c r="D148" i="19"/>
  <c r="E148" i="19"/>
  <c r="F148" i="19"/>
  <c r="C149" i="19"/>
  <c r="D149" i="19"/>
  <c r="E149" i="19"/>
  <c r="F149" i="19"/>
  <c r="C150" i="19"/>
  <c r="D150" i="19"/>
  <c r="E150" i="19"/>
  <c r="F150" i="19"/>
  <c r="C151" i="19"/>
  <c r="D151" i="19"/>
  <c r="E151" i="19"/>
  <c r="F151" i="19"/>
  <c r="C152" i="19"/>
  <c r="D152" i="19"/>
  <c r="E152" i="19"/>
  <c r="F152" i="19"/>
  <c r="C153" i="19"/>
  <c r="D153" i="19"/>
  <c r="E153" i="19"/>
  <c r="F153" i="19"/>
  <c r="C154" i="19"/>
  <c r="D154" i="19"/>
  <c r="E154" i="19"/>
  <c r="F154" i="19"/>
  <c r="C155" i="19"/>
  <c r="D155" i="19"/>
  <c r="E155" i="19"/>
  <c r="F155" i="19"/>
  <c r="C156" i="19"/>
  <c r="D156" i="19"/>
  <c r="E156" i="19"/>
  <c r="F156" i="19"/>
  <c r="C157" i="19"/>
  <c r="D157" i="19"/>
  <c r="E157" i="19"/>
  <c r="F157" i="19"/>
  <c r="C158" i="19"/>
  <c r="D158" i="19"/>
  <c r="E158" i="19"/>
  <c r="F158" i="19"/>
  <c r="C159" i="19"/>
  <c r="D159" i="19"/>
  <c r="E159" i="19"/>
  <c r="F159" i="19"/>
  <c r="C160" i="19"/>
  <c r="D160" i="19"/>
  <c r="E160" i="19"/>
  <c r="F160" i="19"/>
  <c r="C161" i="19"/>
  <c r="D161" i="19"/>
  <c r="E161" i="19"/>
  <c r="F161" i="19"/>
  <c r="C162" i="19"/>
  <c r="D162" i="19"/>
  <c r="E162" i="19"/>
  <c r="F162" i="19"/>
  <c r="C163" i="19"/>
  <c r="D163" i="19"/>
  <c r="E163" i="19"/>
  <c r="F163" i="19"/>
  <c r="C164" i="19"/>
  <c r="D164" i="19"/>
  <c r="E164" i="19"/>
  <c r="F164" i="19"/>
  <c r="C165" i="19"/>
  <c r="D165" i="19"/>
  <c r="E165" i="19"/>
  <c r="F165" i="19"/>
  <c r="C166" i="19"/>
  <c r="D166" i="19"/>
  <c r="E166" i="19"/>
  <c r="F166" i="19"/>
  <c r="C167" i="19"/>
  <c r="D167" i="19"/>
  <c r="E167" i="19"/>
  <c r="F167" i="19"/>
  <c r="C168" i="19"/>
  <c r="D168" i="19"/>
  <c r="E168" i="19"/>
  <c r="F168" i="19"/>
  <c r="C169" i="19"/>
  <c r="D169" i="19"/>
  <c r="E169" i="19"/>
  <c r="F169" i="19"/>
  <c r="C170" i="19"/>
  <c r="D170" i="19"/>
  <c r="E170" i="19"/>
  <c r="F170" i="19"/>
  <c r="C171" i="19"/>
  <c r="D171" i="19"/>
  <c r="E171" i="19"/>
  <c r="F171" i="19"/>
  <c r="C172" i="19"/>
  <c r="D172" i="19"/>
  <c r="E172" i="19"/>
  <c r="F172" i="19"/>
  <c r="C173" i="19"/>
  <c r="D173" i="19"/>
  <c r="E173" i="19"/>
  <c r="F173" i="19"/>
  <c r="C174" i="19"/>
  <c r="D174" i="19"/>
  <c r="E174" i="19"/>
  <c r="F174" i="19"/>
  <c r="C175" i="19"/>
  <c r="D175" i="19"/>
  <c r="E175" i="19"/>
  <c r="F175" i="19"/>
  <c r="C176" i="19"/>
  <c r="D176" i="19"/>
  <c r="E176" i="19"/>
  <c r="F176" i="19"/>
  <c r="C177" i="19"/>
  <c r="G177" i="19" s="1"/>
  <c r="D177" i="19"/>
  <c r="E177" i="19"/>
  <c r="F177" i="19"/>
  <c r="C178" i="19"/>
  <c r="D178" i="19"/>
  <c r="E178" i="19"/>
  <c r="F178" i="19"/>
  <c r="C179" i="19"/>
  <c r="D179" i="19"/>
  <c r="E179" i="19"/>
  <c r="F179" i="19"/>
  <c r="C180" i="19"/>
  <c r="D180" i="19"/>
  <c r="E180" i="19"/>
  <c r="F180" i="19"/>
  <c r="C181" i="19"/>
  <c r="D181" i="19"/>
  <c r="E181" i="19"/>
  <c r="F181" i="19"/>
  <c r="C182" i="19"/>
  <c r="D182" i="19"/>
  <c r="E182" i="19"/>
  <c r="F182" i="19"/>
  <c r="C183" i="19"/>
  <c r="D183" i="19"/>
  <c r="E183" i="19"/>
  <c r="F183" i="19"/>
  <c r="C184" i="19"/>
  <c r="D184" i="19"/>
  <c r="E184" i="19"/>
  <c r="F184" i="19"/>
  <c r="C185" i="19"/>
  <c r="D185" i="19"/>
  <c r="E185" i="19"/>
  <c r="F185" i="19"/>
  <c r="C186" i="19"/>
  <c r="D186" i="19"/>
  <c r="E186" i="19"/>
  <c r="F186" i="19"/>
  <c r="C187" i="19"/>
  <c r="D187" i="19"/>
  <c r="E187" i="19"/>
  <c r="F187" i="19"/>
  <c r="C188" i="19"/>
  <c r="G188" i="19" s="1"/>
  <c r="D188" i="19"/>
  <c r="E188" i="19"/>
  <c r="F188" i="19"/>
  <c r="C189" i="19"/>
  <c r="D189" i="19"/>
  <c r="E189" i="19"/>
  <c r="F189" i="19"/>
  <c r="C190" i="19"/>
  <c r="D190" i="19"/>
  <c r="E190" i="19"/>
  <c r="F190" i="19"/>
  <c r="C191" i="19"/>
  <c r="D191" i="19"/>
  <c r="E191" i="19"/>
  <c r="F191" i="19"/>
  <c r="C192" i="19"/>
  <c r="D192" i="19"/>
  <c r="E192" i="19"/>
  <c r="F192" i="19"/>
  <c r="C193" i="19"/>
  <c r="D193" i="19"/>
  <c r="E193" i="19"/>
  <c r="F193" i="19"/>
  <c r="C194" i="19"/>
  <c r="D194" i="19"/>
  <c r="E194" i="19"/>
  <c r="F194" i="19"/>
  <c r="C195" i="19"/>
  <c r="D195" i="19"/>
  <c r="E195" i="19"/>
  <c r="F195" i="19"/>
  <c r="C196" i="19"/>
  <c r="D196" i="19"/>
  <c r="E196" i="19"/>
  <c r="F196" i="19"/>
  <c r="C197" i="19"/>
  <c r="D197" i="19"/>
  <c r="E197" i="19"/>
  <c r="F197" i="19"/>
  <c r="C198" i="19"/>
  <c r="D198" i="19"/>
  <c r="E198" i="19"/>
  <c r="F198" i="19"/>
  <c r="C199" i="19"/>
  <c r="D199" i="19"/>
  <c r="E199" i="19"/>
  <c r="F199" i="19"/>
  <c r="C200" i="19"/>
  <c r="D200" i="19"/>
  <c r="E200" i="19"/>
  <c r="F200" i="19"/>
  <c r="C201" i="19"/>
  <c r="D201" i="19"/>
  <c r="E201" i="19"/>
  <c r="F201" i="19"/>
  <c r="C202" i="19"/>
  <c r="D202" i="19"/>
  <c r="E202" i="19"/>
  <c r="F202" i="19"/>
  <c r="C203" i="19"/>
  <c r="D203" i="19"/>
  <c r="E203" i="19"/>
  <c r="F203" i="19"/>
  <c r="C204" i="19"/>
  <c r="D204" i="19"/>
  <c r="E204" i="19"/>
  <c r="F204" i="19"/>
  <c r="C205" i="19"/>
  <c r="D205" i="19"/>
  <c r="E205" i="19"/>
  <c r="F205" i="19"/>
  <c r="C206" i="19"/>
  <c r="D206" i="19"/>
  <c r="E206" i="19"/>
  <c r="F206" i="19"/>
  <c r="C207" i="19"/>
  <c r="G207" i="19" s="1"/>
  <c r="D207" i="19"/>
  <c r="E207" i="19"/>
  <c r="F207" i="19"/>
  <c r="C208" i="19"/>
  <c r="D208" i="19"/>
  <c r="E208" i="19"/>
  <c r="F208" i="19"/>
  <c r="C209" i="19"/>
  <c r="D209" i="19"/>
  <c r="E209" i="19"/>
  <c r="F209" i="19"/>
  <c r="C210" i="19"/>
  <c r="D210" i="19"/>
  <c r="E210" i="19"/>
  <c r="F210" i="19"/>
  <c r="C211" i="19"/>
  <c r="D211" i="19"/>
  <c r="E211" i="19"/>
  <c r="F211" i="19"/>
  <c r="C212" i="19"/>
  <c r="D212" i="19"/>
  <c r="E212" i="19"/>
  <c r="F212" i="19"/>
  <c r="C213" i="19"/>
  <c r="D213" i="19"/>
  <c r="E213" i="19"/>
  <c r="F213" i="19"/>
  <c r="C214" i="19"/>
  <c r="D214" i="19"/>
  <c r="E214" i="19"/>
  <c r="F214" i="19"/>
  <c r="C215" i="19"/>
  <c r="D215" i="19"/>
  <c r="E215" i="19"/>
  <c r="F215" i="19"/>
  <c r="C216" i="19"/>
  <c r="D216" i="19"/>
  <c r="E216" i="19"/>
  <c r="F216" i="19"/>
  <c r="C217" i="19"/>
  <c r="D217" i="19"/>
  <c r="E217" i="19"/>
  <c r="F217" i="19"/>
  <c r="C218" i="19"/>
  <c r="D218" i="19"/>
  <c r="E218" i="19"/>
  <c r="F218" i="19"/>
  <c r="C219" i="19"/>
  <c r="D219" i="19"/>
  <c r="E219" i="19"/>
  <c r="F219" i="19"/>
  <c r="C220" i="19"/>
  <c r="D220" i="19"/>
  <c r="E220" i="19"/>
  <c r="F220" i="19"/>
  <c r="C221" i="19"/>
  <c r="D221" i="19"/>
  <c r="E221" i="19"/>
  <c r="F221" i="19"/>
  <c r="C222" i="19"/>
  <c r="G222" i="19" s="1"/>
  <c r="D222" i="19"/>
  <c r="E222" i="19"/>
  <c r="F222" i="19"/>
  <c r="C223" i="19"/>
  <c r="D223" i="19"/>
  <c r="E223" i="19"/>
  <c r="F223" i="19"/>
  <c r="C224" i="19"/>
  <c r="D224" i="19"/>
  <c r="E224" i="19"/>
  <c r="F224" i="19"/>
  <c r="C225" i="19"/>
  <c r="D225" i="19"/>
  <c r="E225" i="19"/>
  <c r="F225" i="19"/>
  <c r="C226" i="19"/>
  <c r="D226" i="19"/>
  <c r="E226" i="19"/>
  <c r="F226" i="19"/>
  <c r="C227" i="19"/>
  <c r="D227" i="19"/>
  <c r="E227" i="19"/>
  <c r="F227" i="19"/>
  <c r="C228" i="19"/>
  <c r="D228" i="19"/>
  <c r="E228" i="19"/>
  <c r="F228" i="19"/>
  <c r="C229" i="19"/>
  <c r="D229" i="19"/>
  <c r="E229" i="19"/>
  <c r="F229" i="19"/>
  <c r="C230" i="19"/>
  <c r="D230" i="19"/>
  <c r="E230" i="19"/>
  <c r="F230" i="19"/>
  <c r="C231" i="19"/>
  <c r="D231" i="19"/>
  <c r="E231" i="19"/>
  <c r="F231" i="19"/>
  <c r="C232" i="19"/>
  <c r="D232" i="19"/>
  <c r="E232" i="19"/>
  <c r="F232" i="19"/>
  <c r="C233" i="19"/>
  <c r="D233" i="19"/>
  <c r="E233" i="19"/>
  <c r="F233" i="19"/>
  <c r="C234" i="19"/>
  <c r="D234" i="19"/>
  <c r="E234" i="19"/>
  <c r="F234" i="19"/>
  <c r="C235" i="19"/>
  <c r="D235" i="19"/>
  <c r="E235" i="19"/>
  <c r="F235" i="19"/>
  <c r="C236" i="19"/>
  <c r="D236" i="19"/>
  <c r="E236" i="19"/>
  <c r="F236" i="19"/>
  <c r="C237" i="19"/>
  <c r="D237" i="19"/>
  <c r="E237" i="19"/>
  <c r="F237" i="19"/>
  <c r="C238" i="19"/>
  <c r="D238" i="19"/>
  <c r="E238" i="19"/>
  <c r="F238" i="19"/>
  <c r="C239" i="19"/>
  <c r="D239" i="19"/>
  <c r="E239" i="19"/>
  <c r="F239" i="19"/>
  <c r="C240" i="19"/>
  <c r="D240" i="19"/>
  <c r="E240" i="19"/>
  <c r="F240" i="19"/>
  <c r="C241" i="19"/>
  <c r="D241" i="19"/>
  <c r="E241" i="19"/>
  <c r="F241" i="19"/>
  <c r="C242" i="19"/>
  <c r="D242" i="19"/>
  <c r="E242" i="19"/>
  <c r="F242" i="19"/>
  <c r="C243" i="19"/>
  <c r="D243" i="19"/>
  <c r="E243" i="19"/>
  <c r="F243" i="19"/>
  <c r="C244" i="19"/>
  <c r="D244" i="19"/>
  <c r="E244" i="19"/>
  <c r="F244" i="19"/>
  <c r="C245" i="19"/>
  <c r="D245" i="19"/>
  <c r="E245" i="19"/>
  <c r="F245" i="19"/>
  <c r="C246" i="19"/>
  <c r="D246" i="19"/>
  <c r="E246" i="19"/>
  <c r="F246" i="19"/>
  <c r="C247" i="19"/>
  <c r="D247" i="19"/>
  <c r="E247" i="19"/>
  <c r="F247" i="19"/>
  <c r="C248" i="19"/>
  <c r="D248" i="19"/>
  <c r="E248" i="19"/>
  <c r="F248" i="19"/>
  <c r="C249" i="19"/>
  <c r="D249" i="19"/>
  <c r="E249" i="19"/>
  <c r="F249" i="19"/>
  <c r="C250" i="19"/>
  <c r="D250" i="19"/>
  <c r="E250" i="19"/>
  <c r="F250" i="19"/>
  <c r="C251" i="19"/>
  <c r="D251" i="19"/>
  <c r="E251" i="19"/>
  <c r="F251" i="19"/>
  <c r="C252" i="19"/>
  <c r="D252" i="19"/>
  <c r="E252" i="19"/>
  <c r="F252" i="19"/>
  <c r="C253" i="19"/>
  <c r="D253" i="19"/>
  <c r="E253" i="19"/>
  <c r="F253" i="19"/>
  <c r="C254" i="19"/>
  <c r="D254" i="19"/>
  <c r="E254" i="19"/>
  <c r="F254" i="19"/>
  <c r="C255" i="19"/>
  <c r="D255" i="19"/>
  <c r="E255" i="19"/>
  <c r="F255" i="19"/>
  <c r="C256" i="19"/>
  <c r="D256" i="19"/>
  <c r="E256" i="19"/>
  <c r="F256" i="19"/>
  <c r="C257" i="19"/>
  <c r="D257" i="19"/>
  <c r="E257" i="19"/>
  <c r="F257" i="19"/>
  <c r="C258" i="19"/>
  <c r="D258" i="19"/>
  <c r="E258" i="19"/>
  <c r="F258" i="19"/>
  <c r="C259" i="19"/>
  <c r="D259" i="19"/>
  <c r="E259" i="19"/>
  <c r="F259" i="19"/>
  <c r="C260" i="19"/>
  <c r="D260" i="19"/>
  <c r="E260" i="19"/>
  <c r="F260" i="19"/>
  <c r="C261" i="19"/>
  <c r="D261" i="19"/>
  <c r="E261" i="19"/>
  <c r="F261" i="19"/>
  <c r="C262" i="19"/>
  <c r="D262" i="19"/>
  <c r="E262" i="19"/>
  <c r="F262" i="19"/>
  <c r="C263" i="19"/>
  <c r="D263" i="19"/>
  <c r="E263" i="19"/>
  <c r="F263" i="19"/>
  <c r="C264" i="19"/>
  <c r="D264" i="19"/>
  <c r="E264" i="19"/>
  <c r="F264" i="19"/>
  <c r="C265" i="19"/>
  <c r="D265" i="19"/>
  <c r="E265" i="19"/>
  <c r="F265" i="19"/>
  <c r="C266" i="19"/>
  <c r="D266" i="19"/>
  <c r="E266" i="19"/>
  <c r="F266" i="19"/>
  <c r="C267" i="19"/>
  <c r="D267" i="19"/>
  <c r="E267" i="19"/>
  <c r="F267" i="19"/>
  <c r="C268" i="19"/>
  <c r="D268" i="19"/>
  <c r="E268" i="19"/>
  <c r="F268" i="19"/>
  <c r="C269" i="19"/>
  <c r="D269" i="19"/>
  <c r="E269" i="19"/>
  <c r="F269" i="19"/>
  <c r="C270" i="19"/>
  <c r="D270" i="19"/>
  <c r="E270" i="19"/>
  <c r="F270" i="19"/>
  <c r="C271" i="19"/>
  <c r="D271" i="19"/>
  <c r="E271" i="19"/>
  <c r="F271" i="19"/>
  <c r="C272" i="19"/>
  <c r="D272" i="19"/>
  <c r="E272" i="19"/>
  <c r="F272" i="19"/>
  <c r="C273" i="19"/>
  <c r="D273" i="19"/>
  <c r="E273" i="19"/>
  <c r="F273" i="19"/>
  <c r="C274" i="19"/>
  <c r="D274" i="19"/>
  <c r="E274" i="19"/>
  <c r="F274" i="19"/>
  <c r="C275" i="19"/>
  <c r="D275" i="19"/>
  <c r="E275" i="19"/>
  <c r="F275" i="19"/>
  <c r="C276" i="19"/>
  <c r="D276" i="19"/>
  <c r="E276" i="19"/>
  <c r="F276" i="19"/>
  <c r="C277" i="19"/>
  <c r="D277" i="19"/>
  <c r="E277" i="19"/>
  <c r="F277" i="19"/>
  <c r="C278" i="19"/>
  <c r="D278" i="19"/>
  <c r="E278" i="19"/>
  <c r="F278" i="19"/>
  <c r="C279" i="19"/>
  <c r="D279" i="19"/>
  <c r="E279" i="19"/>
  <c r="F279" i="19"/>
  <c r="C280" i="19"/>
  <c r="G280" i="19" s="1"/>
  <c r="D280" i="19"/>
  <c r="E280" i="19"/>
  <c r="F280" i="19"/>
  <c r="C281" i="19"/>
  <c r="D281" i="19"/>
  <c r="E281" i="19"/>
  <c r="F281" i="19"/>
  <c r="C282" i="19"/>
  <c r="D282" i="19"/>
  <c r="E282" i="19"/>
  <c r="F282" i="19"/>
  <c r="C283" i="19"/>
  <c r="D283" i="19"/>
  <c r="E283" i="19"/>
  <c r="F283" i="19"/>
  <c r="C284" i="19"/>
  <c r="D284" i="19"/>
  <c r="E284" i="19"/>
  <c r="F284" i="19"/>
  <c r="C285" i="19"/>
  <c r="D285" i="19"/>
  <c r="E285" i="19"/>
  <c r="F285" i="19"/>
  <c r="C286" i="19"/>
  <c r="D286" i="19"/>
  <c r="E286" i="19"/>
  <c r="F286" i="19"/>
  <c r="C287" i="19"/>
  <c r="D287" i="19"/>
  <c r="E287" i="19"/>
  <c r="F287" i="19"/>
  <c r="C288" i="19"/>
  <c r="D288" i="19"/>
  <c r="E288" i="19"/>
  <c r="F288" i="19"/>
  <c r="C289" i="19"/>
  <c r="D289" i="19"/>
  <c r="E289" i="19"/>
  <c r="F289" i="19"/>
  <c r="C290" i="19"/>
  <c r="D290" i="19"/>
  <c r="E290" i="19"/>
  <c r="F290" i="19"/>
  <c r="C291" i="19"/>
  <c r="D291" i="19"/>
  <c r="E291" i="19"/>
  <c r="F291" i="19"/>
  <c r="C292" i="19"/>
  <c r="D292" i="19"/>
  <c r="E292" i="19"/>
  <c r="F292" i="19"/>
  <c r="C293" i="19"/>
  <c r="D293" i="19"/>
  <c r="E293" i="19"/>
  <c r="F293" i="19"/>
  <c r="C294" i="19"/>
  <c r="D294" i="19"/>
  <c r="E294" i="19"/>
  <c r="F294" i="19"/>
  <c r="C295" i="19"/>
  <c r="D295" i="19"/>
  <c r="E295" i="19"/>
  <c r="F295" i="19"/>
  <c r="C296" i="19"/>
  <c r="D296" i="19"/>
  <c r="E296" i="19"/>
  <c r="F296" i="19"/>
  <c r="C297" i="19"/>
  <c r="D297" i="19"/>
  <c r="E297" i="19"/>
  <c r="F297" i="19"/>
  <c r="C298" i="19"/>
  <c r="D298" i="19"/>
  <c r="E298" i="19"/>
  <c r="F298" i="19"/>
  <c r="C299" i="19"/>
  <c r="D299" i="19"/>
  <c r="E299" i="19"/>
  <c r="F299" i="19"/>
  <c r="C300" i="19"/>
  <c r="D300" i="19"/>
  <c r="E300" i="19"/>
  <c r="F300" i="19"/>
  <c r="C301" i="19"/>
  <c r="D301" i="19"/>
  <c r="E301" i="19"/>
  <c r="F301" i="19"/>
  <c r="C302" i="19"/>
  <c r="D302" i="19"/>
  <c r="E302" i="19"/>
  <c r="F302" i="19"/>
  <c r="C303" i="19"/>
  <c r="D303" i="19"/>
  <c r="E303" i="19"/>
  <c r="F303" i="19"/>
  <c r="C304" i="19"/>
  <c r="D304" i="19"/>
  <c r="E304" i="19"/>
  <c r="F304" i="19"/>
  <c r="C305" i="19"/>
  <c r="D305" i="19"/>
  <c r="E305" i="19"/>
  <c r="F305" i="19"/>
  <c r="C306" i="19"/>
  <c r="D306" i="19"/>
  <c r="E306" i="19"/>
  <c r="F306" i="19"/>
  <c r="C307" i="19"/>
  <c r="D307" i="19"/>
  <c r="E307" i="19"/>
  <c r="F307" i="19"/>
  <c r="C308" i="19"/>
  <c r="D308" i="19"/>
  <c r="E308" i="19"/>
  <c r="F308" i="19"/>
  <c r="C309" i="19"/>
  <c r="D309" i="19"/>
  <c r="E309" i="19"/>
  <c r="F309" i="19"/>
  <c r="C310" i="19"/>
  <c r="D310" i="19"/>
  <c r="E310" i="19"/>
  <c r="F310" i="19"/>
  <c r="C311" i="19"/>
  <c r="D311" i="19"/>
  <c r="E311" i="19"/>
  <c r="F311" i="19"/>
  <c r="C312" i="19"/>
  <c r="G312" i="19" s="1"/>
  <c r="D312" i="19"/>
  <c r="E312" i="19"/>
  <c r="F312" i="19"/>
  <c r="C313" i="19"/>
  <c r="D313" i="19"/>
  <c r="E313" i="19"/>
  <c r="F313" i="19"/>
  <c r="C314" i="19"/>
  <c r="D314" i="19"/>
  <c r="E314" i="19"/>
  <c r="F314" i="19"/>
  <c r="C315" i="19"/>
  <c r="D315" i="19"/>
  <c r="E315" i="19"/>
  <c r="F315" i="19"/>
  <c r="AL245" i="42"/>
  <c r="M245" i="42"/>
  <c r="X245" i="42" s="1"/>
  <c r="AL220" i="42"/>
  <c r="M220" i="42"/>
  <c r="X220" i="42" s="1"/>
  <c r="AL171" i="42"/>
  <c r="M171" i="42"/>
  <c r="X171" i="42" s="1"/>
  <c r="C170" i="25" l="1"/>
  <c r="L170" i="13"/>
  <c r="M170" i="13" s="1"/>
  <c r="E170" i="49"/>
  <c r="C219" i="25"/>
  <c r="L219" i="13"/>
  <c r="M219" i="13" s="1"/>
  <c r="E219" i="49"/>
  <c r="C244" i="25"/>
  <c r="E244" i="49"/>
  <c r="L244" i="13"/>
  <c r="M244" i="13" s="1"/>
  <c r="Y171" i="19"/>
  <c r="C169" i="32" s="1"/>
  <c r="E169" i="32" s="1"/>
  <c r="G171" i="19"/>
  <c r="T171" i="19" s="1"/>
  <c r="H170" i="49" s="1"/>
  <c r="D170" i="49"/>
  <c r="D170" i="25"/>
  <c r="Y220" i="19"/>
  <c r="C218" i="32" s="1"/>
  <c r="E218" i="32" s="1"/>
  <c r="G220" i="19"/>
  <c r="T220" i="19" s="1"/>
  <c r="H219" i="49" s="1"/>
  <c r="D219" i="25"/>
  <c r="D219" i="49"/>
  <c r="D218" i="33"/>
  <c r="R220" i="19"/>
  <c r="U220" i="19" s="1"/>
  <c r="Y245" i="19"/>
  <c r="C243" i="32" s="1"/>
  <c r="E243" i="32" s="1"/>
  <c r="G245" i="19"/>
  <c r="T245" i="19" s="1"/>
  <c r="H244" i="49" s="1"/>
  <c r="D244" i="49"/>
  <c r="D244" i="25"/>
  <c r="O171" i="19"/>
  <c r="R171" i="19" s="1"/>
  <c r="F170" i="49" s="1"/>
  <c r="O245" i="19"/>
  <c r="T312" i="19"/>
  <c r="R312" i="19"/>
  <c r="U312" i="19" s="1"/>
  <c r="T188" i="19"/>
  <c r="R270" i="19"/>
  <c r="U270" i="19" s="1"/>
  <c r="R222" i="19"/>
  <c r="U222" i="19" s="1"/>
  <c r="T222" i="19"/>
  <c r="R82" i="19"/>
  <c r="U82" i="19" s="1"/>
  <c r="E13" i="32"/>
  <c r="C13" i="33"/>
  <c r="F13" i="32"/>
  <c r="T15" i="19"/>
  <c r="G13" i="32"/>
  <c r="E13" i="33"/>
  <c r="T177" i="19"/>
  <c r="R177" i="19"/>
  <c r="U177" i="19" s="1"/>
  <c r="C56" i="33"/>
  <c r="F56" i="32"/>
  <c r="T58" i="19"/>
  <c r="G56" i="32"/>
  <c r="E56" i="33"/>
  <c r="T98" i="19"/>
  <c r="R98" i="19"/>
  <c r="U98" i="19" s="1"/>
  <c r="Y61" i="19"/>
  <c r="C59" i="32" s="1"/>
  <c r="E59" i="32"/>
  <c r="G59" i="32" s="1"/>
  <c r="T207" i="19"/>
  <c r="R207" i="19"/>
  <c r="U207" i="19" s="1"/>
  <c r="R109" i="19"/>
  <c r="U109" i="19" s="1"/>
  <c r="T280" i="19"/>
  <c r="R280" i="19"/>
  <c r="U280" i="19" s="1"/>
  <c r="R188" i="19"/>
  <c r="U188" i="19" s="1"/>
  <c r="F186" i="32" s="1"/>
  <c r="G186" i="32" s="1"/>
  <c r="E149" i="32"/>
  <c r="G149" i="32" s="1"/>
  <c r="Y132" i="19"/>
  <c r="C130" i="32" s="1"/>
  <c r="E130" i="32"/>
  <c r="G130" i="32" s="1"/>
  <c r="R201" i="19"/>
  <c r="U201" i="19" s="1"/>
  <c r="T24" i="19"/>
  <c r="R24" i="19"/>
  <c r="U24" i="19" s="1"/>
  <c r="E22" i="32"/>
  <c r="R67" i="19"/>
  <c r="U67" i="19" s="1"/>
  <c r="U171" i="19" l="1"/>
  <c r="F219" i="49"/>
  <c r="R245" i="19"/>
  <c r="G219" i="49"/>
  <c r="J219" i="13"/>
  <c r="C218" i="39"/>
  <c r="C218" i="12"/>
  <c r="F218" i="32"/>
  <c r="G218" i="32" s="1"/>
  <c r="C218" i="33"/>
  <c r="E218" i="33" s="1"/>
  <c r="G170" i="49"/>
  <c r="J170" i="13"/>
  <c r="C169" i="39"/>
  <c r="C169" i="12"/>
  <c r="C169" i="33"/>
  <c r="E169" i="33" s="1"/>
  <c r="F169" i="32"/>
  <c r="G169" i="32" s="1"/>
  <c r="F244" i="49"/>
  <c r="U245" i="19"/>
  <c r="C310" i="33"/>
  <c r="E310" i="33" s="1"/>
  <c r="F310" i="32"/>
  <c r="G310" i="32" s="1"/>
  <c r="C268" i="33"/>
  <c r="E268" i="33" s="1"/>
  <c r="F268" i="32"/>
  <c r="G268" i="32" s="1"/>
  <c r="C220" i="33"/>
  <c r="E220" i="33" s="1"/>
  <c r="F220" i="32"/>
  <c r="G220" i="32" s="1"/>
  <c r="C80" i="33"/>
  <c r="E80" i="33" s="1"/>
  <c r="F80" i="32"/>
  <c r="G80" i="32" s="1"/>
  <c r="C175" i="33"/>
  <c r="E175" i="33" s="1"/>
  <c r="F175" i="32"/>
  <c r="G175" i="32" s="1"/>
  <c r="C96" i="33"/>
  <c r="E96" i="33" s="1"/>
  <c r="F96" i="32"/>
  <c r="G96" i="32" s="1"/>
  <c r="C205" i="33"/>
  <c r="E205" i="33" s="1"/>
  <c r="F205" i="32"/>
  <c r="G205" i="32" s="1"/>
  <c r="C107" i="33"/>
  <c r="E107" i="33" s="1"/>
  <c r="F107" i="32"/>
  <c r="G107" i="32" s="1"/>
  <c r="C278" i="33"/>
  <c r="E278" i="33" s="1"/>
  <c r="F278" i="32"/>
  <c r="G278" i="32" s="1"/>
  <c r="C186" i="33"/>
  <c r="E186" i="33" s="1"/>
  <c r="C199" i="33"/>
  <c r="E199" i="33" s="1"/>
  <c r="F199" i="32"/>
  <c r="G199" i="32" s="1"/>
  <c r="C22" i="33"/>
  <c r="E22" i="33" s="1"/>
  <c r="F22" i="32"/>
  <c r="G22" i="32"/>
  <c r="C65" i="33"/>
  <c r="F65" i="32"/>
  <c r="G65" i="32" s="1"/>
  <c r="G244" i="49" l="1"/>
  <c r="J244" i="13"/>
  <c r="C243" i="39"/>
  <c r="C243" i="12"/>
  <c r="C243" i="33"/>
  <c r="E243" i="33" s="1"/>
  <c r="F243" i="32"/>
  <c r="G243" i="32" s="1"/>
  <c r="E65" i="33"/>
  <c r="A170" i="25"/>
  <c r="B170" i="25"/>
  <c r="A244" i="25"/>
  <c r="B244" i="25"/>
  <c r="A219" i="25"/>
  <c r="B219" i="25"/>
  <c r="A219" i="49"/>
  <c r="B219" i="49"/>
  <c r="A170" i="49"/>
  <c r="B170" i="49"/>
  <c r="A244" i="49"/>
  <c r="B244" i="49"/>
  <c r="A219" i="13"/>
  <c r="B219" i="13"/>
  <c r="A170" i="13"/>
  <c r="B170" i="13"/>
  <c r="A244" i="13"/>
  <c r="B244" i="13"/>
  <c r="A218" i="39"/>
  <c r="B218" i="39"/>
  <c r="A169" i="39"/>
  <c r="B169" i="39"/>
  <c r="A243" i="39"/>
  <c r="B243" i="39"/>
  <c r="A218" i="12"/>
  <c r="B218" i="12"/>
  <c r="A169" i="12"/>
  <c r="B169" i="12"/>
  <c r="A243" i="12"/>
  <c r="B243" i="12"/>
  <c r="A243" i="11"/>
  <c r="B243" i="11"/>
  <c r="A218" i="11"/>
  <c r="B218" i="11"/>
  <c r="A169" i="11"/>
  <c r="B169" i="11"/>
  <c r="A229" i="34"/>
  <c r="B229" i="34"/>
  <c r="A180" i="34"/>
  <c r="B180" i="34"/>
  <c r="A254" i="34"/>
  <c r="B254" i="34"/>
  <c r="A218" i="37"/>
  <c r="B218" i="37"/>
  <c r="A169" i="37"/>
  <c r="B169" i="37"/>
  <c r="A243" i="37"/>
  <c r="B243" i="37"/>
  <c r="A221" i="36"/>
  <c r="B221" i="36"/>
  <c r="A246" i="36"/>
  <c r="B246" i="36"/>
  <c r="A172" i="36"/>
  <c r="B172" i="36"/>
  <c r="A175" i="9"/>
  <c r="B175" i="9"/>
  <c r="A249" i="9"/>
  <c r="B249" i="9"/>
  <c r="A224" i="9"/>
  <c r="B224" i="9"/>
  <c r="A218" i="33"/>
  <c r="B218" i="33"/>
  <c r="A243" i="33"/>
  <c r="B243" i="33"/>
  <c r="A169" i="33"/>
  <c r="B169" i="33"/>
  <c r="A218" i="32"/>
  <c r="B218" i="32"/>
  <c r="A169" i="32"/>
  <c r="B169" i="32"/>
  <c r="A243" i="32"/>
  <c r="A171" i="19"/>
  <c r="A245" i="19"/>
  <c r="A220" i="19"/>
  <c r="B220" i="19"/>
  <c r="B171" i="19"/>
  <c r="B245" i="19"/>
  <c r="B243" i="32"/>
  <c r="M4" i="11" l="1"/>
  <c r="I4" i="11"/>
  <c r="C315" i="13" l="1"/>
  <c r="D315" i="13"/>
  <c r="E315" i="13"/>
  <c r="F315" i="13"/>
  <c r="G315" i="13"/>
  <c r="I315" i="13"/>
  <c r="M8" i="42" l="1"/>
  <c r="X8" i="42" s="1"/>
  <c r="M9" i="42"/>
  <c r="X9" i="42" s="1"/>
  <c r="M10" i="42"/>
  <c r="X10" i="42" s="1"/>
  <c r="M11" i="42"/>
  <c r="X11" i="42" s="1"/>
  <c r="M12" i="42"/>
  <c r="X12" i="42" s="1"/>
  <c r="M13" i="42"/>
  <c r="X13" i="42" s="1"/>
  <c r="M14" i="42"/>
  <c r="X14" i="42" s="1"/>
  <c r="M15" i="42"/>
  <c r="X15" i="42" s="1"/>
  <c r="M16" i="42"/>
  <c r="X16" i="42" s="1"/>
  <c r="M17" i="42"/>
  <c r="X17" i="42" s="1"/>
  <c r="M18" i="42"/>
  <c r="X18" i="42" s="1"/>
  <c r="M19" i="42"/>
  <c r="X19" i="42" s="1"/>
  <c r="M20" i="42"/>
  <c r="X20" i="42" s="1"/>
  <c r="M21" i="42"/>
  <c r="X21" i="42" s="1"/>
  <c r="M22" i="42"/>
  <c r="X22" i="42" s="1"/>
  <c r="M23" i="42"/>
  <c r="X23" i="42" s="1"/>
  <c r="M24" i="42"/>
  <c r="X24" i="42" s="1"/>
  <c r="M25" i="42"/>
  <c r="X25" i="42" s="1"/>
  <c r="M26" i="42"/>
  <c r="X26" i="42" s="1"/>
  <c r="M27" i="42"/>
  <c r="X27" i="42" s="1"/>
  <c r="M28" i="42"/>
  <c r="X28" i="42" s="1"/>
  <c r="M29" i="42"/>
  <c r="X29" i="42" s="1"/>
  <c r="M30" i="42"/>
  <c r="X30" i="42" s="1"/>
  <c r="M31" i="42"/>
  <c r="X31" i="42" s="1"/>
  <c r="M32" i="42"/>
  <c r="X32" i="42" s="1"/>
  <c r="M33" i="42"/>
  <c r="X33" i="42" s="1"/>
  <c r="M34" i="42"/>
  <c r="X34" i="42" s="1"/>
  <c r="M35" i="42"/>
  <c r="X35" i="42" s="1"/>
  <c r="M36" i="42"/>
  <c r="X36" i="42" s="1"/>
  <c r="M37" i="42"/>
  <c r="X37" i="42" s="1"/>
  <c r="M38" i="42"/>
  <c r="X38" i="42" s="1"/>
  <c r="M39" i="42"/>
  <c r="X39" i="42" s="1"/>
  <c r="M40" i="42"/>
  <c r="X40" i="42" s="1"/>
  <c r="M41" i="42"/>
  <c r="X41" i="42" s="1"/>
  <c r="M42" i="42"/>
  <c r="X42" i="42" s="1"/>
  <c r="M43" i="42"/>
  <c r="X43" i="42" s="1"/>
  <c r="M44" i="42"/>
  <c r="X44" i="42" s="1"/>
  <c r="M45" i="42"/>
  <c r="X45" i="42" s="1"/>
  <c r="M46" i="42"/>
  <c r="X46" i="42" s="1"/>
  <c r="M47" i="42"/>
  <c r="X47" i="42" s="1"/>
  <c r="M48" i="42"/>
  <c r="X48" i="42" s="1"/>
  <c r="M49" i="42"/>
  <c r="X49" i="42" s="1"/>
  <c r="M50" i="42"/>
  <c r="X50" i="42" s="1"/>
  <c r="M51" i="42"/>
  <c r="X51" i="42" s="1"/>
  <c r="M52" i="42"/>
  <c r="X52" i="42" s="1"/>
  <c r="M53" i="42"/>
  <c r="X53" i="42" s="1"/>
  <c r="M54" i="42"/>
  <c r="X54" i="42" s="1"/>
  <c r="M55" i="42"/>
  <c r="X55" i="42" s="1"/>
  <c r="M56" i="42"/>
  <c r="X56" i="42" s="1"/>
  <c r="M57" i="42"/>
  <c r="X57" i="42" s="1"/>
  <c r="M58" i="42"/>
  <c r="X58" i="42" s="1"/>
  <c r="M59" i="42"/>
  <c r="X59" i="42" s="1"/>
  <c r="M60" i="42"/>
  <c r="X60" i="42" s="1"/>
  <c r="M61" i="42"/>
  <c r="X61" i="42" s="1"/>
  <c r="M62" i="42"/>
  <c r="X62" i="42" s="1"/>
  <c r="M63" i="42"/>
  <c r="X63" i="42" s="1"/>
  <c r="M64" i="42"/>
  <c r="X64" i="42" s="1"/>
  <c r="M65" i="42"/>
  <c r="X65" i="42" s="1"/>
  <c r="M66" i="42"/>
  <c r="X66" i="42" s="1"/>
  <c r="M67" i="42"/>
  <c r="X67" i="42" s="1"/>
  <c r="M69" i="42"/>
  <c r="X69" i="42" s="1"/>
  <c r="M70" i="42"/>
  <c r="X70" i="42" s="1"/>
  <c r="M71" i="42"/>
  <c r="X71" i="42" s="1"/>
  <c r="M72" i="42"/>
  <c r="X72" i="42" s="1"/>
  <c r="M73" i="42"/>
  <c r="X73" i="42" s="1"/>
  <c r="M74" i="42"/>
  <c r="X74" i="42" s="1"/>
  <c r="M75" i="42"/>
  <c r="X75" i="42" s="1"/>
  <c r="M76" i="42"/>
  <c r="X76" i="42" s="1"/>
  <c r="M77" i="42"/>
  <c r="X77" i="42" s="1"/>
  <c r="M78" i="42"/>
  <c r="X78" i="42" s="1"/>
  <c r="M79" i="42"/>
  <c r="X79" i="42" s="1"/>
  <c r="M80" i="42"/>
  <c r="X80" i="42" s="1"/>
  <c r="M81" i="42"/>
  <c r="X81" i="42" s="1"/>
  <c r="M82" i="42"/>
  <c r="X82" i="42" s="1"/>
  <c r="M83" i="42"/>
  <c r="X83" i="42" s="1"/>
  <c r="M84" i="42"/>
  <c r="X84" i="42" s="1"/>
  <c r="M85" i="42"/>
  <c r="X85" i="42" s="1"/>
  <c r="M86" i="42"/>
  <c r="X86" i="42" s="1"/>
  <c r="M87" i="42"/>
  <c r="X87" i="42" s="1"/>
  <c r="M88" i="42"/>
  <c r="X88" i="42" s="1"/>
  <c r="M89" i="42"/>
  <c r="X89" i="42" s="1"/>
  <c r="M90" i="42"/>
  <c r="X90" i="42" s="1"/>
  <c r="M91" i="42"/>
  <c r="X91" i="42" s="1"/>
  <c r="M92" i="42"/>
  <c r="X92" i="42" s="1"/>
  <c r="M93" i="42"/>
  <c r="X93" i="42" s="1"/>
  <c r="M94" i="42"/>
  <c r="X94" i="42" s="1"/>
  <c r="M95" i="42"/>
  <c r="X95" i="42" s="1"/>
  <c r="M96" i="42"/>
  <c r="X96" i="42" s="1"/>
  <c r="M97" i="42"/>
  <c r="X97" i="42" s="1"/>
  <c r="M98" i="42"/>
  <c r="X98" i="42" s="1"/>
  <c r="M99" i="42"/>
  <c r="X99" i="42" s="1"/>
  <c r="M100" i="42"/>
  <c r="X100" i="42" s="1"/>
  <c r="M101" i="42"/>
  <c r="X101" i="42" s="1"/>
  <c r="M102" i="42"/>
  <c r="X102" i="42" s="1"/>
  <c r="M103" i="42"/>
  <c r="X103" i="42" s="1"/>
  <c r="M104" i="42"/>
  <c r="X104" i="42" s="1"/>
  <c r="M105" i="42"/>
  <c r="X105" i="42" s="1"/>
  <c r="M106" i="42"/>
  <c r="X106" i="42" s="1"/>
  <c r="M107" i="42"/>
  <c r="X107" i="42" s="1"/>
  <c r="M108" i="42"/>
  <c r="X108" i="42" s="1"/>
  <c r="M109" i="42"/>
  <c r="X109" i="42" s="1"/>
  <c r="M110" i="42"/>
  <c r="X110" i="42" s="1"/>
  <c r="M111" i="42"/>
  <c r="X111" i="42" s="1"/>
  <c r="M112" i="42"/>
  <c r="X112" i="42" s="1"/>
  <c r="M113" i="42"/>
  <c r="X113" i="42" s="1"/>
  <c r="M114" i="42"/>
  <c r="X114" i="42" s="1"/>
  <c r="M115" i="42"/>
  <c r="X115" i="42" s="1"/>
  <c r="M116" i="42"/>
  <c r="X116" i="42" s="1"/>
  <c r="M117" i="42"/>
  <c r="X117" i="42" s="1"/>
  <c r="M118" i="42"/>
  <c r="X118" i="42" s="1"/>
  <c r="M119" i="42"/>
  <c r="X119" i="42" s="1"/>
  <c r="M120" i="42"/>
  <c r="X120" i="42" s="1"/>
  <c r="M121" i="42"/>
  <c r="X121" i="42" s="1"/>
  <c r="M122" i="42"/>
  <c r="X122" i="42" s="1"/>
  <c r="M123" i="42"/>
  <c r="X123" i="42" s="1"/>
  <c r="M124" i="42"/>
  <c r="X124" i="42" s="1"/>
  <c r="M125" i="42"/>
  <c r="X125" i="42" s="1"/>
  <c r="M126" i="42"/>
  <c r="X126" i="42" s="1"/>
  <c r="M127" i="42"/>
  <c r="X127" i="42" s="1"/>
  <c r="M128" i="42"/>
  <c r="X128" i="42" s="1"/>
  <c r="M129" i="42"/>
  <c r="X129" i="42" s="1"/>
  <c r="M130" i="42"/>
  <c r="X130" i="42" s="1"/>
  <c r="M131" i="42"/>
  <c r="X131" i="42" s="1"/>
  <c r="M132" i="42"/>
  <c r="X132" i="42" s="1"/>
  <c r="M133" i="42"/>
  <c r="X133" i="42" s="1"/>
  <c r="M134" i="42"/>
  <c r="X134" i="42" s="1"/>
  <c r="M135" i="42"/>
  <c r="X135" i="42" s="1"/>
  <c r="M137" i="42"/>
  <c r="X137" i="42" s="1"/>
  <c r="M138" i="42"/>
  <c r="X138" i="42" s="1"/>
  <c r="M139" i="42"/>
  <c r="X139" i="42" s="1"/>
  <c r="M140" i="42"/>
  <c r="X140" i="42" s="1"/>
  <c r="M141" i="42"/>
  <c r="X141" i="42" s="1"/>
  <c r="M142" i="42"/>
  <c r="X142" i="42" s="1"/>
  <c r="M143" i="42"/>
  <c r="X143" i="42" s="1"/>
  <c r="M144" i="42"/>
  <c r="X144" i="42" s="1"/>
  <c r="M145" i="42"/>
  <c r="X145" i="42" s="1"/>
  <c r="M146" i="42"/>
  <c r="X146" i="42" s="1"/>
  <c r="M147" i="42"/>
  <c r="X147" i="42" s="1"/>
  <c r="M148" i="42"/>
  <c r="X148" i="42" s="1"/>
  <c r="M149" i="42"/>
  <c r="X149" i="42" s="1"/>
  <c r="M150" i="42"/>
  <c r="X150" i="42" s="1"/>
  <c r="M151" i="42"/>
  <c r="X151" i="42" s="1"/>
  <c r="M152" i="42"/>
  <c r="X152" i="42" s="1"/>
  <c r="M153" i="42"/>
  <c r="X153" i="42" s="1"/>
  <c r="M154" i="42"/>
  <c r="X154" i="42" s="1"/>
  <c r="M155" i="42"/>
  <c r="X155" i="42" s="1"/>
  <c r="M156" i="42"/>
  <c r="X156" i="42" s="1"/>
  <c r="M157" i="42"/>
  <c r="X157" i="42" s="1"/>
  <c r="M158" i="42"/>
  <c r="X158" i="42" s="1"/>
  <c r="M159" i="42"/>
  <c r="X159" i="42" s="1"/>
  <c r="M160" i="42"/>
  <c r="X160" i="42" s="1"/>
  <c r="M161" i="42"/>
  <c r="X161" i="42" s="1"/>
  <c r="M162" i="42"/>
  <c r="X162" i="42" s="1"/>
  <c r="M163" i="42"/>
  <c r="X163" i="42" s="1"/>
  <c r="M164" i="42"/>
  <c r="X164" i="42" s="1"/>
  <c r="M165" i="42"/>
  <c r="X165" i="42" s="1"/>
  <c r="M166" i="42"/>
  <c r="X166" i="42" s="1"/>
  <c r="M167" i="42"/>
  <c r="X167" i="42" s="1"/>
  <c r="M168" i="42"/>
  <c r="X168" i="42" s="1"/>
  <c r="M169" i="42"/>
  <c r="X169" i="42" s="1"/>
  <c r="M170" i="42"/>
  <c r="X170" i="42" s="1"/>
  <c r="M172" i="42"/>
  <c r="X172" i="42" s="1"/>
  <c r="M173" i="42"/>
  <c r="X173" i="42" s="1"/>
  <c r="M174" i="42"/>
  <c r="X174" i="42" s="1"/>
  <c r="M175" i="42"/>
  <c r="X175" i="42" s="1"/>
  <c r="M176" i="42"/>
  <c r="X176" i="42" s="1"/>
  <c r="M177" i="42"/>
  <c r="X177" i="42" s="1"/>
  <c r="M178" i="42"/>
  <c r="X178" i="42" s="1"/>
  <c r="M179" i="42"/>
  <c r="X179" i="42" s="1"/>
  <c r="M180" i="42"/>
  <c r="X180" i="42" s="1"/>
  <c r="M181" i="42"/>
  <c r="X181" i="42" s="1"/>
  <c r="M182" i="42"/>
  <c r="X182" i="42" s="1"/>
  <c r="M183" i="42"/>
  <c r="X183" i="42" s="1"/>
  <c r="M184" i="42"/>
  <c r="X184" i="42" s="1"/>
  <c r="M185" i="42"/>
  <c r="X185" i="42" s="1"/>
  <c r="M186" i="42"/>
  <c r="X186" i="42" s="1"/>
  <c r="M187" i="42"/>
  <c r="X187" i="42" s="1"/>
  <c r="M188" i="42"/>
  <c r="X188" i="42" s="1"/>
  <c r="M189" i="42"/>
  <c r="X189" i="42" s="1"/>
  <c r="M190" i="42"/>
  <c r="X190" i="42" s="1"/>
  <c r="M191" i="42"/>
  <c r="X191" i="42" s="1"/>
  <c r="M192" i="42"/>
  <c r="X192" i="42" s="1"/>
  <c r="M193" i="42"/>
  <c r="X193" i="42" s="1"/>
  <c r="M194" i="42"/>
  <c r="X194" i="42" s="1"/>
  <c r="M195" i="42"/>
  <c r="X195" i="42" s="1"/>
  <c r="M196" i="42"/>
  <c r="X196" i="42" s="1"/>
  <c r="M197" i="42"/>
  <c r="X197" i="42" s="1"/>
  <c r="M198" i="42"/>
  <c r="X198" i="42" s="1"/>
  <c r="M199" i="42"/>
  <c r="X199" i="42" s="1"/>
  <c r="M200" i="42"/>
  <c r="X200" i="42" s="1"/>
  <c r="M201" i="42"/>
  <c r="X201" i="42" s="1"/>
  <c r="M202" i="42"/>
  <c r="X202" i="42" s="1"/>
  <c r="M203" i="42"/>
  <c r="X203" i="42" s="1"/>
  <c r="M204" i="42"/>
  <c r="X204" i="42" s="1"/>
  <c r="M205" i="42"/>
  <c r="X205" i="42" s="1"/>
  <c r="M206" i="42"/>
  <c r="X206" i="42" s="1"/>
  <c r="M207" i="42"/>
  <c r="X207" i="42" s="1"/>
  <c r="M208" i="42"/>
  <c r="X208" i="42" s="1"/>
  <c r="M209" i="42"/>
  <c r="X209" i="42" s="1"/>
  <c r="M210" i="42"/>
  <c r="X210" i="42" s="1"/>
  <c r="M211" i="42"/>
  <c r="X211" i="42" s="1"/>
  <c r="M212" i="42"/>
  <c r="X212" i="42" s="1"/>
  <c r="M213" i="42"/>
  <c r="X213" i="42" s="1"/>
  <c r="M214" i="42"/>
  <c r="X214" i="42" s="1"/>
  <c r="M215" i="42"/>
  <c r="X215" i="42" s="1"/>
  <c r="M216" i="42"/>
  <c r="X216" i="42" s="1"/>
  <c r="M217" i="42"/>
  <c r="X217" i="42" s="1"/>
  <c r="M218" i="42"/>
  <c r="X218" i="42" s="1"/>
  <c r="M219" i="42"/>
  <c r="X219" i="42" s="1"/>
  <c r="M221" i="42"/>
  <c r="X221" i="42" s="1"/>
  <c r="M222" i="42"/>
  <c r="X222" i="42" s="1"/>
  <c r="M223" i="42"/>
  <c r="X223" i="42" s="1"/>
  <c r="M224" i="42"/>
  <c r="X224" i="42" s="1"/>
  <c r="M225" i="42"/>
  <c r="X225" i="42" s="1"/>
  <c r="M226" i="42"/>
  <c r="X226" i="42" s="1"/>
  <c r="M227" i="42"/>
  <c r="X227" i="42" s="1"/>
  <c r="M228" i="42"/>
  <c r="X228" i="42" s="1"/>
  <c r="M229" i="42"/>
  <c r="X229" i="42" s="1"/>
  <c r="M230" i="42"/>
  <c r="X230" i="42" s="1"/>
  <c r="M231" i="42"/>
  <c r="X231" i="42" s="1"/>
  <c r="M232" i="42"/>
  <c r="X232" i="42" s="1"/>
  <c r="M233" i="42"/>
  <c r="X233" i="42" s="1"/>
  <c r="M234" i="42"/>
  <c r="X234" i="42" s="1"/>
  <c r="M235" i="42"/>
  <c r="X235" i="42" s="1"/>
  <c r="M236" i="42"/>
  <c r="X236" i="42" s="1"/>
  <c r="M237" i="42"/>
  <c r="X237" i="42" s="1"/>
  <c r="M238" i="42"/>
  <c r="X238" i="42" s="1"/>
  <c r="M239" i="42"/>
  <c r="X239" i="42" s="1"/>
  <c r="M240" i="42"/>
  <c r="X240" i="42" s="1"/>
  <c r="M241" i="42"/>
  <c r="X241" i="42" s="1"/>
  <c r="M242" i="42"/>
  <c r="X242" i="42" s="1"/>
  <c r="M243" i="42"/>
  <c r="X243" i="42" s="1"/>
  <c r="M244" i="42"/>
  <c r="X244" i="42" s="1"/>
  <c r="M246" i="42"/>
  <c r="X246" i="42" s="1"/>
  <c r="M247" i="42"/>
  <c r="X247" i="42" s="1"/>
  <c r="M248" i="42"/>
  <c r="X248" i="42" s="1"/>
  <c r="M249" i="42"/>
  <c r="X249" i="42" s="1"/>
  <c r="M250" i="42"/>
  <c r="X250" i="42" s="1"/>
  <c r="M251" i="42"/>
  <c r="X251" i="42" s="1"/>
  <c r="M252" i="42"/>
  <c r="X252" i="42" s="1"/>
  <c r="M253" i="42"/>
  <c r="X253" i="42" s="1"/>
  <c r="M254" i="42"/>
  <c r="X254" i="42" s="1"/>
  <c r="M255" i="42"/>
  <c r="X255" i="42" s="1"/>
  <c r="M256" i="42"/>
  <c r="X256" i="42" s="1"/>
  <c r="M257" i="42"/>
  <c r="X257" i="42" s="1"/>
  <c r="M258" i="42"/>
  <c r="X258" i="42" s="1"/>
  <c r="M259" i="42"/>
  <c r="X259" i="42" s="1"/>
  <c r="M260" i="42"/>
  <c r="X260" i="42" s="1"/>
  <c r="M262" i="42"/>
  <c r="X262" i="42" s="1"/>
  <c r="M263" i="42"/>
  <c r="X263" i="42" s="1"/>
  <c r="M264" i="42"/>
  <c r="X264" i="42" s="1"/>
  <c r="M265" i="42"/>
  <c r="X265" i="42" s="1"/>
  <c r="M266" i="42"/>
  <c r="X266" i="42" s="1"/>
  <c r="M267" i="42"/>
  <c r="X267" i="42" s="1"/>
  <c r="M268" i="42"/>
  <c r="X268" i="42" s="1"/>
  <c r="M269" i="42"/>
  <c r="X269" i="42" s="1"/>
  <c r="M270" i="42"/>
  <c r="X270" i="42" s="1"/>
  <c r="M271" i="42"/>
  <c r="X271" i="42" s="1"/>
  <c r="M272" i="42"/>
  <c r="X272" i="42" s="1"/>
  <c r="M274" i="42"/>
  <c r="X274" i="42" s="1"/>
  <c r="M275" i="42"/>
  <c r="X275" i="42" s="1"/>
  <c r="M276" i="42"/>
  <c r="X276" i="42" s="1"/>
  <c r="M277" i="42"/>
  <c r="X277" i="42" s="1"/>
  <c r="M278" i="42"/>
  <c r="X278" i="42" s="1"/>
  <c r="M279" i="42"/>
  <c r="X279" i="42" s="1"/>
  <c r="M280" i="42"/>
  <c r="X280" i="42" s="1"/>
  <c r="M281" i="42"/>
  <c r="X281" i="42" s="1"/>
  <c r="M282" i="42"/>
  <c r="X282" i="42" s="1"/>
  <c r="M283" i="42"/>
  <c r="X283" i="42" s="1"/>
  <c r="M284" i="42"/>
  <c r="X284" i="42" s="1"/>
  <c r="M285" i="42"/>
  <c r="X285" i="42" s="1"/>
  <c r="M286" i="42"/>
  <c r="X286" i="42" s="1"/>
  <c r="M287" i="42"/>
  <c r="X287" i="42" s="1"/>
  <c r="M288" i="42"/>
  <c r="X288" i="42" s="1"/>
  <c r="M289" i="42"/>
  <c r="X289" i="42" s="1"/>
  <c r="M290" i="42"/>
  <c r="X290" i="42" s="1"/>
  <c r="M291" i="42"/>
  <c r="X291" i="42" s="1"/>
  <c r="M292" i="42"/>
  <c r="X292" i="42" s="1"/>
  <c r="M293" i="42"/>
  <c r="X293" i="42" s="1"/>
  <c r="M294" i="42"/>
  <c r="X294" i="42" s="1"/>
  <c r="M295" i="42"/>
  <c r="X295" i="42" s="1"/>
  <c r="M296" i="42"/>
  <c r="X296" i="42" s="1"/>
  <c r="M297" i="42"/>
  <c r="X297" i="42" s="1"/>
  <c r="M298" i="42"/>
  <c r="X298" i="42" s="1"/>
  <c r="M299" i="42"/>
  <c r="X299" i="42" s="1"/>
  <c r="M300" i="42"/>
  <c r="X300" i="42" s="1"/>
  <c r="M301" i="42"/>
  <c r="X301" i="42" s="1"/>
  <c r="M302" i="42"/>
  <c r="X302" i="42" s="1"/>
  <c r="M303" i="42"/>
  <c r="X303" i="42" s="1"/>
  <c r="M304" i="42"/>
  <c r="X304" i="42" s="1"/>
  <c r="M305" i="42"/>
  <c r="X305" i="42" s="1"/>
  <c r="M306" i="42"/>
  <c r="X306" i="42" s="1"/>
  <c r="M307" i="42"/>
  <c r="X307" i="42" s="1"/>
  <c r="M308" i="42"/>
  <c r="X308" i="42" s="1"/>
  <c r="M309" i="42"/>
  <c r="X309" i="42" s="1"/>
  <c r="M310" i="42"/>
  <c r="X310" i="42" s="1"/>
  <c r="M311" i="42"/>
  <c r="X311" i="42" s="1"/>
  <c r="M312" i="42"/>
  <c r="X312" i="42" s="1"/>
  <c r="M313" i="42"/>
  <c r="X313" i="42" s="1"/>
  <c r="M314" i="42"/>
  <c r="X314" i="42" s="1"/>
  <c r="M315" i="42"/>
  <c r="X315" i="42" s="1"/>
  <c r="AL8" i="42"/>
  <c r="AL7" i="42"/>
  <c r="AL314" i="42"/>
  <c r="C136" i="42" l="1"/>
  <c r="M136" i="42" s="1"/>
  <c r="X136" i="42" s="1"/>
  <c r="B6" i="48" l="1"/>
  <c r="D66" i="40" l="1"/>
  <c r="D67" i="40" s="1"/>
  <c r="F65" i="40" s="1"/>
  <c r="F66" i="40" s="1"/>
  <c r="B66" i="40" s="1"/>
  <c r="H297" i="13" l="1"/>
  <c r="H293" i="13"/>
  <c r="B29" i="40" l="1"/>
  <c r="AN316" i="42" l="1"/>
  <c r="M7" i="42" l="1"/>
  <c r="X7" i="42" s="1"/>
  <c r="C261" i="42" l="1"/>
  <c r="M261" i="42" l="1"/>
  <c r="X261" i="42" s="1"/>
  <c r="C68" i="42" l="1"/>
  <c r="M68" i="42" s="1"/>
  <c r="X68" i="42" s="1"/>
  <c r="C273" i="42" l="1"/>
  <c r="M273" i="42" s="1"/>
  <c r="X273" i="42" s="1"/>
  <c r="AE212" i="42"/>
  <c r="Z212" i="42"/>
  <c r="C316" i="42" l="1"/>
  <c r="AL202" i="42" l="1"/>
  <c r="C3" i="13" l="1"/>
  <c r="I5" i="13"/>
  <c r="Q7" i="19" l="1"/>
  <c r="AR6" i="19"/>
  <c r="S6" i="19"/>
  <c r="AM6" i="42"/>
  <c r="B60" i="40" l="1"/>
  <c r="K14" i="49" l="1"/>
  <c r="K112" i="49"/>
  <c r="K114" i="49"/>
  <c r="K117" i="49"/>
  <c r="K119" i="49"/>
  <c r="K120" i="49"/>
  <c r="K121" i="49"/>
  <c r="K122" i="49"/>
  <c r="K124" i="49"/>
  <c r="K126" i="49"/>
  <c r="K127" i="49"/>
  <c r="K128" i="49"/>
  <c r="K129" i="49"/>
  <c r="K130" i="49"/>
  <c r="K131" i="49"/>
  <c r="K134" i="49"/>
  <c r="K135" i="49"/>
  <c r="K137" i="49"/>
  <c r="K144" i="49"/>
  <c r="K149" i="49"/>
  <c r="K150" i="49"/>
  <c r="K151" i="49"/>
  <c r="K154" i="49"/>
  <c r="K155" i="49"/>
  <c r="K156" i="49"/>
  <c r="K158" i="49"/>
  <c r="K191" i="49"/>
  <c r="K202" i="49"/>
  <c r="K203" i="49"/>
  <c r="K224" i="49"/>
  <c r="K225" i="49"/>
  <c r="K275" i="49"/>
  <c r="K276" i="49"/>
  <c r="K277" i="49"/>
  <c r="K278" i="49"/>
  <c r="K279" i="49"/>
  <c r="K280" i="49"/>
  <c r="K281" i="49"/>
  <c r="K282" i="49"/>
  <c r="K283" i="49"/>
  <c r="K284" i="49"/>
  <c r="K296" i="49"/>
  <c r="K305" i="49"/>
  <c r="K313" i="49"/>
  <c r="K7" i="49"/>
  <c r="K6" i="49"/>
  <c r="I5" i="49"/>
  <c r="A2" i="49"/>
  <c r="C315" i="49"/>
  <c r="A7" i="49"/>
  <c r="B7" i="49"/>
  <c r="A8" i="49"/>
  <c r="B8" i="49"/>
  <c r="A9" i="49"/>
  <c r="B9" i="49"/>
  <c r="A10" i="49"/>
  <c r="B10" i="49"/>
  <c r="A11" i="49"/>
  <c r="B11" i="49"/>
  <c r="A12" i="49"/>
  <c r="B12" i="49"/>
  <c r="A13" i="49"/>
  <c r="B13" i="49"/>
  <c r="A14" i="49"/>
  <c r="B14" i="49"/>
  <c r="A15" i="49"/>
  <c r="B15" i="49"/>
  <c r="A16" i="49"/>
  <c r="B16" i="49"/>
  <c r="A17" i="49"/>
  <c r="B17" i="49"/>
  <c r="A18" i="49"/>
  <c r="B18" i="49"/>
  <c r="A19" i="49"/>
  <c r="B19" i="49"/>
  <c r="A20" i="49"/>
  <c r="B20" i="49"/>
  <c r="A21" i="49"/>
  <c r="B21" i="49"/>
  <c r="A22" i="49"/>
  <c r="B22" i="49"/>
  <c r="A23" i="49"/>
  <c r="B23" i="49"/>
  <c r="A24" i="49"/>
  <c r="B24" i="49"/>
  <c r="A25" i="49"/>
  <c r="B25" i="49"/>
  <c r="A26" i="49"/>
  <c r="B26" i="49"/>
  <c r="A27" i="49"/>
  <c r="B27" i="49"/>
  <c r="A28" i="49"/>
  <c r="B28" i="49"/>
  <c r="A29" i="49"/>
  <c r="B29" i="49"/>
  <c r="A30" i="49"/>
  <c r="B30" i="49"/>
  <c r="A31" i="49"/>
  <c r="B31" i="49"/>
  <c r="A32" i="49"/>
  <c r="B32" i="49"/>
  <c r="A33" i="49"/>
  <c r="B33" i="49"/>
  <c r="A34" i="49"/>
  <c r="B34" i="49"/>
  <c r="A35" i="49"/>
  <c r="B35" i="49"/>
  <c r="A36" i="49"/>
  <c r="B36" i="49"/>
  <c r="A37" i="49"/>
  <c r="B37" i="49"/>
  <c r="A38" i="49"/>
  <c r="B38" i="49"/>
  <c r="A39" i="49"/>
  <c r="B39" i="49"/>
  <c r="A40" i="49"/>
  <c r="B40" i="49"/>
  <c r="A41" i="49"/>
  <c r="B41" i="49"/>
  <c r="A42" i="49"/>
  <c r="B42" i="49"/>
  <c r="A43" i="49"/>
  <c r="B43" i="49"/>
  <c r="A44" i="49"/>
  <c r="B44" i="49"/>
  <c r="A45" i="49"/>
  <c r="B45" i="49"/>
  <c r="A46" i="49"/>
  <c r="B46" i="49"/>
  <c r="A47" i="49"/>
  <c r="B47" i="49"/>
  <c r="A48" i="49"/>
  <c r="B48" i="49"/>
  <c r="A49" i="49"/>
  <c r="B49" i="49"/>
  <c r="A50" i="49"/>
  <c r="B50" i="49"/>
  <c r="A51" i="49"/>
  <c r="B51" i="49"/>
  <c r="A52" i="49"/>
  <c r="B52" i="49"/>
  <c r="A53" i="49"/>
  <c r="B53" i="49"/>
  <c r="A54" i="49"/>
  <c r="B54" i="49"/>
  <c r="A55" i="49"/>
  <c r="B55" i="49"/>
  <c r="A56" i="49"/>
  <c r="B56" i="49"/>
  <c r="A57" i="49"/>
  <c r="B57" i="49"/>
  <c r="A58" i="49"/>
  <c r="B58" i="49"/>
  <c r="A59" i="49"/>
  <c r="B59" i="49"/>
  <c r="A60" i="49"/>
  <c r="B60" i="49"/>
  <c r="A61" i="49"/>
  <c r="B61" i="49"/>
  <c r="A62" i="49"/>
  <c r="B62" i="49"/>
  <c r="A63" i="49"/>
  <c r="B63" i="49"/>
  <c r="A64" i="49"/>
  <c r="B64" i="49"/>
  <c r="A65" i="49"/>
  <c r="B65" i="49"/>
  <c r="A66" i="49"/>
  <c r="B66" i="49"/>
  <c r="A67" i="49"/>
  <c r="B67" i="49"/>
  <c r="A68" i="49"/>
  <c r="B68" i="49"/>
  <c r="A69" i="49"/>
  <c r="B69" i="49"/>
  <c r="A70" i="49"/>
  <c r="B70" i="49"/>
  <c r="A71" i="49"/>
  <c r="B71" i="49"/>
  <c r="A72" i="49"/>
  <c r="B72" i="49"/>
  <c r="A73" i="49"/>
  <c r="B73" i="49"/>
  <c r="A74" i="49"/>
  <c r="B74" i="49"/>
  <c r="A75" i="49"/>
  <c r="B75" i="49"/>
  <c r="A76" i="49"/>
  <c r="B76" i="49"/>
  <c r="A77" i="49"/>
  <c r="B77" i="49"/>
  <c r="A78" i="49"/>
  <c r="B78" i="49"/>
  <c r="A79" i="49"/>
  <c r="B79" i="49"/>
  <c r="A80" i="49"/>
  <c r="B80" i="49"/>
  <c r="A81" i="49"/>
  <c r="B81" i="49"/>
  <c r="A82" i="49"/>
  <c r="B82" i="49"/>
  <c r="A83" i="49"/>
  <c r="B83" i="49"/>
  <c r="A84" i="49"/>
  <c r="B84" i="49"/>
  <c r="A85" i="49"/>
  <c r="B85" i="49"/>
  <c r="A86" i="49"/>
  <c r="B86" i="49"/>
  <c r="A87" i="49"/>
  <c r="B87" i="49"/>
  <c r="A88" i="49"/>
  <c r="B88" i="49"/>
  <c r="A89" i="49"/>
  <c r="B89" i="49"/>
  <c r="A90" i="49"/>
  <c r="B90" i="49"/>
  <c r="A91" i="49"/>
  <c r="B91" i="49"/>
  <c r="A92" i="49"/>
  <c r="B92" i="49"/>
  <c r="A93" i="49"/>
  <c r="B93" i="49"/>
  <c r="A94" i="49"/>
  <c r="B94" i="49"/>
  <c r="A95" i="49"/>
  <c r="B95" i="49"/>
  <c r="A96" i="49"/>
  <c r="B96" i="49"/>
  <c r="A97" i="49"/>
  <c r="B97" i="49"/>
  <c r="A98" i="49"/>
  <c r="B98" i="49"/>
  <c r="A99" i="49"/>
  <c r="B99" i="49"/>
  <c r="A100" i="49"/>
  <c r="B100" i="49"/>
  <c r="A101" i="49"/>
  <c r="B101" i="49"/>
  <c r="A102" i="49"/>
  <c r="B102" i="49"/>
  <c r="A103" i="49"/>
  <c r="B103" i="49"/>
  <c r="A104" i="49"/>
  <c r="B104" i="49"/>
  <c r="A105" i="49"/>
  <c r="B105" i="49"/>
  <c r="A106" i="49"/>
  <c r="B106" i="49"/>
  <c r="A107" i="49"/>
  <c r="B107" i="49"/>
  <c r="A108" i="49"/>
  <c r="B108" i="49"/>
  <c r="A109" i="49"/>
  <c r="B109" i="49"/>
  <c r="A110" i="49"/>
  <c r="B110" i="49"/>
  <c r="A111" i="49"/>
  <c r="B111" i="49"/>
  <c r="A112" i="49"/>
  <c r="B112" i="49"/>
  <c r="A113" i="49"/>
  <c r="B113" i="49"/>
  <c r="A114" i="49"/>
  <c r="B114" i="49"/>
  <c r="A115" i="49"/>
  <c r="B115" i="49"/>
  <c r="A116" i="49"/>
  <c r="B116" i="49"/>
  <c r="A117" i="49"/>
  <c r="B117" i="49"/>
  <c r="A118" i="49"/>
  <c r="B118" i="49"/>
  <c r="A119" i="49"/>
  <c r="B119" i="49"/>
  <c r="A120" i="49"/>
  <c r="B120" i="49"/>
  <c r="A121" i="49"/>
  <c r="B121" i="49"/>
  <c r="A122" i="49"/>
  <c r="B122" i="49"/>
  <c r="A123" i="49"/>
  <c r="B123" i="49"/>
  <c r="A124" i="49"/>
  <c r="B124" i="49"/>
  <c r="A125" i="49"/>
  <c r="B125" i="49"/>
  <c r="A126" i="49"/>
  <c r="B126" i="49"/>
  <c r="A127" i="49"/>
  <c r="B127" i="49"/>
  <c r="A128" i="49"/>
  <c r="B128" i="49"/>
  <c r="A129" i="49"/>
  <c r="B129" i="49"/>
  <c r="A130" i="49"/>
  <c r="B130" i="49"/>
  <c r="A131" i="49"/>
  <c r="B131" i="49"/>
  <c r="A132" i="49"/>
  <c r="B132" i="49"/>
  <c r="A133" i="49"/>
  <c r="B133" i="49"/>
  <c r="A134" i="49"/>
  <c r="B134" i="49"/>
  <c r="A135" i="49"/>
  <c r="B135" i="49"/>
  <c r="A136" i="49"/>
  <c r="B136" i="49"/>
  <c r="A137" i="49"/>
  <c r="B137" i="49"/>
  <c r="A138" i="49"/>
  <c r="B138" i="49"/>
  <c r="A139" i="49"/>
  <c r="B139" i="49"/>
  <c r="A140" i="49"/>
  <c r="B140" i="49"/>
  <c r="A141" i="49"/>
  <c r="B141" i="49"/>
  <c r="A142" i="49"/>
  <c r="B142" i="49"/>
  <c r="A143" i="49"/>
  <c r="B143" i="49"/>
  <c r="A144" i="49"/>
  <c r="B144" i="49"/>
  <c r="A145" i="49"/>
  <c r="B145" i="49"/>
  <c r="A146" i="49"/>
  <c r="B146" i="49"/>
  <c r="A147" i="49"/>
  <c r="B147" i="49"/>
  <c r="A148" i="49"/>
  <c r="B148" i="49"/>
  <c r="A149" i="49"/>
  <c r="B149" i="49"/>
  <c r="A150" i="49"/>
  <c r="B150" i="49"/>
  <c r="A151" i="49"/>
  <c r="B151" i="49"/>
  <c r="A152" i="49"/>
  <c r="B152" i="49"/>
  <c r="A153" i="49"/>
  <c r="B153" i="49"/>
  <c r="A154" i="49"/>
  <c r="B154" i="49"/>
  <c r="A155" i="49"/>
  <c r="B155" i="49"/>
  <c r="A156" i="49"/>
  <c r="B156" i="49"/>
  <c r="A157" i="49"/>
  <c r="B157" i="49"/>
  <c r="A158" i="49"/>
  <c r="B158" i="49"/>
  <c r="A159" i="49"/>
  <c r="B159" i="49"/>
  <c r="A160" i="49"/>
  <c r="B160" i="49"/>
  <c r="A161" i="49"/>
  <c r="B161" i="49"/>
  <c r="A162" i="49"/>
  <c r="B162" i="49"/>
  <c r="A163" i="49"/>
  <c r="B163" i="49"/>
  <c r="A164" i="49"/>
  <c r="B164" i="49"/>
  <c r="A165" i="49"/>
  <c r="B165" i="49"/>
  <c r="A166" i="49"/>
  <c r="B166" i="49"/>
  <c r="A167" i="49"/>
  <c r="B167" i="49"/>
  <c r="A168" i="49"/>
  <c r="B168" i="49"/>
  <c r="A169" i="49"/>
  <c r="B169" i="49"/>
  <c r="A171" i="49"/>
  <c r="B171" i="49"/>
  <c r="A172" i="49"/>
  <c r="B172" i="49"/>
  <c r="A173" i="49"/>
  <c r="B173" i="49"/>
  <c r="A174" i="49"/>
  <c r="B174" i="49"/>
  <c r="A175" i="49"/>
  <c r="B175" i="49"/>
  <c r="A176" i="49"/>
  <c r="B176" i="49"/>
  <c r="A177" i="49"/>
  <c r="B177" i="49"/>
  <c r="A178" i="49"/>
  <c r="B178" i="49"/>
  <c r="A179" i="49"/>
  <c r="B179" i="49"/>
  <c r="A180" i="49"/>
  <c r="B180" i="49"/>
  <c r="A181" i="49"/>
  <c r="B181" i="49"/>
  <c r="A182" i="49"/>
  <c r="B182" i="49"/>
  <c r="A183" i="49"/>
  <c r="B183" i="49"/>
  <c r="A184" i="49"/>
  <c r="B184" i="49"/>
  <c r="A185" i="49"/>
  <c r="B185" i="49"/>
  <c r="A186" i="49"/>
  <c r="B186" i="49"/>
  <c r="A187" i="49"/>
  <c r="B187" i="49"/>
  <c r="A188" i="49"/>
  <c r="B188" i="49"/>
  <c r="A189" i="49"/>
  <c r="B189" i="49"/>
  <c r="A190" i="49"/>
  <c r="B190" i="49"/>
  <c r="A191" i="49"/>
  <c r="B191" i="49"/>
  <c r="A192" i="49"/>
  <c r="B192" i="49"/>
  <c r="A193" i="49"/>
  <c r="B193" i="49"/>
  <c r="A194" i="49"/>
  <c r="B194" i="49"/>
  <c r="A195" i="49"/>
  <c r="B195" i="49"/>
  <c r="A196" i="49"/>
  <c r="B196" i="49"/>
  <c r="A197" i="49"/>
  <c r="B197" i="49"/>
  <c r="A198" i="49"/>
  <c r="B198" i="49"/>
  <c r="A199" i="49"/>
  <c r="B199" i="49"/>
  <c r="A200" i="49"/>
  <c r="B200" i="49"/>
  <c r="A201" i="49"/>
  <c r="B201" i="49"/>
  <c r="A202" i="49"/>
  <c r="B202" i="49"/>
  <c r="A203" i="49"/>
  <c r="B203" i="49"/>
  <c r="A204" i="49"/>
  <c r="B204" i="49"/>
  <c r="A205" i="49"/>
  <c r="B205" i="49"/>
  <c r="A206" i="49"/>
  <c r="B206" i="49"/>
  <c r="A207" i="49"/>
  <c r="B207" i="49"/>
  <c r="A208" i="49"/>
  <c r="B208" i="49"/>
  <c r="A209" i="49"/>
  <c r="B209" i="49"/>
  <c r="A210" i="49"/>
  <c r="B210" i="49"/>
  <c r="A211" i="49"/>
  <c r="B211" i="49"/>
  <c r="A212" i="49"/>
  <c r="B212" i="49"/>
  <c r="A213" i="49"/>
  <c r="B213" i="49"/>
  <c r="A214" i="49"/>
  <c r="B214" i="49"/>
  <c r="A215" i="49"/>
  <c r="B215" i="49"/>
  <c r="A216" i="49"/>
  <c r="B216" i="49"/>
  <c r="A217" i="49"/>
  <c r="B217" i="49"/>
  <c r="A218" i="49"/>
  <c r="B218" i="49"/>
  <c r="A220" i="49"/>
  <c r="B220" i="49"/>
  <c r="A221" i="49"/>
  <c r="B221" i="49"/>
  <c r="A222" i="49"/>
  <c r="B222" i="49"/>
  <c r="A223" i="49"/>
  <c r="B223" i="49"/>
  <c r="A224" i="49"/>
  <c r="B224" i="49"/>
  <c r="A225" i="49"/>
  <c r="B225" i="49"/>
  <c r="A226" i="49"/>
  <c r="B226" i="49"/>
  <c r="A227" i="49"/>
  <c r="B227" i="49"/>
  <c r="A228" i="49"/>
  <c r="B228" i="49"/>
  <c r="A229" i="49"/>
  <c r="B229" i="49"/>
  <c r="A230" i="49"/>
  <c r="B230" i="49"/>
  <c r="A231" i="49"/>
  <c r="B231" i="49"/>
  <c r="A232" i="49"/>
  <c r="B232" i="49"/>
  <c r="A233" i="49"/>
  <c r="B233" i="49"/>
  <c r="A234" i="49"/>
  <c r="B234" i="49"/>
  <c r="A235" i="49"/>
  <c r="B235" i="49"/>
  <c r="A236" i="49"/>
  <c r="B236" i="49"/>
  <c r="A237" i="49"/>
  <c r="B237" i="49"/>
  <c r="A238" i="49"/>
  <c r="B238" i="49"/>
  <c r="A239" i="49"/>
  <c r="B239" i="49"/>
  <c r="A240" i="49"/>
  <c r="B240" i="49"/>
  <c r="A241" i="49"/>
  <c r="B241" i="49"/>
  <c r="A242" i="49"/>
  <c r="B242" i="49"/>
  <c r="A243" i="49"/>
  <c r="B243" i="49"/>
  <c r="A245" i="49"/>
  <c r="B245" i="49"/>
  <c r="A246" i="49"/>
  <c r="B246" i="49"/>
  <c r="A247" i="49"/>
  <c r="B247" i="49"/>
  <c r="A248" i="49"/>
  <c r="B248" i="49"/>
  <c r="A249" i="49"/>
  <c r="B249" i="49"/>
  <c r="A250" i="49"/>
  <c r="B250" i="49"/>
  <c r="A251" i="49"/>
  <c r="B251" i="49"/>
  <c r="A252" i="49"/>
  <c r="B252" i="49"/>
  <c r="A253" i="49"/>
  <c r="B253" i="49"/>
  <c r="A254" i="49"/>
  <c r="B254" i="49"/>
  <c r="A255" i="49"/>
  <c r="B255" i="49"/>
  <c r="A256" i="49"/>
  <c r="B256" i="49"/>
  <c r="A257" i="49"/>
  <c r="B257" i="49"/>
  <c r="A258" i="49"/>
  <c r="B258" i="49"/>
  <c r="A259" i="49"/>
  <c r="B259" i="49"/>
  <c r="A260" i="49"/>
  <c r="B260" i="49"/>
  <c r="A261" i="49"/>
  <c r="B261" i="49"/>
  <c r="A262" i="49"/>
  <c r="B262" i="49"/>
  <c r="A263" i="49"/>
  <c r="B263" i="49"/>
  <c r="A264" i="49"/>
  <c r="B264" i="49"/>
  <c r="A265" i="49"/>
  <c r="B265" i="49"/>
  <c r="A266" i="49"/>
  <c r="B266" i="49"/>
  <c r="A267" i="49"/>
  <c r="B267" i="49"/>
  <c r="A268" i="49"/>
  <c r="B268" i="49"/>
  <c r="A269" i="49"/>
  <c r="B269" i="49"/>
  <c r="A270" i="49"/>
  <c r="B270" i="49"/>
  <c r="A271" i="49"/>
  <c r="B271" i="49"/>
  <c r="A272" i="49"/>
  <c r="B272" i="49"/>
  <c r="A273" i="49"/>
  <c r="B273" i="49"/>
  <c r="A274" i="49"/>
  <c r="B274" i="49"/>
  <c r="A275" i="49"/>
  <c r="B275" i="49"/>
  <c r="A276" i="49"/>
  <c r="B276" i="49"/>
  <c r="A277" i="49"/>
  <c r="B277" i="49"/>
  <c r="A278" i="49"/>
  <c r="B278" i="49"/>
  <c r="A279" i="49"/>
  <c r="B279" i="49"/>
  <c r="A280" i="49"/>
  <c r="B280" i="49"/>
  <c r="A281" i="49"/>
  <c r="B281" i="49"/>
  <c r="A282" i="49"/>
  <c r="B282" i="49"/>
  <c r="A283" i="49"/>
  <c r="B283" i="49"/>
  <c r="A284" i="49"/>
  <c r="B284" i="49"/>
  <c r="A285" i="49"/>
  <c r="B285" i="49"/>
  <c r="A286" i="49"/>
  <c r="B286" i="49"/>
  <c r="A287" i="49"/>
  <c r="B287" i="49"/>
  <c r="A288" i="49"/>
  <c r="B288" i="49"/>
  <c r="A289" i="49"/>
  <c r="B289" i="49"/>
  <c r="A290" i="49"/>
  <c r="B290" i="49"/>
  <c r="A291" i="49"/>
  <c r="B291" i="49"/>
  <c r="A292" i="49"/>
  <c r="B292" i="49"/>
  <c r="A293" i="49"/>
  <c r="B293" i="49"/>
  <c r="A294" i="49"/>
  <c r="B294" i="49"/>
  <c r="A295" i="49"/>
  <c r="B295" i="49"/>
  <c r="A296" i="49"/>
  <c r="B296" i="49"/>
  <c r="A297" i="49"/>
  <c r="B297" i="49"/>
  <c r="A298" i="49"/>
  <c r="B298" i="49"/>
  <c r="A299" i="49"/>
  <c r="B299" i="49"/>
  <c r="A300" i="49"/>
  <c r="B300" i="49"/>
  <c r="A301" i="49"/>
  <c r="B301" i="49"/>
  <c r="A302" i="49"/>
  <c r="B302" i="49"/>
  <c r="A303" i="49"/>
  <c r="B303" i="49"/>
  <c r="A304" i="49"/>
  <c r="B304" i="49"/>
  <c r="A305" i="49"/>
  <c r="B305" i="49"/>
  <c r="A306" i="49"/>
  <c r="B306" i="49"/>
  <c r="A307" i="49"/>
  <c r="B307" i="49"/>
  <c r="A308" i="49"/>
  <c r="B308" i="49"/>
  <c r="A309" i="49"/>
  <c r="B309" i="49"/>
  <c r="A310" i="49"/>
  <c r="B310" i="49"/>
  <c r="A311" i="49"/>
  <c r="B311" i="49"/>
  <c r="A312" i="49"/>
  <c r="B312" i="49"/>
  <c r="A313" i="49"/>
  <c r="B313" i="49"/>
  <c r="A314" i="49"/>
  <c r="B314" i="49"/>
  <c r="B6" i="49"/>
  <c r="A6" i="49"/>
  <c r="I170" i="49" l="1"/>
  <c r="I244" i="49"/>
  <c r="I219" i="49"/>
  <c r="B315" i="49"/>
  <c r="B7" i="48"/>
  <c r="B9" i="48" l="1"/>
  <c r="F8" i="48"/>
  <c r="B8" i="48"/>
  <c r="C8" i="34"/>
  <c r="U6" i="19" l="1"/>
  <c r="C29" i="40" l="1"/>
  <c r="A2" i="25"/>
  <c r="H6" i="13"/>
  <c r="J5" i="13"/>
  <c r="A7" i="13"/>
  <c r="B7" i="13"/>
  <c r="A8" i="13"/>
  <c r="B8" i="13"/>
  <c r="A9" i="13"/>
  <c r="B9" i="13"/>
  <c r="A10" i="13"/>
  <c r="B10" i="13"/>
  <c r="A11" i="13"/>
  <c r="B11" i="13"/>
  <c r="A12" i="13"/>
  <c r="B12" i="13"/>
  <c r="A13" i="13"/>
  <c r="B13" i="13"/>
  <c r="A14" i="13"/>
  <c r="B14" i="13"/>
  <c r="A15" i="13"/>
  <c r="B15" i="13"/>
  <c r="A16" i="13"/>
  <c r="B16" i="13"/>
  <c r="A17" i="13"/>
  <c r="B17" i="13"/>
  <c r="A18" i="13"/>
  <c r="B18" i="13"/>
  <c r="A19" i="13"/>
  <c r="B19" i="13"/>
  <c r="A20" i="13"/>
  <c r="B20" i="13"/>
  <c r="A21" i="13"/>
  <c r="B21" i="13"/>
  <c r="A22" i="13"/>
  <c r="B22" i="13"/>
  <c r="A23" i="13"/>
  <c r="B23" i="13"/>
  <c r="A24" i="13"/>
  <c r="B24" i="13"/>
  <c r="A25" i="13"/>
  <c r="B25" i="13"/>
  <c r="A26" i="13"/>
  <c r="B26" i="13"/>
  <c r="A27" i="13"/>
  <c r="B27" i="13"/>
  <c r="A28" i="13"/>
  <c r="B28" i="13"/>
  <c r="A29" i="13"/>
  <c r="B29" i="13"/>
  <c r="A30" i="13"/>
  <c r="B30" i="13"/>
  <c r="A31" i="13"/>
  <c r="B31" i="13"/>
  <c r="A32" i="13"/>
  <c r="B32" i="13"/>
  <c r="A33" i="13"/>
  <c r="B33" i="13"/>
  <c r="A34" i="13"/>
  <c r="B34" i="13"/>
  <c r="A35" i="13"/>
  <c r="B35" i="13"/>
  <c r="A36" i="13"/>
  <c r="B36" i="13"/>
  <c r="A37" i="13"/>
  <c r="B37" i="13"/>
  <c r="A38" i="13"/>
  <c r="B38" i="13"/>
  <c r="A39" i="13"/>
  <c r="B39" i="13"/>
  <c r="A40" i="13"/>
  <c r="B40" i="13"/>
  <c r="A41" i="13"/>
  <c r="B41" i="13"/>
  <c r="A42" i="13"/>
  <c r="B42" i="13"/>
  <c r="A43" i="13"/>
  <c r="B43" i="13"/>
  <c r="A44" i="13"/>
  <c r="B44" i="13"/>
  <c r="A45" i="13"/>
  <c r="B45" i="13"/>
  <c r="A46" i="13"/>
  <c r="B46" i="13"/>
  <c r="A47" i="13"/>
  <c r="B47" i="13"/>
  <c r="A48" i="13"/>
  <c r="B48" i="13"/>
  <c r="A49" i="13"/>
  <c r="B49" i="13"/>
  <c r="A50" i="13"/>
  <c r="B50" i="13"/>
  <c r="A51" i="13"/>
  <c r="B51" i="13"/>
  <c r="A52" i="13"/>
  <c r="B52" i="13"/>
  <c r="A53" i="13"/>
  <c r="B53" i="13"/>
  <c r="A54" i="13"/>
  <c r="B54" i="13"/>
  <c r="A55" i="13"/>
  <c r="B55" i="13"/>
  <c r="A56" i="13"/>
  <c r="B56" i="13"/>
  <c r="A57" i="13"/>
  <c r="B57" i="13"/>
  <c r="A58" i="13"/>
  <c r="B58" i="13"/>
  <c r="A59" i="13"/>
  <c r="B59" i="13"/>
  <c r="A60" i="13"/>
  <c r="B60" i="13"/>
  <c r="A61" i="13"/>
  <c r="B61" i="13"/>
  <c r="A62" i="13"/>
  <c r="B62" i="13"/>
  <c r="A63" i="13"/>
  <c r="B63" i="13"/>
  <c r="A64" i="13"/>
  <c r="B64" i="13"/>
  <c r="A65" i="13"/>
  <c r="B65" i="13"/>
  <c r="A66" i="13"/>
  <c r="B66" i="13"/>
  <c r="A67" i="13"/>
  <c r="B67" i="13"/>
  <c r="A68" i="13"/>
  <c r="B68" i="13"/>
  <c r="A69" i="13"/>
  <c r="B69" i="13"/>
  <c r="A70" i="13"/>
  <c r="B70" i="13"/>
  <c r="A71" i="13"/>
  <c r="B71" i="13"/>
  <c r="A72" i="13"/>
  <c r="B72" i="13"/>
  <c r="A73" i="13"/>
  <c r="B73" i="13"/>
  <c r="A74" i="13"/>
  <c r="B74" i="13"/>
  <c r="A75" i="13"/>
  <c r="B75" i="13"/>
  <c r="A76" i="13"/>
  <c r="B76" i="13"/>
  <c r="A77" i="13"/>
  <c r="B77" i="13"/>
  <c r="A78" i="13"/>
  <c r="B78" i="13"/>
  <c r="A79" i="13"/>
  <c r="B79" i="13"/>
  <c r="A80" i="13"/>
  <c r="B80" i="13"/>
  <c r="A81" i="13"/>
  <c r="B81" i="13"/>
  <c r="A82" i="13"/>
  <c r="B82" i="13"/>
  <c r="A83" i="13"/>
  <c r="B83" i="13"/>
  <c r="A84" i="13"/>
  <c r="B84" i="13"/>
  <c r="A85" i="13"/>
  <c r="B85" i="13"/>
  <c r="A86" i="13"/>
  <c r="B86" i="13"/>
  <c r="A87" i="13"/>
  <c r="B87" i="13"/>
  <c r="A88" i="13"/>
  <c r="B88" i="13"/>
  <c r="A89" i="13"/>
  <c r="B89" i="13"/>
  <c r="A90" i="13"/>
  <c r="B90" i="13"/>
  <c r="A91" i="13"/>
  <c r="B91" i="13"/>
  <c r="A92" i="13"/>
  <c r="B92" i="13"/>
  <c r="A93" i="13"/>
  <c r="B93" i="13"/>
  <c r="A94" i="13"/>
  <c r="B94" i="13"/>
  <c r="A95" i="13"/>
  <c r="B95" i="13"/>
  <c r="A96" i="13"/>
  <c r="B96" i="13"/>
  <c r="A97" i="13"/>
  <c r="B97" i="13"/>
  <c r="A98" i="13"/>
  <c r="B98" i="13"/>
  <c r="A99" i="13"/>
  <c r="B99" i="13"/>
  <c r="A100" i="13"/>
  <c r="B100" i="13"/>
  <c r="A101" i="13"/>
  <c r="B101" i="13"/>
  <c r="A102" i="13"/>
  <c r="B102" i="13"/>
  <c r="A103" i="13"/>
  <c r="B103" i="13"/>
  <c r="A104" i="13"/>
  <c r="B104" i="13"/>
  <c r="A105" i="13"/>
  <c r="B105" i="13"/>
  <c r="A106" i="13"/>
  <c r="B106" i="13"/>
  <c r="A107" i="13"/>
  <c r="B107" i="13"/>
  <c r="A108" i="13"/>
  <c r="B108" i="13"/>
  <c r="A109" i="13"/>
  <c r="B109" i="13"/>
  <c r="A110" i="13"/>
  <c r="B110" i="13"/>
  <c r="A111" i="13"/>
  <c r="B111" i="13"/>
  <c r="A112" i="13"/>
  <c r="B112" i="13"/>
  <c r="A113" i="13"/>
  <c r="B113" i="13"/>
  <c r="A114" i="13"/>
  <c r="B114" i="13"/>
  <c r="A115" i="13"/>
  <c r="B115" i="13"/>
  <c r="A116" i="13"/>
  <c r="B116" i="13"/>
  <c r="A117" i="13"/>
  <c r="B117" i="13"/>
  <c r="A118" i="13"/>
  <c r="B118" i="13"/>
  <c r="A119" i="13"/>
  <c r="B119" i="13"/>
  <c r="A120" i="13"/>
  <c r="B120" i="13"/>
  <c r="A121" i="13"/>
  <c r="B121" i="13"/>
  <c r="A122" i="13"/>
  <c r="B122" i="13"/>
  <c r="A123" i="13"/>
  <c r="B123" i="13"/>
  <c r="A124" i="13"/>
  <c r="B124" i="13"/>
  <c r="A125" i="13"/>
  <c r="B125" i="13"/>
  <c r="A126" i="13"/>
  <c r="B126" i="13"/>
  <c r="A127" i="13"/>
  <c r="B127" i="13"/>
  <c r="A128" i="13"/>
  <c r="B128" i="13"/>
  <c r="A129" i="13"/>
  <c r="B129" i="13"/>
  <c r="A130" i="13"/>
  <c r="B130" i="13"/>
  <c r="A131" i="13"/>
  <c r="B131" i="13"/>
  <c r="A132" i="13"/>
  <c r="B132" i="13"/>
  <c r="A133" i="13"/>
  <c r="B133" i="13"/>
  <c r="A134" i="13"/>
  <c r="B134" i="13"/>
  <c r="A135" i="13"/>
  <c r="B135" i="13"/>
  <c r="A136" i="13"/>
  <c r="B136" i="13"/>
  <c r="A137" i="13"/>
  <c r="B137" i="13"/>
  <c r="A138" i="13"/>
  <c r="B138" i="13"/>
  <c r="A139" i="13"/>
  <c r="B139" i="13"/>
  <c r="A140" i="13"/>
  <c r="B140" i="13"/>
  <c r="A141" i="13"/>
  <c r="B141" i="13"/>
  <c r="A142" i="13"/>
  <c r="B142" i="13"/>
  <c r="A143" i="13"/>
  <c r="B143" i="13"/>
  <c r="A144" i="13"/>
  <c r="B144" i="13"/>
  <c r="A145" i="13"/>
  <c r="B145" i="13"/>
  <c r="A146" i="13"/>
  <c r="B146" i="13"/>
  <c r="A147" i="13"/>
  <c r="B147" i="13"/>
  <c r="A148" i="13"/>
  <c r="B148" i="13"/>
  <c r="A149" i="13"/>
  <c r="B149" i="13"/>
  <c r="A150" i="13"/>
  <c r="B150" i="13"/>
  <c r="A151" i="13"/>
  <c r="B151" i="13"/>
  <c r="A152" i="13"/>
  <c r="B152" i="13"/>
  <c r="A153" i="13"/>
  <c r="B153" i="13"/>
  <c r="A154" i="13"/>
  <c r="B154" i="13"/>
  <c r="A155" i="13"/>
  <c r="B155" i="13"/>
  <c r="A156" i="13"/>
  <c r="B156" i="13"/>
  <c r="A157" i="13"/>
  <c r="B157" i="13"/>
  <c r="A158" i="13"/>
  <c r="B158" i="13"/>
  <c r="A159" i="13"/>
  <c r="B159" i="13"/>
  <c r="A160" i="13"/>
  <c r="B160" i="13"/>
  <c r="A161" i="13"/>
  <c r="B161" i="13"/>
  <c r="A162" i="13"/>
  <c r="B162" i="13"/>
  <c r="A163" i="13"/>
  <c r="B163" i="13"/>
  <c r="A164" i="13"/>
  <c r="B164" i="13"/>
  <c r="A165" i="13"/>
  <c r="B165" i="13"/>
  <c r="A166" i="13"/>
  <c r="B166" i="13"/>
  <c r="A167" i="13"/>
  <c r="B167" i="13"/>
  <c r="A168" i="13"/>
  <c r="B168" i="13"/>
  <c r="A169" i="13"/>
  <c r="B169" i="13"/>
  <c r="A171" i="13"/>
  <c r="B171" i="13"/>
  <c r="A172" i="13"/>
  <c r="B172" i="13"/>
  <c r="A173" i="13"/>
  <c r="B173" i="13"/>
  <c r="A174" i="13"/>
  <c r="B174" i="13"/>
  <c r="A175" i="13"/>
  <c r="B175" i="13"/>
  <c r="A176" i="13"/>
  <c r="B176" i="13"/>
  <c r="A177" i="13"/>
  <c r="B177" i="13"/>
  <c r="A178" i="13"/>
  <c r="B178" i="13"/>
  <c r="A179" i="13"/>
  <c r="B179" i="13"/>
  <c r="A180" i="13"/>
  <c r="B180" i="13"/>
  <c r="A181" i="13"/>
  <c r="B181" i="13"/>
  <c r="A182" i="13"/>
  <c r="B182" i="13"/>
  <c r="A183" i="13"/>
  <c r="B183" i="13"/>
  <c r="A184" i="13"/>
  <c r="B184" i="13"/>
  <c r="A185" i="13"/>
  <c r="B185" i="13"/>
  <c r="A186" i="13"/>
  <c r="B186" i="13"/>
  <c r="A187" i="13"/>
  <c r="B187" i="13"/>
  <c r="A188" i="13"/>
  <c r="B188" i="13"/>
  <c r="A189" i="13"/>
  <c r="B189" i="13"/>
  <c r="A190" i="13"/>
  <c r="B190" i="13"/>
  <c r="A191" i="13"/>
  <c r="B191" i="13"/>
  <c r="A192" i="13"/>
  <c r="B192" i="13"/>
  <c r="A193" i="13"/>
  <c r="B193" i="13"/>
  <c r="A194" i="13"/>
  <c r="B194" i="13"/>
  <c r="A195" i="13"/>
  <c r="B195" i="13"/>
  <c r="A196" i="13"/>
  <c r="B196" i="13"/>
  <c r="A197" i="13"/>
  <c r="B197" i="13"/>
  <c r="A198" i="13"/>
  <c r="B198" i="13"/>
  <c r="A199" i="13"/>
  <c r="B199" i="13"/>
  <c r="A200" i="13"/>
  <c r="B200" i="13"/>
  <c r="A201" i="13"/>
  <c r="B201" i="13"/>
  <c r="A202" i="13"/>
  <c r="B202" i="13"/>
  <c r="A203" i="13"/>
  <c r="B203" i="13"/>
  <c r="A204" i="13"/>
  <c r="B204" i="13"/>
  <c r="A205" i="13"/>
  <c r="B205" i="13"/>
  <c r="A206" i="13"/>
  <c r="B206" i="13"/>
  <c r="A207" i="13"/>
  <c r="B207" i="13"/>
  <c r="A208" i="13"/>
  <c r="B208" i="13"/>
  <c r="A209" i="13"/>
  <c r="B209" i="13"/>
  <c r="A210" i="13"/>
  <c r="B210" i="13"/>
  <c r="A211" i="13"/>
  <c r="B211" i="13"/>
  <c r="A212" i="13"/>
  <c r="B212" i="13"/>
  <c r="A213" i="13"/>
  <c r="B213" i="13"/>
  <c r="A214" i="13"/>
  <c r="B214" i="13"/>
  <c r="A215" i="13"/>
  <c r="B215" i="13"/>
  <c r="A216" i="13"/>
  <c r="B216" i="13"/>
  <c r="A217" i="13"/>
  <c r="B217" i="13"/>
  <c r="A218" i="13"/>
  <c r="B218" i="13"/>
  <c r="A220" i="13"/>
  <c r="B220" i="13"/>
  <c r="A221" i="13"/>
  <c r="B221" i="13"/>
  <c r="A222" i="13"/>
  <c r="B222" i="13"/>
  <c r="A223" i="13"/>
  <c r="B223" i="13"/>
  <c r="A224" i="13"/>
  <c r="B224" i="13"/>
  <c r="A225" i="13"/>
  <c r="B225" i="13"/>
  <c r="A226" i="13"/>
  <c r="B226" i="13"/>
  <c r="A227" i="13"/>
  <c r="B227" i="13"/>
  <c r="A228" i="13"/>
  <c r="B228" i="13"/>
  <c r="A229" i="13"/>
  <c r="B229" i="13"/>
  <c r="A230" i="13"/>
  <c r="B230" i="13"/>
  <c r="A231" i="13"/>
  <c r="B231" i="13"/>
  <c r="A232" i="13"/>
  <c r="B232" i="13"/>
  <c r="A233" i="13"/>
  <c r="B233" i="13"/>
  <c r="A234" i="13"/>
  <c r="B234" i="13"/>
  <c r="A235" i="13"/>
  <c r="B235" i="13"/>
  <c r="A236" i="13"/>
  <c r="B236" i="13"/>
  <c r="A237" i="13"/>
  <c r="B237" i="13"/>
  <c r="A238" i="13"/>
  <c r="B238" i="13"/>
  <c r="A239" i="13"/>
  <c r="B239" i="13"/>
  <c r="A240" i="13"/>
  <c r="B240" i="13"/>
  <c r="A241" i="13"/>
  <c r="B241" i="13"/>
  <c r="A242" i="13"/>
  <c r="B242" i="13"/>
  <c r="A243" i="13"/>
  <c r="B243" i="13"/>
  <c r="A245" i="13"/>
  <c r="B245" i="13"/>
  <c r="A246" i="13"/>
  <c r="B246" i="13"/>
  <c r="A247" i="13"/>
  <c r="B247" i="13"/>
  <c r="A248" i="13"/>
  <c r="B248" i="13"/>
  <c r="A249" i="13"/>
  <c r="B249" i="13"/>
  <c r="A250" i="13"/>
  <c r="B250" i="13"/>
  <c r="A251" i="13"/>
  <c r="B251" i="13"/>
  <c r="A252" i="13"/>
  <c r="B252" i="13"/>
  <c r="A253" i="13"/>
  <c r="B253" i="13"/>
  <c r="A254" i="13"/>
  <c r="B254" i="13"/>
  <c r="A255" i="13"/>
  <c r="B255" i="13"/>
  <c r="A256" i="13"/>
  <c r="B256" i="13"/>
  <c r="A257" i="13"/>
  <c r="B257" i="13"/>
  <c r="A258" i="13"/>
  <c r="B258" i="13"/>
  <c r="A259" i="13"/>
  <c r="B259" i="13"/>
  <c r="A260" i="13"/>
  <c r="B260" i="13"/>
  <c r="A261" i="13"/>
  <c r="B261" i="13"/>
  <c r="A262" i="13"/>
  <c r="B262" i="13"/>
  <c r="A263" i="13"/>
  <c r="B263" i="13"/>
  <c r="A264" i="13"/>
  <c r="B264" i="13"/>
  <c r="A265" i="13"/>
  <c r="B265" i="13"/>
  <c r="A266" i="13"/>
  <c r="B266" i="13"/>
  <c r="A267" i="13"/>
  <c r="B267" i="13"/>
  <c r="A268" i="13"/>
  <c r="B268" i="13"/>
  <c r="A269" i="13"/>
  <c r="B269" i="13"/>
  <c r="A270" i="13"/>
  <c r="B270" i="13"/>
  <c r="A271" i="13"/>
  <c r="B271" i="13"/>
  <c r="A272" i="13"/>
  <c r="B272" i="13"/>
  <c r="A273" i="13"/>
  <c r="B273" i="13"/>
  <c r="A274" i="13"/>
  <c r="B274" i="13"/>
  <c r="A275" i="13"/>
  <c r="B275" i="13"/>
  <c r="A276" i="13"/>
  <c r="B276" i="13"/>
  <c r="A277" i="13"/>
  <c r="B277" i="13"/>
  <c r="A278" i="13"/>
  <c r="B278" i="13"/>
  <c r="A279" i="13"/>
  <c r="B279" i="13"/>
  <c r="A280" i="13"/>
  <c r="B280" i="13"/>
  <c r="A281" i="13"/>
  <c r="B281" i="13"/>
  <c r="A282" i="13"/>
  <c r="B282" i="13"/>
  <c r="A283" i="13"/>
  <c r="B283" i="13"/>
  <c r="A284" i="13"/>
  <c r="B284" i="13"/>
  <c r="A285" i="13"/>
  <c r="B285" i="13"/>
  <c r="A286" i="13"/>
  <c r="B286" i="13"/>
  <c r="A287" i="13"/>
  <c r="B287" i="13"/>
  <c r="A288" i="13"/>
  <c r="B288" i="13"/>
  <c r="A289" i="13"/>
  <c r="B289" i="13"/>
  <c r="A290" i="13"/>
  <c r="B290" i="13"/>
  <c r="A291" i="13"/>
  <c r="B291" i="13"/>
  <c r="A292" i="13"/>
  <c r="B292" i="13"/>
  <c r="A293" i="13"/>
  <c r="B293" i="13"/>
  <c r="A294" i="13"/>
  <c r="B294" i="13"/>
  <c r="A295" i="13"/>
  <c r="B295" i="13"/>
  <c r="A296" i="13"/>
  <c r="B296" i="13"/>
  <c r="A297" i="13"/>
  <c r="B297" i="13"/>
  <c r="A298" i="13"/>
  <c r="B298" i="13"/>
  <c r="A299" i="13"/>
  <c r="B299" i="13"/>
  <c r="A300" i="13"/>
  <c r="B300" i="13"/>
  <c r="A301" i="13"/>
  <c r="B301" i="13"/>
  <c r="A302" i="13"/>
  <c r="B302" i="13"/>
  <c r="A303" i="13"/>
  <c r="B303" i="13"/>
  <c r="A304" i="13"/>
  <c r="B304" i="13"/>
  <c r="A305" i="13"/>
  <c r="B305" i="13"/>
  <c r="A306" i="13"/>
  <c r="B306" i="13"/>
  <c r="A307" i="13"/>
  <c r="B307" i="13"/>
  <c r="A308" i="13"/>
  <c r="B308" i="13"/>
  <c r="A309" i="13"/>
  <c r="B309" i="13"/>
  <c r="A310" i="13"/>
  <c r="B310" i="13"/>
  <c r="A311" i="13"/>
  <c r="B311" i="13"/>
  <c r="A312" i="13"/>
  <c r="B312" i="13"/>
  <c r="A313" i="13"/>
  <c r="B313" i="13"/>
  <c r="A314" i="13"/>
  <c r="B314" i="13"/>
  <c r="B6" i="13"/>
  <c r="A6" i="13"/>
  <c r="H8" i="13"/>
  <c r="A6" i="39"/>
  <c r="B6" i="39"/>
  <c r="A7" i="39"/>
  <c r="B7" i="39"/>
  <c r="A8" i="39"/>
  <c r="B8" i="39"/>
  <c r="A9" i="39"/>
  <c r="B9" i="39"/>
  <c r="A10" i="39"/>
  <c r="B10" i="39"/>
  <c r="A11" i="39"/>
  <c r="B11" i="39"/>
  <c r="A12" i="39"/>
  <c r="B12" i="39"/>
  <c r="A13" i="39"/>
  <c r="B13" i="39"/>
  <c r="A14" i="39"/>
  <c r="B14" i="39"/>
  <c r="A15" i="39"/>
  <c r="B15" i="39"/>
  <c r="A16" i="39"/>
  <c r="B16" i="39"/>
  <c r="A17" i="39"/>
  <c r="B17" i="39"/>
  <c r="A18" i="39"/>
  <c r="B18" i="39"/>
  <c r="A19" i="39"/>
  <c r="B19" i="39"/>
  <c r="A20" i="39"/>
  <c r="B20" i="39"/>
  <c r="A21" i="39"/>
  <c r="B21" i="39"/>
  <c r="A22" i="39"/>
  <c r="B22" i="39"/>
  <c r="A23" i="39"/>
  <c r="B23" i="39"/>
  <c r="A24" i="39"/>
  <c r="B24" i="39"/>
  <c r="A25" i="39"/>
  <c r="B25" i="39"/>
  <c r="A26" i="39"/>
  <c r="B26" i="39"/>
  <c r="A27" i="39"/>
  <c r="B27" i="39"/>
  <c r="A28" i="39"/>
  <c r="B28" i="39"/>
  <c r="A29" i="39"/>
  <c r="B29" i="39"/>
  <c r="A30" i="39"/>
  <c r="B30" i="39"/>
  <c r="A31" i="39"/>
  <c r="B31" i="39"/>
  <c r="A32" i="39"/>
  <c r="B32" i="39"/>
  <c r="A33" i="39"/>
  <c r="B33" i="39"/>
  <c r="A34" i="39"/>
  <c r="B34" i="39"/>
  <c r="A35" i="39"/>
  <c r="B35" i="39"/>
  <c r="A36" i="39"/>
  <c r="B36" i="39"/>
  <c r="A37" i="39"/>
  <c r="B37" i="39"/>
  <c r="A38" i="39"/>
  <c r="B38" i="39"/>
  <c r="A39" i="39"/>
  <c r="B39" i="39"/>
  <c r="A40" i="39"/>
  <c r="B40" i="39"/>
  <c r="A41" i="39"/>
  <c r="B41" i="39"/>
  <c r="A42" i="39"/>
  <c r="B42" i="39"/>
  <c r="A43" i="39"/>
  <c r="B43" i="39"/>
  <c r="A44" i="39"/>
  <c r="B44" i="39"/>
  <c r="A45" i="39"/>
  <c r="B45" i="39"/>
  <c r="A46" i="39"/>
  <c r="B46" i="39"/>
  <c r="A47" i="39"/>
  <c r="B47" i="39"/>
  <c r="A48" i="39"/>
  <c r="B48" i="39"/>
  <c r="A49" i="39"/>
  <c r="B49" i="39"/>
  <c r="A50" i="39"/>
  <c r="B50" i="39"/>
  <c r="A51" i="39"/>
  <c r="B51" i="39"/>
  <c r="A52" i="39"/>
  <c r="B52" i="39"/>
  <c r="A53" i="39"/>
  <c r="B53" i="39"/>
  <c r="A54" i="39"/>
  <c r="B54" i="39"/>
  <c r="A55" i="39"/>
  <c r="B55" i="39"/>
  <c r="A56" i="39"/>
  <c r="B56" i="39"/>
  <c r="A57" i="39"/>
  <c r="B57" i="39"/>
  <c r="A58" i="39"/>
  <c r="B58" i="39"/>
  <c r="A59" i="39"/>
  <c r="B59" i="39"/>
  <c r="A60" i="39"/>
  <c r="B60" i="39"/>
  <c r="A61" i="39"/>
  <c r="B61" i="39"/>
  <c r="A62" i="39"/>
  <c r="B62" i="39"/>
  <c r="A63" i="39"/>
  <c r="B63" i="39"/>
  <c r="A64" i="39"/>
  <c r="B64" i="39"/>
  <c r="A65" i="39"/>
  <c r="B65" i="39"/>
  <c r="A66" i="39"/>
  <c r="B66" i="39"/>
  <c r="A67" i="39"/>
  <c r="B67" i="39"/>
  <c r="A68" i="39"/>
  <c r="B68" i="39"/>
  <c r="A69" i="39"/>
  <c r="B69" i="39"/>
  <c r="A70" i="39"/>
  <c r="B70" i="39"/>
  <c r="A71" i="39"/>
  <c r="B71" i="39"/>
  <c r="A72" i="39"/>
  <c r="B72" i="39"/>
  <c r="A73" i="39"/>
  <c r="B73" i="39"/>
  <c r="A74" i="39"/>
  <c r="B74" i="39"/>
  <c r="A75" i="39"/>
  <c r="B75" i="39"/>
  <c r="A76" i="39"/>
  <c r="B76" i="39"/>
  <c r="A77" i="39"/>
  <c r="B77" i="39"/>
  <c r="A78" i="39"/>
  <c r="B78" i="39"/>
  <c r="A79" i="39"/>
  <c r="B79" i="39"/>
  <c r="A80" i="39"/>
  <c r="B80" i="39"/>
  <c r="A81" i="39"/>
  <c r="B81" i="39"/>
  <c r="A82" i="39"/>
  <c r="B82" i="39"/>
  <c r="A83" i="39"/>
  <c r="B83" i="39"/>
  <c r="A84" i="39"/>
  <c r="B84" i="39"/>
  <c r="A85" i="39"/>
  <c r="B85" i="39"/>
  <c r="A86" i="39"/>
  <c r="B86" i="39"/>
  <c r="A87" i="39"/>
  <c r="B87" i="39"/>
  <c r="A88" i="39"/>
  <c r="B88" i="39"/>
  <c r="A89" i="39"/>
  <c r="B89" i="39"/>
  <c r="A90" i="39"/>
  <c r="B90" i="39"/>
  <c r="A91" i="39"/>
  <c r="B91" i="39"/>
  <c r="A92" i="39"/>
  <c r="B92" i="39"/>
  <c r="A93" i="39"/>
  <c r="B93" i="39"/>
  <c r="A94" i="39"/>
  <c r="B94" i="39"/>
  <c r="A95" i="39"/>
  <c r="B95" i="39"/>
  <c r="A96" i="39"/>
  <c r="B96" i="39"/>
  <c r="A97" i="39"/>
  <c r="B97" i="39"/>
  <c r="A98" i="39"/>
  <c r="B98" i="39"/>
  <c r="A99" i="39"/>
  <c r="B99" i="39"/>
  <c r="A100" i="39"/>
  <c r="B100" i="39"/>
  <c r="A101" i="39"/>
  <c r="B101" i="39"/>
  <c r="A102" i="39"/>
  <c r="B102" i="39"/>
  <c r="A103" i="39"/>
  <c r="B103" i="39"/>
  <c r="A104" i="39"/>
  <c r="B104" i="39"/>
  <c r="A105" i="39"/>
  <c r="B105" i="39"/>
  <c r="A106" i="39"/>
  <c r="B106" i="39"/>
  <c r="A107" i="39"/>
  <c r="B107" i="39"/>
  <c r="A108" i="39"/>
  <c r="B108" i="39"/>
  <c r="A109" i="39"/>
  <c r="B109" i="39"/>
  <c r="A110" i="39"/>
  <c r="B110" i="39"/>
  <c r="A111" i="39"/>
  <c r="B111" i="39"/>
  <c r="A112" i="39"/>
  <c r="B112" i="39"/>
  <c r="A113" i="39"/>
  <c r="B113" i="39"/>
  <c r="A114" i="39"/>
  <c r="B114" i="39"/>
  <c r="A115" i="39"/>
  <c r="B115" i="39"/>
  <c r="A116" i="39"/>
  <c r="B116" i="39"/>
  <c r="A117" i="39"/>
  <c r="B117" i="39"/>
  <c r="A118" i="39"/>
  <c r="B118" i="39"/>
  <c r="A119" i="39"/>
  <c r="B119" i="39"/>
  <c r="A120" i="39"/>
  <c r="B120" i="39"/>
  <c r="A121" i="39"/>
  <c r="B121" i="39"/>
  <c r="A122" i="39"/>
  <c r="B122" i="39"/>
  <c r="A123" i="39"/>
  <c r="B123" i="39"/>
  <c r="A124" i="39"/>
  <c r="B124" i="39"/>
  <c r="A125" i="39"/>
  <c r="B125" i="39"/>
  <c r="A126" i="39"/>
  <c r="B126" i="39"/>
  <c r="A127" i="39"/>
  <c r="B127" i="39"/>
  <c r="A128" i="39"/>
  <c r="B128" i="39"/>
  <c r="A129" i="39"/>
  <c r="B129" i="39"/>
  <c r="A130" i="39"/>
  <c r="B130" i="39"/>
  <c r="A131" i="39"/>
  <c r="B131" i="39"/>
  <c r="A132" i="39"/>
  <c r="B132" i="39"/>
  <c r="A133" i="39"/>
  <c r="B133" i="39"/>
  <c r="A134" i="39"/>
  <c r="B134" i="39"/>
  <c r="A135" i="39"/>
  <c r="B135" i="39"/>
  <c r="A136" i="39"/>
  <c r="B136" i="39"/>
  <c r="A137" i="39"/>
  <c r="B137" i="39"/>
  <c r="A138" i="39"/>
  <c r="B138" i="39"/>
  <c r="A139" i="39"/>
  <c r="B139" i="39"/>
  <c r="A140" i="39"/>
  <c r="B140" i="39"/>
  <c r="A141" i="39"/>
  <c r="B141" i="39"/>
  <c r="A142" i="39"/>
  <c r="B142" i="39"/>
  <c r="A143" i="39"/>
  <c r="B143" i="39"/>
  <c r="A144" i="39"/>
  <c r="B144" i="39"/>
  <c r="A145" i="39"/>
  <c r="B145" i="39"/>
  <c r="A146" i="39"/>
  <c r="B146" i="39"/>
  <c r="A147" i="39"/>
  <c r="B147" i="39"/>
  <c r="A148" i="39"/>
  <c r="B148" i="39"/>
  <c r="A149" i="39"/>
  <c r="B149" i="39"/>
  <c r="A150" i="39"/>
  <c r="B150" i="39"/>
  <c r="A151" i="39"/>
  <c r="B151" i="39"/>
  <c r="A152" i="39"/>
  <c r="B152" i="39"/>
  <c r="A153" i="39"/>
  <c r="B153" i="39"/>
  <c r="A154" i="39"/>
  <c r="B154" i="39"/>
  <c r="A155" i="39"/>
  <c r="B155" i="39"/>
  <c r="A156" i="39"/>
  <c r="B156" i="39"/>
  <c r="A157" i="39"/>
  <c r="B157" i="39"/>
  <c r="A158" i="39"/>
  <c r="B158" i="39"/>
  <c r="A159" i="39"/>
  <c r="B159" i="39"/>
  <c r="A160" i="39"/>
  <c r="B160" i="39"/>
  <c r="A161" i="39"/>
  <c r="B161" i="39"/>
  <c r="A162" i="39"/>
  <c r="B162" i="39"/>
  <c r="A163" i="39"/>
  <c r="B163" i="39"/>
  <c r="A164" i="39"/>
  <c r="B164" i="39"/>
  <c r="A165" i="39"/>
  <c r="B165" i="39"/>
  <c r="A166" i="39"/>
  <c r="B166" i="39"/>
  <c r="A167" i="39"/>
  <c r="B167" i="39"/>
  <c r="A168" i="39"/>
  <c r="B168" i="39"/>
  <c r="A170" i="39"/>
  <c r="B170" i="39"/>
  <c r="A171" i="39"/>
  <c r="B171" i="39"/>
  <c r="A172" i="39"/>
  <c r="B172" i="39"/>
  <c r="A173" i="39"/>
  <c r="B173" i="39"/>
  <c r="A174" i="39"/>
  <c r="B174" i="39"/>
  <c r="A175" i="39"/>
  <c r="B175" i="39"/>
  <c r="A176" i="39"/>
  <c r="B176" i="39"/>
  <c r="A177" i="39"/>
  <c r="B177" i="39"/>
  <c r="A178" i="39"/>
  <c r="B178" i="39"/>
  <c r="A179" i="39"/>
  <c r="B179" i="39"/>
  <c r="A180" i="39"/>
  <c r="B180" i="39"/>
  <c r="A181" i="39"/>
  <c r="B181" i="39"/>
  <c r="A182" i="39"/>
  <c r="B182" i="39"/>
  <c r="A183" i="39"/>
  <c r="B183" i="39"/>
  <c r="A184" i="39"/>
  <c r="B184" i="39"/>
  <c r="A185" i="39"/>
  <c r="B185" i="39"/>
  <c r="A186" i="39"/>
  <c r="B186" i="39"/>
  <c r="A187" i="39"/>
  <c r="B187" i="39"/>
  <c r="A188" i="39"/>
  <c r="B188" i="39"/>
  <c r="A189" i="39"/>
  <c r="B189" i="39"/>
  <c r="A190" i="39"/>
  <c r="B190" i="39"/>
  <c r="A191" i="39"/>
  <c r="B191" i="39"/>
  <c r="A192" i="39"/>
  <c r="B192" i="39"/>
  <c r="A193" i="39"/>
  <c r="B193" i="39"/>
  <c r="A194" i="39"/>
  <c r="B194" i="39"/>
  <c r="A195" i="39"/>
  <c r="B195" i="39"/>
  <c r="A196" i="39"/>
  <c r="B196" i="39"/>
  <c r="A197" i="39"/>
  <c r="B197" i="39"/>
  <c r="A198" i="39"/>
  <c r="B198" i="39"/>
  <c r="A199" i="39"/>
  <c r="B199" i="39"/>
  <c r="A200" i="39"/>
  <c r="B200" i="39"/>
  <c r="A201" i="39"/>
  <c r="B201" i="39"/>
  <c r="A202" i="39"/>
  <c r="B202" i="39"/>
  <c r="A203" i="39"/>
  <c r="B203" i="39"/>
  <c r="A204" i="39"/>
  <c r="B204" i="39"/>
  <c r="A205" i="39"/>
  <c r="B205" i="39"/>
  <c r="A206" i="39"/>
  <c r="B206" i="39"/>
  <c r="A207" i="39"/>
  <c r="B207" i="39"/>
  <c r="A208" i="39"/>
  <c r="B208" i="39"/>
  <c r="A209" i="39"/>
  <c r="B209" i="39"/>
  <c r="A210" i="39"/>
  <c r="B210" i="39"/>
  <c r="A211" i="39"/>
  <c r="B211" i="39"/>
  <c r="A212" i="39"/>
  <c r="B212" i="39"/>
  <c r="A213" i="39"/>
  <c r="B213" i="39"/>
  <c r="A214" i="39"/>
  <c r="B214" i="39"/>
  <c r="A215" i="39"/>
  <c r="B215" i="39"/>
  <c r="A216" i="39"/>
  <c r="B216" i="39"/>
  <c r="A217" i="39"/>
  <c r="B217" i="39"/>
  <c r="A219" i="39"/>
  <c r="B219" i="39"/>
  <c r="A220" i="39"/>
  <c r="B220" i="39"/>
  <c r="A221" i="39"/>
  <c r="B221" i="39"/>
  <c r="A222" i="39"/>
  <c r="B222" i="39"/>
  <c r="A223" i="39"/>
  <c r="B223" i="39"/>
  <c r="A224" i="39"/>
  <c r="B224" i="39"/>
  <c r="A225" i="39"/>
  <c r="B225" i="39"/>
  <c r="A226" i="39"/>
  <c r="B226" i="39"/>
  <c r="A227" i="39"/>
  <c r="B227" i="39"/>
  <c r="A228" i="39"/>
  <c r="B228" i="39"/>
  <c r="A229" i="39"/>
  <c r="B229" i="39"/>
  <c r="A230" i="39"/>
  <c r="B230" i="39"/>
  <c r="A231" i="39"/>
  <c r="B231" i="39"/>
  <c r="A232" i="39"/>
  <c r="B232" i="39"/>
  <c r="A233" i="39"/>
  <c r="B233" i="39"/>
  <c r="A234" i="39"/>
  <c r="B234" i="39"/>
  <c r="A235" i="39"/>
  <c r="B235" i="39"/>
  <c r="A236" i="39"/>
  <c r="B236" i="39"/>
  <c r="A237" i="39"/>
  <c r="B237" i="39"/>
  <c r="A238" i="39"/>
  <c r="B238" i="39"/>
  <c r="A239" i="39"/>
  <c r="B239" i="39"/>
  <c r="A240" i="39"/>
  <c r="B240" i="39"/>
  <c r="A241" i="39"/>
  <c r="B241" i="39"/>
  <c r="A242" i="39"/>
  <c r="B242" i="39"/>
  <c r="A244" i="39"/>
  <c r="B244" i="39"/>
  <c r="A245" i="39"/>
  <c r="B245" i="39"/>
  <c r="A246" i="39"/>
  <c r="B246" i="39"/>
  <c r="A247" i="39"/>
  <c r="B247" i="39"/>
  <c r="A248" i="39"/>
  <c r="B248" i="39"/>
  <c r="A249" i="39"/>
  <c r="B249" i="39"/>
  <c r="A250" i="39"/>
  <c r="B250" i="39"/>
  <c r="A251" i="39"/>
  <c r="B251" i="39"/>
  <c r="A252" i="39"/>
  <c r="B252" i="39"/>
  <c r="A253" i="39"/>
  <c r="B253" i="39"/>
  <c r="A254" i="39"/>
  <c r="B254" i="39"/>
  <c r="A255" i="39"/>
  <c r="B255" i="39"/>
  <c r="A256" i="39"/>
  <c r="B256" i="39"/>
  <c r="A257" i="39"/>
  <c r="B257" i="39"/>
  <c r="A258" i="39"/>
  <c r="B258" i="39"/>
  <c r="A259" i="39"/>
  <c r="B259" i="39"/>
  <c r="A260" i="39"/>
  <c r="B260" i="39"/>
  <c r="A261" i="39"/>
  <c r="B261" i="39"/>
  <c r="A262" i="39"/>
  <c r="B262" i="39"/>
  <c r="A263" i="39"/>
  <c r="B263" i="39"/>
  <c r="A264" i="39"/>
  <c r="B264" i="39"/>
  <c r="A265" i="39"/>
  <c r="B265" i="39"/>
  <c r="A266" i="39"/>
  <c r="B266" i="39"/>
  <c r="A267" i="39"/>
  <c r="B267" i="39"/>
  <c r="A268" i="39"/>
  <c r="B268" i="39"/>
  <c r="A269" i="39"/>
  <c r="B269" i="39"/>
  <c r="A270" i="39"/>
  <c r="B270" i="39"/>
  <c r="A271" i="39"/>
  <c r="B271" i="39"/>
  <c r="A272" i="39"/>
  <c r="B272" i="39"/>
  <c r="A273" i="39"/>
  <c r="B273" i="39"/>
  <c r="A274" i="39"/>
  <c r="B274" i="39"/>
  <c r="A275" i="39"/>
  <c r="B275" i="39"/>
  <c r="A276" i="39"/>
  <c r="B276" i="39"/>
  <c r="A277" i="39"/>
  <c r="B277" i="39"/>
  <c r="A278" i="39"/>
  <c r="B278" i="39"/>
  <c r="A279" i="39"/>
  <c r="B279" i="39"/>
  <c r="A280" i="39"/>
  <c r="B280" i="39"/>
  <c r="A281" i="39"/>
  <c r="B281" i="39"/>
  <c r="A282" i="39"/>
  <c r="B282" i="39"/>
  <c r="A283" i="39"/>
  <c r="B283" i="39"/>
  <c r="A284" i="39"/>
  <c r="B284" i="39"/>
  <c r="A285" i="39"/>
  <c r="B285" i="39"/>
  <c r="A286" i="39"/>
  <c r="B286" i="39"/>
  <c r="A287" i="39"/>
  <c r="B287" i="39"/>
  <c r="A288" i="39"/>
  <c r="B288" i="39"/>
  <c r="A289" i="39"/>
  <c r="B289" i="39"/>
  <c r="A290" i="39"/>
  <c r="B290" i="39"/>
  <c r="A291" i="39"/>
  <c r="B291" i="39"/>
  <c r="A292" i="39"/>
  <c r="B292" i="39"/>
  <c r="A293" i="39"/>
  <c r="B293" i="39"/>
  <c r="A294" i="39"/>
  <c r="B294" i="39"/>
  <c r="A295" i="39"/>
  <c r="B295" i="39"/>
  <c r="A296" i="39"/>
  <c r="B296" i="39"/>
  <c r="A297" i="39"/>
  <c r="B297" i="39"/>
  <c r="A298" i="39"/>
  <c r="B298" i="39"/>
  <c r="A299" i="39"/>
  <c r="B299" i="39"/>
  <c r="A300" i="39"/>
  <c r="B300" i="39"/>
  <c r="A301" i="39"/>
  <c r="B301" i="39"/>
  <c r="A302" i="39"/>
  <c r="B302" i="39"/>
  <c r="A303" i="39"/>
  <c r="B303" i="39"/>
  <c r="A304" i="39"/>
  <c r="B304" i="39"/>
  <c r="A305" i="39"/>
  <c r="B305" i="39"/>
  <c r="A306" i="39"/>
  <c r="B306" i="39"/>
  <c r="A307" i="39"/>
  <c r="B307" i="39"/>
  <c r="A308" i="39"/>
  <c r="B308" i="39"/>
  <c r="A309" i="39"/>
  <c r="B309" i="39"/>
  <c r="A310" i="39"/>
  <c r="B310" i="39"/>
  <c r="A311" i="39"/>
  <c r="B311" i="39"/>
  <c r="A312" i="39"/>
  <c r="B312" i="39"/>
  <c r="A313" i="39"/>
  <c r="B313" i="39"/>
  <c r="B5" i="39"/>
  <c r="A5" i="39"/>
  <c r="A6" i="12"/>
  <c r="B6" i="12"/>
  <c r="A7" i="12"/>
  <c r="B7" i="12"/>
  <c r="A8" i="12"/>
  <c r="B8" i="12"/>
  <c r="A9" i="12"/>
  <c r="B9" i="12"/>
  <c r="A10" i="12"/>
  <c r="B10" i="12"/>
  <c r="A11" i="12"/>
  <c r="B11" i="12"/>
  <c r="A12" i="12"/>
  <c r="B12" i="12"/>
  <c r="A13" i="12"/>
  <c r="B13" i="12"/>
  <c r="A14" i="12"/>
  <c r="B14" i="12"/>
  <c r="A15" i="12"/>
  <c r="B15" i="12"/>
  <c r="A16" i="12"/>
  <c r="B16" i="12"/>
  <c r="A17" i="12"/>
  <c r="B17" i="12"/>
  <c r="A18" i="12"/>
  <c r="B18" i="12"/>
  <c r="A19" i="12"/>
  <c r="B19" i="12"/>
  <c r="A20" i="12"/>
  <c r="B20" i="12"/>
  <c r="A21" i="12"/>
  <c r="B21" i="12"/>
  <c r="A22" i="12"/>
  <c r="B22" i="12"/>
  <c r="A23" i="12"/>
  <c r="B23" i="12"/>
  <c r="A24" i="12"/>
  <c r="B24" i="12"/>
  <c r="A25" i="12"/>
  <c r="B25" i="12"/>
  <c r="A26" i="12"/>
  <c r="B26" i="12"/>
  <c r="A27" i="12"/>
  <c r="B27" i="12"/>
  <c r="A28" i="12"/>
  <c r="B28" i="12"/>
  <c r="A29" i="12"/>
  <c r="B29" i="12"/>
  <c r="A30" i="12"/>
  <c r="B30" i="12"/>
  <c r="A31" i="12"/>
  <c r="B31" i="12"/>
  <c r="A32" i="12"/>
  <c r="B32" i="12"/>
  <c r="A33" i="12"/>
  <c r="B33" i="12"/>
  <c r="A34" i="12"/>
  <c r="B34" i="12"/>
  <c r="A35" i="12"/>
  <c r="B35" i="12"/>
  <c r="A36" i="12"/>
  <c r="B36" i="12"/>
  <c r="A37" i="12"/>
  <c r="B37" i="12"/>
  <c r="A38" i="12"/>
  <c r="B38" i="12"/>
  <c r="A39" i="12"/>
  <c r="B39" i="12"/>
  <c r="A40" i="12"/>
  <c r="B40" i="12"/>
  <c r="A41" i="12"/>
  <c r="B41" i="12"/>
  <c r="A42" i="12"/>
  <c r="B42" i="12"/>
  <c r="A43" i="12"/>
  <c r="B43" i="12"/>
  <c r="A44" i="12"/>
  <c r="B44" i="12"/>
  <c r="A45" i="12"/>
  <c r="B45" i="12"/>
  <c r="A46" i="12"/>
  <c r="B46" i="12"/>
  <c r="A47" i="12"/>
  <c r="B47" i="12"/>
  <c r="A48" i="12"/>
  <c r="B48" i="12"/>
  <c r="A49" i="12"/>
  <c r="B49" i="12"/>
  <c r="A50" i="12"/>
  <c r="B50" i="12"/>
  <c r="A51" i="12"/>
  <c r="B51" i="12"/>
  <c r="A52" i="12"/>
  <c r="B52" i="12"/>
  <c r="A53" i="12"/>
  <c r="B53" i="12"/>
  <c r="A54" i="12"/>
  <c r="B54" i="12"/>
  <c r="A55" i="12"/>
  <c r="B55" i="12"/>
  <c r="A56" i="12"/>
  <c r="B56" i="12"/>
  <c r="A57" i="12"/>
  <c r="B57" i="12"/>
  <c r="A58" i="12"/>
  <c r="B58" i="12"/>
  <c r="A59" i="12"/>
  <c r="B59" i="12"/>
  <c r="A60" i="12"/>
  <c r="B60" i="12"/>
  <c r="A61" i="12"/>
  <c r="B61" i="12"/>
  <c r="A62" i="12"/>
  <c r="B62" i="12"/>
  <c r="A63" i="12"/>
  <c r="B63" i="12"/>
  <c r="A64" i="12"/>
  <c r="B64" i="12"/>
  <c r="A65" i="12"/>
  <c r="B65" i="12"/>
  <c r="A66" i="12"/>
  <c r="B66" i="12"/>
  <c r="A67" i="12"/>
  <c r="B67" i="12"/>
  <c r="A68" i="12"/>
  <c r="B68" i="12"/>
  <c r="A69" i="12"/>
  <c r="B69" i="12"/>
  <c r="A70" i="12"/>
  <c r="B70" i="12"/>
  <c r="A71" i="12"/>
  <c r="B71" i="12"/>
  <c r="A72" i="12"/>
  <c r="B72" i="12"/>
  <c r="A73" i="12"/>
  <c r="B73" i="12"/>
  <c r="A74" i="12"/>
  <c r="B74" i="12"/>
  <c r="A75" i="12"/>
  <c r="B75" i="12"/>
  <c r="A76" i="12"/>
  <c r="B76" i="12"/>
  <c r="A77" i="12"/>
  <c r="B77" i="12"/>
  <c r="A78" i="12"/>
  <c r="B78" i="12"/>
  <c r="A79" i="12"/>
  <c r="B79" i="12"/>
  <c r="A80" i="12"/>
  <c r="B80" i="12"/>
  <c r="A81" i="12"/>
  <c r="B81" i="12"/>
  <c r="A82" i="12"/>
  <c r="B82" i="12"/>
  <c r="A83" i="12"/>
  <c r="B83" i="12"/>
  <c r="A84" i="12"/>
  <c r="B84" i="12"/>
  <c r="A85" i="12"/>
  <c r="B85" i="12"/>
  <c r="A86" i="12"/>
  <c r="B86" i="12"/>
  <c r="A87" i="12"/>
  <c r="B87" i="12"/>
  <c r="A88" i="12"/>
  <c r="B88" i="12"/>
  <c r="A89" i="12"/>
  <c r="B89" i="12"/>
  <c r="A90" i="12"/>
  <c r="B90" i="12"/>
  <c r="A91" i="12"/>
  <c r="B91" i="12"/>
  <c r="A92" i="12"/>
  <c r="B92" i="12"/>
  <c r="A93" i="12"/>
  <c r="B93" i="12"/>
  <c r="A94" i="12"/>
  <c r="B94" i="12"/>
  <c r="A95" i="12"/>
  <c r="B95" i="12"/>
  <c r="A96" i="12"/>
  <c r="B96" i="12"/>
  <c r="A97" i="12"/>
  <c r="B97" i="12"/>
  <c r="A98" i="12"/>
  <c r="B98" i="12"/>
  <c r="A99" i="12"/>
  <c r="B99" i="12"/>
  <c r="A100" i="12"/>
  <c r="B100" i="12"/>
  <c r="A101" i="12"/>
  <c r="B101" i="12"/>
  <c r="A102" i="12"/>
  <c r="B102" i="12"/>
  <c r="A103" i="12"/>
  <c r="B103" i="12"/>
  <c r="A104" i="12"/>
  <c r="B104" i="12"/>
  <c r="A105" i="12"/>
  <c r="B105" i="12"/>
  <c r="A106" i="12"/>
  <c r="B106" i="12"/>
  <c r="A107" i="12"/>
  <c r="B107" i="12"/>
  <c r="A108" i="12"/>
  <c r="B108" i="12"/>
  <c r="A109" i="12"/>
  <c r="B109" i="12"/>
  <c r="A110" i="12"/>
  <c r="B110" i="12"/>
  <c r="A111" i="12"/>
  <c r="B111" i="12"/>
  <c r="A112" i="12"/>
  <c r="B112" i="12"/>
  <c r="A113" i="12"/>
  <c r="B113" i="12"/>
  <c r="A114" i="12"/>
  <c r="B114" i="12"/>
  <c r="A115" i="12"/>
  <c r="B115" i="12"/>
  <c r="A116" i="12"/>
  <c r="B116" i="12"/>
  <c r="A117" i="12"/>
  <c r="B117" i="12"/>
  <c r="A118" i="12"/>
  <c r="B118" i="12"/>
  <c r="A119" i="12"/>
  <c r="B119" i="12"/>
  <c r="A120" i="12"/>
  <c r="B120" i="12"/>
  <c r="A121" i="12"/>
  <c r="B121" i="12"/>
  <c r="A122" i="12"/>
  <c r="B122" i="12"/>
  <c r="A123" i="12"/>
  <c r="B123" i="12"/>
  <c r="A124" i="12"/>
  <c r="B124" i="12"/>
  <c r="A125" i="12"/>
  <c r="B125" i="12"/>
  <c r="A126" i="12"/>
  <c r="B126" i="12"/>
  <c r="A127" i="12"/>
  <c r="B127" i="12"/>
  <c r="A128" i="12"/>
  <c r="B128" i="12"/>
  <c r="A129" i="12"/>
  <c r="B129" i="12"/>
  <c r="A130" i="12"/>
  <c r="B130" i="12"/>
  <c r="A131" i="12"/>
  <c r="B131" i="12"/>
  <c r="A132" i="12"/>
  <c r="B132" i="12"/>
  <c r="A133" i="12"/>
  <c r="B133" i="12"/>
  <c r="A134" i="12"/>
  <c r="B134" i="12"/>
  <c r="A135" i="12"/>
  <c r="B135" i="12"/>
  <c r="A136" i="12"/>
  <c r="B136" i="12"/>
  <c r="A137" i="12"/>
  <c r="B137" i="12"/>
  <c r="A138" i="12"/>
  <c r="B138" i="12"/>
  <c r="A139" i="12"/>
  <c r="B139" i="12"/>
  <c r="A140" i="12"/>
  <c r="B140" i="12"/>
  <c r="A141" i="12"/>
  <c r="B141" i="12"/>
  <c r="A142" i="12"/>
  <c r="B142" i="12"/>
  <c r="A143" i="12"/>
  <c r="B143" i="12"/>
  <c r="A144" i="12"/>
  <c r="B144" i="12"/>
  <c r="A145" i="12"/>
  <c r="B145" i="12"/>
  <c r="A146" i="12"/>
  <c r="B146" i="12"/>
  <c r="A147" i="12"/>
  <c r="B147" i="12"/>
  <c r="A148" i="12"/>
  <c r="B148" i="12"/>
  <c r="A149" i="12"/>
  <c r="B149" i="12"/>
  <c r="A150" i="12"/>
  <c r="B150" i="12"/>
  <c r="A151" i="12"/>
  <c r="B151" i="12"/>
  <c r="A152" i="12"/>
  <c r="B152" i="12"/>
  <c r="A153" i="12"/>
  <c r="B153" i="12"/>
  <c r="A154" i="12"/>
  <c r="B154" i="12"/>
  <c r="A155" i="12"/>
  <c r="B155" i="12"/>
  <c r="A156" i="12"/>
  <c r="B156" i="12"/>
  <c r="A157" i="12"/>
  <c r="B157" i="12"/>
  <c r="A158" i="12"/>
  <c r="B158" i="12"/>
  <c r="A159" i="12"/>
  <c r="B159" i="12"/>
  <c r="A160" i="12"/>
  <c r="B160" i="12"/>
  <c r="A161" i="12"/>
  <c r="B161" i="12"/>
  <c r="A162" i="12"/>
  <c r="B162" i="12"/>
  <c r="A163" i="12"/>
  <c r="B163" i="12"/>
  <c r="A164" i="12"/>
  <c r="B164" i="12"/>
  <c r="A165" i="12"/>
  <c r="B165" i="12"/>
  <c r="A166" i="12"/>
  <c r="B166" i="12"/>
  <c r="A167" i="12"/>
  <c r="B167" i="12"/>
  <c r="A168" i="12"/>
  <c r="B168" i="12"/>
  <c r="A170" i="12"/>
  <c r="B170" i="12"/>
  <c r="A171" i="12"/>
  <c r="B171" i="12"/>
  <c r="A172" i="12"/>
  <c r="B172" i="12"/>
  <c r="A173" i="12"/>
  <c r="B173" i="12"/>
  <c r="A174" i="12"/>
  <c r="B174" i="12"/>
  <c r="A175" i="12"/>
  <c r="B175" i="12"/>
  <c r="A176" i="12"/>
  <c r="B176" i="12"/>
  <c r="A177" i="12"/>
  <c r="B177" i="12"/>
  <c r="A178" i="12"/>
  <c r="B178" i="12"/>
  <c r="A179" i="12"/>
  <c r="B179" i="12"/>
  <c r="A180" i="12"/>
  <c r="B180" i="12"/>
  <c r="A181" i="12"/>
  <c r="B181" i="12"/>
  <c r="A182" i="12"/>
  <c r="B182" i="12"/>
  <c r="A183" i="12"/>
  <c r="B183" i="12"/>
  <c r="A184" i="12"/>
  <c r="B184" i="12"/>
  <c r="A185" i="12"/>
  <c r="B185" i="12"/>
  <c r="A186" i="12"/>
  <c r="B186" i="12"/>
  <c r="A187" i="12"/>
  <c r="B187" i="12"/>
  <c r="A188" i="12"/>
  <c r="B188" i="12"/>
  <c r="A189" i="12"/>
  <c r="B189" i="12"/>
  <c r="A190" i="12"/>
  <c r="B190" i="12"/>
  <c r="A191" i="12"/>
  <c r="B191" i="12"/>
  <c r="A192" i="12"/>
  <c r="B192" i="12"/>
  <c r="A193" i="12"/>
  <c r="B193" i="12"/>
  <c r="A194" i="12"/>
  <c r="B194" i="12"/>
  <c r="A195" i="12"/>
  <c r="B195" i="12"/>
  <c r="A196" i="12"/>
  <c r="B196" i="12"/>
  <c r="A197" i="12"/>
  <c r="B197" i="12"/>
  <c r="A198" i="12"/>
  <c r="B198" i="12"/>
  <c r="A199" i="12"/>
  <c r="B199" i="12"/>
  <c r="A200" i="12"/>
  <c r="B200" i="12"/>
  <c r="A201" i="12"/>
  <c r="B201" i="12"/>
  <c r="A202" i="12"/>
  <c r="B202" i="12"/>
  <c r="A203" i="12"/>
  <c r="B203" i="12"/>
  <c r="A204" i="12"/>
  <c r="B204" i="12"/>
  <c r="A205" i="12"/>
  <c r="B205" i="12"/>
  <c r="A206" i="12"/>
  <c r="B206" i="12"/>
  <c r="A207" i="12"/>
  <c r="B207" i="12"/>
  <c r="A208" i="12"/>
  <c r="B208" i="12"/>
  <c r="A209" i="12"/>
  <c r="B209" i="12"/>
  <c r="A210" i="12"/>
  <c r="B210" i="12"/>
  <c r="A211" i="12"/>
  <c r="B211" i="12"/>
  <c r="A212" i="12"/>
  <c r="B212" i="12"/>
  <c r="A213" i="12"/>
  <c r="B213" i="12"/>
  <c r="A214" i="12"/>
  <c r="B214" i="12"/>
  <c r="A215" i="12"/>
  <c r="B215" i="12"/>
  <c r="A216" i="12"/>
  <c r="B216" i="12"/>
  <c r="A217" i="12"/>
  <c r="B217" i="12"/>
  <c r="A219" i="12"/>
  <c r="B219" i="12"/>
  <c r="A220" i="12"/>
  <c r="B220" i="12"/>
  <c r="A221" i="12"/>
  <c r="B221" i="12"/>
  <c r="A222" i="12"/>
  <c r="B222" i="12"/>
  <c r="A223" i="12"/>
  <c r="B223" i="12"/>
  <c r="A224" i="12"/>
  <c r="B224" i="12"/>
  <c r="A225" i="12"/>
  <c r="B225" i="12"/>
  <c r="A226" i="12"/>
  <c r="B226" i="12"/>
  <c r="A227" i="12"/>
  <c r="B227" i="12"/>
  <c r="A228" i="12"/>
  <c r="B228" i="12"/>
  <c r="A229" i="12"/>
  <c r="B229" i="12"/>
  <c r="A230" i="12"/>
  <c r="B230" i="12"/>
  <c r="A231" i="12"/>
  <c r="B231" i="12"/>
  <c r="A232" i="12"/>
  <c r="B232" i="12"/>
  <c r="A233" i="12"/>
  <c r="B233" i="12"/>
  <c r="A234" i="12"/>
  <c r="B234" i="12"/>
  <c r="A235" i="12"/>
  <c r="B235" i="12"/>
  <c r="A236" i="12"/>
  <c r="B236" i="12"/>
  <c r="A237" i="12"/>
  <c r="B237" i="12"/>
  <c r="A238" i="12"/>
  <c r="B238" i="12"/>
  <c r="A239" i="12"/>
  <c r="B239" i="12"/>
  <c r="A240" i="12"/>
  <c r="B240" i="12"/>
  <c r="A241" i="12"/>
  <c r="B241" i="12"/>
  <c r="A242" i="12"/>
  <c r="B242" i="12"/>
  <c r="A244" i="12"/>
  <c r="B244" i="12"/>
  <c r="A245" i="12"/>
  <c r="B245" i="12"/>
  <c r="A246" i="12"/>
  <c r="B246" i="12"/>
  <c r="A247" i="12"/>
  <c r="B247" i="12"/>
  <c r="A248" i="12"/>
  <c r="B248" i="12"/>
  <c r="A249" i="12"/>
  <c r="B249" i="12"/>
  <c r="A250" i="12"/>
  <c r="B250" i="12"/>
  <c r="A251" i="12"/>
  <c r="B251" i="12"/>
  <c r="A252" i="12"/>
  <c r="B252" i="12"/>
  <c r="A253" i="12"/>
  <c r="B253" i="12"/>
  <c r="A254" i="12"/>
  <c r="B254" i="12"/>
  <c r="A255" i="12"/>
  <c r="B255" i="12"/>
  <c r="A256" i="12"/>
  <c r="B256" i="12"/>
  <c r="A257" i="12"/>
  <c r="B257" i="12"/>
  <c r="A258" i="12"/>
  <c r="B258" i="12"/>
  <c r="A259" i="12"/>
  <c r="B259" i="12"/>
  <c r="A260" i="12"/>
  <c r="B260" i="12"/>
  <c r="A261" i="12"/>
  <c r="B261" i="12"/>
  <c r="A262" i="12"/>
  <c r="B262" i="12"/>
  <c r="A263" i="12"/>
  <c r="B263" i="12"/>
  <c r="A264" i="12"/>
  <c r="B264" i="12"/>
  <c r="A265" i="12"/>
  <c r="B265" i="12"/>
  <c r="A266" i="12"/>
  <c r="B266" i="12"/>
  <c r="A267" i="12"/>
  <c r="B267" i="12"/>
  <c r="A268" i="12"/>
  <c r="B268" i="12"/>
  <c r="A269" i="12"/>
  <c r="B269" i="12"/>
  <c r="A270" i="12"/>
  <c r="B270" i="12"/>
  <c r="A271" i="12"/>
  <c r="B271" i="12"/>
  <c r="A272" i="12"/>
  <c r="B272" i="12"/>
  <c r="A273" i="12"/>
  <c r="B273" i="12"/>
  <c r="A274" i="12"/>
  <c r="B274" i="12"/>
  <c r="A275" i="12"/>
  <c r="B275" i="12"/>
  <c r="A276" i="12"/>
  <c r="B276" i="12"/>
  <c r="A277" i="12"/>
  <c r="B277" i="12"/>
  <c r="A278" i="12"/>
  <c r="B278" i="12"/>
  <c r="A279" i="12"/>
  <c r="B279" i="12"/>
  <c r="A280" i="12"/>
  <c r="B280" i="12"/>
  <c r="A281" i="12"/>
  <c r="B281" i="12"/>
  <c r="A282" i="12"/>
  <c r="B282" i="12"/>
  <c r="A283" i="12"/>
  <c r="B283" i="12"/>
  <c r="A284" i="12"/>
  <c r="B284" i="12"/>
  <c r="A285" i="12"/>
  <c r="B285" i="12"/>
  <c r="A286" i="12"/>
  <c r="B286" i="12"/>
  <c r="A287" i="12"/>
  <c r="B287" i="12"/>
  <c r="A288" i="12"/>
  <c r="B288" i="12"/>
  <c r="A289" i="12"/>
  <c r="B289" i="12"/>
  <c r="A290" i="12"/>
  <c r="B290" i="12"/>
  <c r="A291" i="12"/>
  <c r="B291" i="12"/>
  <c r="A292" i="12"/>
  <c r="B292" i="12"/>
  <c r="A293" i="12"/>
  <c r="B293" i="12"/>
  <c r="A294" i="12"/>
  <c r="B294" i="12"/>
  <c r="A295" i="12"/>
  <c r="B295" i="12"/>
  <c r="A296" i="12"/>
  <c r="B296" i="12"/>
  <c r="A297" i="12"/>
  <c r="B297" i="12"/>
  <c r="A298" i="12"/>
  <c r="B298" i="12"/>
  <c r="A299" i="12"/>
  <c r="B299" i="12"/>
  <c r="A300" i="12"/>
  <c r="B300" i="12"/>
  <c r="A301" i="12"/>
  <c r="B301" i="12"/>
  <c r="A302" i="12"/>
  <c r="B302" i="12"/>
  <c r="A303" i="12"/>
  <c r="B303" i="12"/>
  <c r="A304" i="12"/>
  <c r="B304" i="12"/>
  <c r="A305" i="12"/>
  <c r="B305" i="12"/>
  <c r="A306" i="12"/>
  <c r="B306" i="12"/>
  <c r="A307" i="12"/>
  <c r="B307" i="12"/>
  <c r="A308" i="12"/>
  <c r="B308" i="12"/>
  <c r="A309" i="12"/>
  <c r="B309" i="12"/>
  <c r="A310" i="12"/>
  <c r="B310" i="12"/>
  <c r="A311" i="12"/>
  <c r="B311" i="12"/>
  <c r="A312" i="12"/>
  <c r="B312" i="12"/>
  <c r="A313" i="12"/>
  <c r="B313" i="12"/>
  <c r="B5" i="12"/>
  <c r="A5" i="12"/>
  <c r="G5" i="11"/>
  <c r="K314" i="11"/>
  <c r="F314" i="11"/>
  <c r="E314" i="11"/>
  <c r="D314" i="11"/>
  <c r="D16" i="34"/>
  <c r="A17" i="34"/>
  <c r="B17" i="34"/>
  <c r="A18" i="34"/>
  <c r="B18" i="34"/>
  <c r="A19" i="34"/>
  <c r="B19" i="34"/>
  <c r="A20" i="34"/>
  <c r="B20" i="34"/>
  <c r="A21" i="34"/>
  <c r="B21" i="34"/>
  <c r="A22" i="34"/>
  <c r="B22" i="34"/>
  <c r="A23" i="34"/>
  <c r="B23" i="34"/>
  <c r="A24" i="34"/>
  <c r="B24" i="34"/>
  <c r="A25" i="34"/>
  <c r="B25" i="34"/>
  <c r="A26" i="34"/>
  <c r="B26" i="34"/>
  <c r="A27" i="34"/>
  <c r="B27" i="34"/>
  <c r="A28" i="34"/>
  <c r="B28" i="34"/>
  <c r="A29" i="34"/>
  <c r="B29" i="34"/>
  <c r="A30" i="34"/>
  <c r="B30" i="34"/>
  <c r="A31" i="34"/>
  <c r="B31" i="34"/>
  <c r="A32" i="34"/>
  <c r="B32" i="34"/>
  <c r="A33" i="34"/>
  <c r="B33" i="34"/>
  <c r="A34" i="34"/>
  <c r="B34" i="34"/>
  <c r="A35" i="34"/>
  <c r="B35" i="34"/>
  <c r="A36" i="34"/>
  <c r="B36" i="34"/>
  <c r="A37" i="34"/>
  <c r="B37" i="34"/>
  <c r="A38" i="34"/>
  <c r="B38" i="34"/>
  <c r="A39" i="34"/>
  <c r="B39" i="34"/>
  <c r="A40" i="34"/>
  <c r="B40" i="34"/>
  <c r="A41" i="34"/>
  <c r="B41" i="34"/>
  <c r="A42" i="34"/>
  <c r="B42" i="34"/>
  <c r="A43" i="34"/>
  <c r="B43" i="34"/>
  <c r="A44" i="34"/>
  <c r="B44" i="34"/>
  <c r="A45" i="34"/>
  <c r="B45" i="34"/>
  <c r="A46" i="34"/>
  <c r="B46" i="34"/>
  <c r="A47" i="34"/>
  <c r="B47" i="34"/>
  <c r="A48" i="34"/>
  <c r="B48" i="34"/>
  <c r="A49" i="34"/>
  <c r="B49" i="34"/>
  <c r="A50" i="34"/>
  <c r="B50" i="34"/>
  <c r="A51" i="34"/>
  <c r="B51" i="34"/>
  <c r="A52" i="34"/>
  <c r="B52" i="34"/>
  <c r="A53" i="34"/>
  <c r="B53" i="34"/>
  <c r="A54" i="34"/>
  <c r="B54" i="34"/>
  <c r="A55" i="34"/>
  <c r="B55" i="34"/>
  <c r="A56" i="34"/>
  <c r="B56" i="34"/>
  <c r="A57" i="34"/>
  <c r="B57" i="34"/>
  <c r="A58" i="34"/>
  <c r="B58" i="34"/>
  <c r="A59" i="34"/>
  <c r="B59" i="34"/>
  <c r="A60" i="34"/>
  <c r="B60" i="34"/>
  <c r="A61" i="34"/>
  <c r="B61" i="34"/>
  <c r="A62" i="34"/>
  <c r="B62" i="34"/>
  <c r="A63" i="34"/>
  <c r="B63" i="34"/>
  <c r="A64" i="34"/>
  <c r="B64" i="34"/>
  <c r="A65" i="34"/>
  <c r="B65" i="34"/>
  <c r="A66" i="34"/>
  <c r="B66" i="34"/>
  <c r="A67" i="34"/>
  <c r="B67" i="34"/>
  <c r="A68" i="34"/>
  <c r="B68" i="34"/>
  <c r="A69" i="34"/>
  <c r="B69" i="34"/>
  <c r="A70" i="34"/>
  <c r="B70" i="34"/>
  <c r="A71" i="34"/>
  <c r="B71" i="34"/>
  <c r="A72" i="34"/>
  <c r="B72" i="34"/>
  <c r="A73" i="34"/>
  <c r="B73" i="34"/>
  <c r="A74" i="34"/>
  <c r="B74" i="34"/>
  <c r="A75" i="34"/>
  <c r="B75" i="34"/>
  <c r="A76" i="34"/>
  <c r="B76" i="34"/>
  <c r="A77" i="34"/>
  <c r="B77" i="34"/>
  <c r="A78" i="34"/>
  <c r="B78" i="34"/>
  <c r="A79" i="34"/>
  <c r="B79" i="34"/>
  <c r="A80" i="34"/>
  <c r="B80" i="34"/>
  <c r="A81" i="34"/>
  <c r="B81" i="34"/>
  <c r="A82" i="34"/>
  <c r="B82" i="34"/>
  <c r="A83" i="34"/>
  <c r="B83" i="34"/>
  <c r="A84" i="34"/>
  <c r="B84" i="34"/>
  <c r="A85" i="34"/>
  <c r="B85" i="34"/>
  <c r="A86" i="34"/>
  <c r="B86" i="34"/>
  <c r="A87" i="34"/>
  <c r="B87" i="34"/>
  <c r="A88" i="34"/>
  <c r="B88" i="34"/>
  <c r="A89" i="34"/>
  <c r="B89" i="34"/>
  <c r="A90" i="34"/>
  <c r="B90" i="34"/>
  <c r="A91" i="34"/>
  <c r="B91" i="34"/>
  <c r="A92" i="34"/>
  <c r="B92" i="34"/>
  <c r="A93" i="34"/>
  <c r="B93" i="34"/>
  <c r="A94" i="34"/>
  <c r="B94" i="34"/>
  <c r="A95" i="34"/>
  <c r="B95" i="34"/>
  <c r="A96" i="34"/>
  <c r="B96" i="34"/>
  <c r="A97" i="34"/>
  <c r="B97" i="34"/>
  <c r="A98" i="34"/>
  <c r="B98" i="34"/>
  <c r="A99" i="34"/>
  <c r="B99" i="34"/>
  <c r="A100" i="34"/>
  <c r="B100" i="34"/>
  <c r="A101" i="34"/>
  <c r="B101" i="34"/>
  <c r="A102" i="34"/>
  <c r="B102" i="34"/>
  <c r="A103" i="34"/>
  <c r="B103" i="34"/>
  <c r="A104" i="34"/>
  <c r="B104" i="34"/>
  <c r="A105" i="34"/>
  <c r="B105" i="34"/>
  <c r="A106" i="34"/>
  <c r="B106" i="34"/>
  <c r="A107" i="34"/>
  <c r="B107" i="34"/>
  <c r="A108" i="34"/>
  <c r="B108" i="34"/>
  <c r="A109" i="34"/>
  <c r="B109" i="34"/>
  <c r="A110" i="34"/>
  <c r="B110" i="34"/>
  <c r="A111" i="34"/>
  <c r="B111" i="34"/>
  <c r="A112" i="34"/>
  <c r="B112" i="34"/>
  <c r="A113" i="34"/>
  <c r="B113" i="34"/>
  <c r="A114" i="34"/>
  <c r="B114" i="34"/>
  <c r="A115" i="34"/>
  <c r="B115" i="34"/>
  <c r="A116" i="34"/>
  <c r="B116" i="34"/>
  <c r="A117" i="34"/>
  <c r="B117" i="34"/>
  <c r="A118" i="34"/>
  <c r="B118" i="34"/>
  <c r="A119" i="34"/>
  <c r="B119" i="34"/>
  <c r="A120" i="34"/>
  <c r="B120" i="34"/>
  <c r="A121" i="34"/>
  <c r="B121" i="34"/>
  <c r="A122" i="34"/>
  <c r="B122" i="34"/>
  <c r="A123" i="34"/>
  <c r="B123" i="34"/>
  <c r="A124" i="34"/>
  <c r="B124" i="34"/>
  <c r="A125" i="34"/>
  <c r="B125" i="34"/>
  <c r="A126" i="34"/>
  <c r="B126" i="34"/>
  <c r="A127" i="34"/>
  <c r="B127" i="34"/>
  <c r="A128" i="34"/>
  <c r="B128" i="34"/>
  <c r="A129" i="34"/>
  <c r="B129" i="34"/>
  <c r="A130" i="34"/>
  <c r="B130" i="34"/>
  <c r="A131" i="34"/>
  <c r="B131" i="34"/>
  <c r="A132" i="34"/>
  <c r="B132" i="34"/>
  <c r="A133" i="34"/>
  <c r="B133" i="34"/>
  <c r="A134" i="34"/>
  <c r="B134" i="34"/>
  <c r="A135" i="34"/>
  <c r="B135" i="34"/>
  <c r="A136" i="34"/>
  <c r="B136" i="34"/>
  <c r="A137" i="34"/>
  <c r="B137" i="34"/>
  <c r="A138" i="34"/>
  <c r="B138" i="34"/>
  <c r="A139" i="34"/>
  <c r="B139" i="34"/>
  <c r="A140" i="34"/>
  <c r="B140" i="34"/>
  <c r="A141" i="34"/>
  <c r="B141" i="34"/>
  <c r="A142" i="34"/>
  <c r="B142" i="34"/>
  <c r="A143" i="34"/>
  <c r="B143" i="34"/>
  <c r="A144" i="34"/>
  <c r="B144" i="34"/>
  <c r="A145" i="34"/>
  <c r="B145" i="34"/>
  <c r="A146" i="34"/>
  <c r="B146" i="34"/>
  <c r="A147" i="34"/>
  <c r="B147" i="34"/>
  <c r="A148" i="34"/>
  <c r="B148" i="34"/>
  <c r="A149" i="34"/>
  <c r="B149" i="34"/>
  <c r="A150" i="34"/>
  <c r="B150" i="34"/>
  <c r="A151" i="34"/>
  <c r="B151" i="34"/>
  <c r="A152" i="34"/>
  <c r="B152" i="34"/>
  <c r="A153" i="34"/>
  <c r="B153" i="34"/>
  <c r="A154" i="34"/>
  <c r="B154" i="34"/>
  <c r="A155" i="34"/>
  <c r="B155" i="34"/>
  <c r="A156" i="34"/>
  <c r="B156" i="34"/>
  <c r="A157" i="34"/>
  <c r="B157" i="34"/>
  <c r="A158" i="34"/>
  <c r="B158" i="34"/>
  <c r="A159" i="34"/>
  <c r="B159" i="34"/>
  <c r="A160" i="34"/>
  <c r="B160" i="34"/>
  <c r="A161" i="34"/>
  <c r="B161" i="34"/>
  <c r="A162" i="34"/>
  <c r="B162" i="34"/>
  <c r="A163" i="34"/>
  <c r="B163" i="34"/>
  <c r="A164" i="34"/>
  <c r="B164" i="34"/>
  <c r="A165" i="34"/>
  <c r="B165" i="34"/>
  <c r="A166" i="34"/>
  <c r="B166" i="34"/>
  <c r="A167" i="34"/>
  <c r="B167" i="34"/>
  <c r="A168" i="34"/>
  <c r="B168" i="34"/>
  <c r="A169" i="34"/>
  <c r="B169" i="34"/>
  <c r="A170" i="34"/>
  <c r="B170" i="34"/>
  <c r="A171" i="34"/>
  <c r="B171" i="34"/>
  <c r="A172" i="34"/>
  <c r="B172" i="34"/>
  <c r="A173" i="34"/>
  <c r="B173" i="34"/>
  <c r="A174" i="34"/>
  <c r="B174" i="34"/>
  <c r="A175" i="34"/>
  <c r="B175" i="34"/>
  <c r="A176" i="34"/>
  <c r="B176" i="34"/>
  <c r="A177" i="34"/>
  <c r="B177" i="34"/>
  <c r="A178" i="34"/>
  <c r="B178" i="34"/>
  <c r="A179" i="34"/>
  <c r="B179" i="34"/>
  <c r="A181" i="34"/>
  <c r="B181" i="34"/>
  <c r="A182" i="34"/>
  <c r="B182" i="34"/>
  <c r="A183" i="34"/>
  <c r="B183" i="34"/>
  <c r="A184" i="34"/>
  <c r="B184" i="34"/>
  <c r="A185" i="34"/>
  <c r="B185" i="34"/>
  <c r="A186" i="34"/>
  <c r="B186" i="34"/>
  <c r="A187" i="34"/>
  <c r="B187" i="34"/>
  <c r="A188" i="34"/>
  <c r="B188" i="34"/>
  <c r="A189" i="34"/>
  <c r="B189" i="34"/>
  <c r="A190" i="34"/>
  <c r="B190" i="34"/>
  <c r="A191" i="34"/>
  <c r="B191" i="34"/>
  <c r="A192" i="34"/>
  <c r="B192" i="34"/>
  <c r="A193" i="34"/>
  <c r="B193" i="34"/>
  <c r="A194" i="34"/>
  <c r="B194" i="34"/>
  <c r="A195" i="34"/>
  <c r="B195" i="34"/>
  <c r="A196" i="34"/>
  <c r="B196" i="34"/>
  <c r="A197" i="34"/>
  <c r="B197" i="34"/>
  <c r="A198" i="34"/>
  <c r="B198" i="34"/>
  <c r="A199" i="34"/>
  <c r="B199" i="34"/>
  <c r="A200" i="34"/>
  <c r="B200" i="34"/>
  <c r="A201" i="34"/>
  <c r="B201" i="34"/>
  <c r="A202" i="34"/>
  <c r="B202" i="34"/>
  <c r="A203" i="34"/>
  <c r="B203" i="34"/>
  <c r="A204" i="34"/>
  <c r="B204" i="34"/>
  <c r="A205" i="34"/>
  <c r="B205" i="34"/>
  <c r="A206" i="34"/>
  <c r="B206" i="34"/>
  <c r="A207" i="34"/>
  <c r="B207" i="34"/>
  <c r="A208" i="34"/>
  <c r="B208" i="34"/>
  <c r="A209" i="34"/>
  <c r="B209" i="34"/>
  <c r="A210" i="34"/>
  <c r="B210" i="34"/>
  <c r="A211" i="34"/>
  <c r="B211" i="34"/>
  <c r="A212" i="34"/>
  <c r="B212" i="34"/>
  <c r="A213" i="34"/>
  <c r="B213" i="34"/>
  <c r="A214" i="34"/>
  <c r="B214" i="34"/>
  <c r="A215" i="34"/>
  <c r="B215" i="34"/>
  <c r="A216" i="34"/>
  <c r="B216" i="34"/>
  <c r="A217" i="34"/>
  <c r="B217" i="34"/>
  <c r="A218" i="34"/>
  <c r="B218" i="34"/>
  <c r="A219" i="34"/>
  <c r="B219" i="34"/>
  <c r="A220" i="34"/>
  <c r="B220" i="34"/>
  <c r="A221" i="34"/>
  <c r="B221" i="34"/>
  <c r="A222" i="34"/>
  <c r="B222" i="34"/>
  <c r="A223" i="34"/>
  <c r="B223" i="34"/>
  <c r="A224" i="34"/>
  <c r="B224" i="34"/>
  <c r="A225" i="34"/>
  <c r="B225" i="34"/>
  <c r="A226" i="34"/>
  <c r="B226" i="34"/>
  <c r="A227" i="34"/>
  <c r="B227" i="34"/>
  <c r="A228" i="34"/>
  <c r="B228" i="34"/>
  <c r="A230" i="34"/>
  <c r="B230" i="34"/>
  <c r="A231" i="34"/>
  <c r="B231" i="34"/>
  <c r="A232" i="34"/>
  <c r="B232" i="34"/>
  <c r="A233" i="34"/>
  <c r="B233" i="34"/>
  <c r="A234" i="34"/>
  <c r="B234" i="34"/>
  <c r="A235" i="34"/>
  <c r="B235" i="34"/>
  <c r="A236" i="34"/>
  <c r="B236" i="34"/>
  <c r="A237" i="34"/>
  <c r="B237" i="34"/>
  <c r="A238" i="34"/>
  <c r="B238" i="34"/>
  <c r="A239" i="34"/>
  <c r="B239" i="34"/>
  <c r="A240" i="34"/>
  <c r="B240" i="34"/>
  <c r="A241" i="34"/>
  <c r="B241" i="34"/>
  <c r="A242" i="34"/>
  <c r="B242" i="34"/>
  <c r="A243" i="34"/>
  <c r="B243" i="34"/>
  <c r="A244" i="34"/>
  <c r="B244" i="34"/>
  <c r="A245" i="34"/>
  <c r="B245" i="34"/>
  <c r="A246" i="34"/>
  <c r="B246" i="34"/>
  <c r="A247" i="34"/>
  <c r="B247" i="34"/>
  <c r="A248" i="34"/>
  <c r="B248" i="34"/>
  <c r="A249" i="34"/>
  <c r="B249" i="34"/>
  <c r="A250" i="34"/>
  <c r="B250" i="34"/>
  <c r="A251" i="34"/>
  <c r="B251" i="34"/>
  <c r="A252" i="34"/>
  <c r="B252" i="34"/>
  <c r="A253" i="34"/>
  <c r="B253" i="34"/>
  <c r="A255" i="34"/>
  <c r="B255" i="34"/>
  <c r="A256" i="34"/>
  <c r="B256" i="34"/>
  <c r="A257" i="34"/>
  <c r="B257" i="34"/>
  <c r="A258" i="34"/>
  <c r="B258" i="34"/>
  <c r="A259" i="34"/>
  <c r="B259" i="34"/>
  <c r="A260" i="34"/>
  <c r="B260" i="34"/>
  <c r="A261" i="34"/>
  <c r="B261" i="34"/>
  <c r="A262" i="34"/>
  <c r="B262" i="34"/>
  <c r="A263" i="34"/>
  <c r="B263" i="34"/>
  <c r="A264" i="34"/>
  <c r="B264" i="34"/>
  <c r="A265" i="34"/>
  <c r="B265" i="34"/>
  <c r="A266" i="34"/>
  <c r="B266" i="34"/>
  <c r="A267" i="34"/>
  <c r="B267" i="34"/>
  <c r="A268" i="34"/>
  <c r="B268" i="34"/>
  <c r="A269" i="34"/>
  <c r="B269" i="34"/>
  <c r="A270" i="34"/>
  <c r="B270" i="34"/>
  <c r="A271" i="34"/>
  <c r="B271" i="34"/>
  <c r="A272" i="34"/>
  <c r="B272" i="34"/>
  <c r="A273" i="34"/>
  <c r="B273" i="34"/>
  <c r="A274" i="34"/>
  <c r="B274" i="34"/>
  <c r="A275" i="34"/>
  <c r="B275" i="34"/>
  <c r="A276" i="34"/>
  <c r="B276" i="34"/>
  <c r="A277" i="34"/>
  <c r="B277" i="34"/>
  <c r="A278" i="34"/>
  <c r="B278" i="34"/>
  <c r="A279" i="34"/>
  <c r="B279" i="34"/>
  <c r="A280" i="34"/>
  <c r="B280" i="34"/>
  <c r="A281" i="34"/>
  <c r="B281" i="34"/>
  <c r="A282" i="34"/>
  <c r="B282" i="34"/>
  <c r="A283" i="34"/>
  <c r="B283" i="34"/>
  <c r="A284" i="34"/>
  <c r="B284" i="34"/>
  <c r="A285" i="34"/>
  <c r="B285" i="34"/>
  <c r="A286" i="34"/>
  <c r="B286" i="34"/>
  <c r="A287" i="34"/>
  <c r="B287" i="34"/>
  <c r="A288" i="34"/>
  <c r="B288" i="34"/>
  <c r="A289" i="34"/>
  <c r="B289" i="34"/>
  <c r="A290" i="34"/>
  <c r="B290" i="34"/>
  <c r="A291" i="34"/>
  <c r="B291" i="34"/>
  <c r="A292" i="34"/>
  <c r="B292" i="34"/>
  <c r="A293" i="34"/>
  <c r="B293" i="34"/>
  <c r="A294" i="34"/>
  <c r="B294" i="34"/>
  <c r="A295" i="34"/>
  <c r="B295" i="34"/>
  <c r="A296" i="34"/>
  <c r="B296" i="34"/>
  <c r="A297" i="34"/>
  <c r="B297" i="34"/>
  <c r="A298" i="34"/>
  <c r="B298" i="34"/>
  <c r="A299" i="34"/>
  <c r="B299" i="34"/>
  <c r="A300" i="34"/>
  <c r="B300" i="34"/>
  <c r="A301" i="34"/>
  <c r="B301" i="34"/>
  <c r="A302" i="34"/>
  <c r="B302" i="34"/>
  <c r="A303" i="34"/>
  <c r="B303" i="34"/>
  <c r="A304" i="34"/>
  <c r="B304" i="34"/>
  <c r="A305" i="34"/>
  <c r="B305" i="34"/>
  <c r="A306" i="34"/>
  <c r="B306" i="34"/>
  <c r="A307" i="34"/>
  <c r="B307" i="34"/>
  <c r="A308" i="34"/>
  <c r="B308" i="34"/>
  <c r="A309" i="34"/>
  <c r="B309" i="34"/>
  <c r="A310" i="34"/>
  <c r="B310" i="34"/>
  <c r="A311" i="34"/>
  <c r="B311" i="34"/>
  <c r="A312" i="34"/>
  <c r="B312" i="34"/>
  <c r="A313" i="34"/>
  <c r="B313" i="34"/>
  <c r="A314" i="34"/>
  <c r="B314" i="34"/>
  <c r="A315" i="34"/>
  <c r="B315" i="34"/>
  <c r="A316" i="34"/>
  <c r="B316" i="34"/>
  <c r="A317" i="34"/>
  <c r="B317" i="34"/>
  <c r="A318" i="34"/>
  <c r="B318" i="34"/>
  <c r="A319" i="34"/>
  <c r="B319" i="34"/>
  <c r="A320" i="34"/>
  <c r="B320" i="34"/>
  <c r="A321" i="34"/>
  <c r="B321" i="34"/>
  <c r="A322" i="34"/>
  <c r="B322" i="34"/>
  <c r="A323" i="34"/>
  <c r="B323" i="34"/>
  <c r="A324" i="34"/>
  <c r="B324" i="34"/>
  <c r="B16" i="34"/>
  <c r="A16" i="34"/>
  <c r="G5" i="37"/>
  <c r="C5" i="37"/>
  <c r="A6" i="37"/>
  <c r="B6" i="37"/>
  <c r="A7" i="37"/>
  <c r="B7" i="37"/>
  <c r="A8" i="37"/>
  <c r="B8" i="37"/>
  <c r="A9" i="37"/>
  <c r="B9" i="37"/>
  <c r="A10" i="37"/>
  <c r="B10" i="37"/>
  <c r="A11" i="37"/>
  <c r="B11" i="37"/>
  <c r="A12" i="37"/>
  <c r="B12" i="37"/>
  <c r="A13" i="37"/>
  <c r="B13" i="37"/>
  <c r="A14" i="37"/>
  <c r="B14" i="37"/>
  <c r="A15" i="37"/>
  <c r="B15" i="37"/>
  <c r="A16" i="37"/>
  <c r="B16" i="37"/>
  <c r="A17" i="37"/>
  <c r="B17" i="37"/>
  <c r="A18" i="37"/>
  <c r="B18" i="37"/>
  <c r="A19" i="37"/>
  <c r="B19" i="37"/>
  <c r="A20" i="37"/>
  <c r="B20" i="37"/>
  <c r="A21" i="37"/>
  <c r="B21" i="37"/>
  <c r="A22" i="37"/>
  <c r="B22" i="37"/>
  <c r="A23" i="37"/>
  <c r="B23" i="37"/>
  <c r="A24" i="37"/>
  <c r="B24" i="37"/>
  <c r="A25" i="37"/>
  <c r="B25" i="37"/>
  <c r="A26" i="37"/>
  <c r="B26" i="37"/>
  <c r="A27" i="37"/>
  <c r="B27" i="37"/>
  <c r="A28" i="37"/>
  <c r="B28" i="37"/>
  <c r="A29" i="37"/>
  <c r="B29" i="37"/>
  <c r="A30" i="37"/>
  <c r="B30" i="37"/>
  <c r="A31" i="37"/>
  <c r="B31" i="37"/>
  <c r="A32" i="37"/>
  <c r="B32" i="37"/>
  <c r="A33" i="37"/>
  <c r="B33" i="37"/>
  <c r="A34" i="37"/>
  <c r="B34" i="37"/>
  <c r="A35" i="37"/>
  <c r="B35" i="37"/>
  <c r="A36" i="37"/>
  <c r="B36" i="37"/>
  <c r="A37" i="37"/>
  <c r="B37" i="37"/>
  <c r="A38" i="37"/>
  <c r="B38" i="37"/>
  <c r="A39" i="37"/>
  <c r="B39" i="37"/>
  <c r="A40" i="37"/>
  <c r="B40" i="37"/>
  <c r="A41" i="37"/>
  <c r="B41" i="37"/>
  <c r="A42" i="37"/>
  <c r="B42" i="37"/>
  <c r="A43" i="37"/>
  <c r="B43" i="37"/>
  <c r="A44" i="37"/>
  <c r="B44" i="37"/>
  <c r="A45" i="37"/>
  <c r="B45" i="37"/>
  <c r="A46" i="37"/>
  <c r="B46" i="37"/>
  <c r="A47" i="37"/>
  <c r="B47" i="37"/>
  <c r="A48" i="37"/>
  <c r="B48" i="37"/>
  <c r="A49" i="37"/>
  <c r="B49" i="37"/>
  <c r="A50" i="37"/>
  <c r="B50" i="37"/>
  <c r="A51" i="37"/>
  <c r="B51" i="37"/>
  <c r="A52" i="37"/>
  <c r="B52" i="37"/>
  <c r="A53" i="37"/>
  <c r="B53" i="37"/>
  <c r="A54" i="37"/>
  <c r="B54" i="37"/>
  <c r="A55" i="37"/>
  <c r="B55" i="37"/>
  <c r="A56" i="37"/>
  <c r="B56" i="37"/>
  <c r="A57" i="37"/>
  <c r="B57" i="37"/>
  <c r="A58" i="37"/>
  <c r="B58" i="37"/>
  <c r="A59" i="37"/>
  <c r="B59" i="37"/>
  <c r="A60" i="37"/>
  <c r="B60" i="37"/>
  <c r="A61" i="37"/>
  <c r="B61" i="37"/>
  <c r="A62" i="37"/>
  <c r="B62" i="37"/>
  <c r="A63" i="37"/>
  <c r="B63" i="37"/>
  <c r="A64" i="37"/>
  <c r="B64" i="37"/>
  <c r="A65" i="37"/>
  <c r="B65" i="37"/>
  <c r="A66" i="37"/>
  <c r="B66" i="37"/>
  <c r="A67" i="37"/>
  <c r="B67" i="37"/>
  <c r="A68" i="37"/>
  <c r="B68" i="37"/>
  <c r="A69" i="37"/>
  <c r="B69" i="37"/>
  <c r="A70" i="37"/>
  <c r="B70" i="37"/>
  <c r="A71" i="37"/>
  <c r="B71" i="37"/>
  <c r="A72" i="37"/>
  <c r="B72" i="37"/>
  <c r="A73" i="37"/>
  <c r="B73" i="37"/>
  <c r="A74" i="37"/>
  <c r="B74" i="37"/>
  <c r="A75" i="37"/>
  <c r="B75" i="37"/>
  <c r="A76" i="37"/>
  <c r="B76" i="37"/>
  <c r="A77" i="37"/>
  <c r="B77" i="37"/>
  <c r="A78" i="37"/>
  <c r="B78" i="37"/>
  <c r="A79" i="37"/>
  <c r="B79" i="37"/>
  <c r="A80" i="37"/>
  <c r="B80" i="37"/>
  <c r="A81" i="37"/>
  <c r="B81" i="37"/>
  <c r="A82" i="37"/>
  <c r="B82" i="37"/>
  <c r="A83" i="37"/>
  <c r="B83" i="37"/>
  <c r="A84" i="37"/>
  <c r="B84" i="37"/>
  <c r="A85" i="37"/>
  <c r="B85" i="37"/>
  <c r="A86" i="37"/>
  <c r="B86" i="37"/>
  <c r="A87" i="37"/>
  <c r="B87" i="37"/>
  <c r="A88" i="37"/>
  <c r="B88" i="37"/>
  <c r="A89" i="37"/>
  <c r="B89" i="37"/>
  <c r="A90" i="37"/>
  <c r="B90" i="37"/>
  <c r="A91" i="37"/>
  <c r="B91" i="37"/>
  <c r="A92" i="37"/>
  <c r="B92" i="37"/>
  <c r="A93" i="37"/>
  <c r="B93" i="37"/>
  <c r="A94" i="37"/>
  <c r="B94" i="37"/>
  <c r="A95" i="37"/>
  <c r="B95" i="37"/>
  <c r="A96" i="37"/>
  <c r="B96" i="37"/>
  <c r="A97" i="37"/>
  <c r="B97" i="37"/>
  <c r="A98" i="37"/>
  <c r="B98" i="37"/>
  <c r="A99" i="37"/>
  <c r="B99" i="37"/>
  <c r="A100" i="37"/>
  <c r="B100" i="37"/>
  <c r="A101" i="37"/>
  <c r="B101" i="37"/>
  <c r="A102" i="37"/>
  <c r="B102" i="37"/>
  <c r="A103" i="37"/>
  <c r="B103" i="37"/>
  <c r="A104" i="37"/>
  <c r="B104" i="37"/>
  <c r="A105" i="37"/>
  <c r="B105" i="37"/>
  <c r="A106" i="37"/>
  <c r="B106" i="37"/>
  <c r="A107" i="37"/>
  <c r="B107" i="37"/>
  <c r="A108" i="37"/>
  <c r="B108" i="37"/>
  <c r="A109" i="37"/>
  <c r="B109" i="37"/>
  <c r="A110" i="37"/>
  <c r="B110" i="37"/>
  <c r="A111" i="37"/>
  <c r="B111" i="37"/>
  <c r="A112" i="37"/>
  <c r="B112" i="37"/>
  <c r="A113" i="37"/>
  <c r="B113" i="37"/>
  <c r="A114" i="37"/>
  <c r="B114" i="37"/>
  <c r="A115" i="37"/>
  <c r="B115" i="37"/>
  <c r="A116" i="37"/>
  <c r="B116" i="37"/>
  <c r="A117" i="37"/>
  <c r="B117" i="37"/>
  <c r="A118" i="37"/>
  <c r="B118" i="37"/>
  <c r="A119" i="37"/>
  <c r="B119" i="37"/>
  <c r="A120" i="37"/>
  <c r="B120" i="37"/>
  <c r="A121" i="37"/>
  <c r="B121" i="37"/>
  <c r="A122" i="37"/>
  <c r="B122" i="37"/>
  <c r="A123" i="37"/>
  <c r="B123" i="37"/>
  <c r="A124" i="37"/>
  <c r="B124" i="37"/>
  <c r="A125" i="37"/>
  <c r="B125" i="37"/>
  <c r="A126" i="37"/>
  <c r="B126" i="37"/>
  <c r="A127" i="37"/>
  <c r="B127" i="37"/>
  <c r="A128" i="37"/>
  <c r="B128" i="37"/>
  <c r="A129" i="37"/>
  <c r="B129" i="37"/>
  <c r="A130" i="37"/>
  <c r="B130" i="37"/>
  <c r="A131" i="37"/>
  <c r="B131" i="37"/>
  <c r="A132" i="37"/>
  <c r="B132" i="37"/>
  <c r="A133" i="37"/>
  <c r="B133" i="37"/>
  <c r="A134" i="37"/>
  <c r="B134" i="37"/>
  <c r="A135" i="37"/>
  <c r="B135" i="37"/>
  <c r="A136" i="37"/>
  <c r="B136" i="37"/>
  <c r="A137" i="37"/>
  <c r="B137" i="37"/>
  <c r="A138" i="37"/>
  <c r="B138" i="37"/>
  <c r="A139" i="37"/>
  <c r="B139" i="37"/>
  <c r="A140" i="37"/>
  <c r="B140" i="37"/>
  <c r="A141" i="37"/>
  <c r="B141" i="37"/>
  <c r="A142" i="37"/>
  <c r="B142" i="37"/>
  <c r="A143" i="37"/>
  <c r="B143" i="37"/>
  <c r="A144" i="37"/>
  <c r="B144" i="37"/>
  <c r="A145" i="37"/>
  <c r="B145" i="37"/>
  <c r="A146" i="37"/>
  <c r="B146" i="37"/>
  <c r="A147" i="37"/>
  <c r="B147" i="37"/>
  <c r="A148" i="37"/>
  <c r="B148" i="37"/>
  <c r="A149" i="37"/>
  <c r="B149" i="37"/>
  <c r="A150" i="37"/>
  <c r="B150" i="37"/>
  <c r="A151" i="37"/>
  <c r="B151" i="37"/>
  <c r="A152" i="37"/>
  <c r="B152" i="37"/>
  <c r="A153" i="37"/>
  <c r="B153" i="37"/>
  <c r="A154" i="37"/>
  <c r="B154" i="37"/>
  <c r="A155" i="37"/>
  <c r="B155" i="37"/>
  <c r="A156" i="37"/>
  <c r="B156" i="37"/>
  <c r="A157" i="37"/>
  <c r="B157" i="37"/>
  <c r="A158" i="37"/>
  <c r="B158" i="37"/>
  <c r="A159" i="37"/>
  <c r="B159" i="37"/>
  <c r="A160" i="37"/>
  <c r="B160" i="37"/>
  <c r="A161" i="37"/>
  <c r="B161" i="37"/>
  <c r="A162" i="37"/>
  <c r="B162" i="37"/>
  <c r="A163" i="37"/>
  <c r="B163" i="37"/>
  <c r="A164" i="37"/>
  <c r="B164" i="37"/>
  <c r="A165" i="37"/>
  <c r="B165" i="37"/>
  <c r="A166" i="37"/>
  <c r="B166" i="37"/>
  <c r="A167" i="37"/>
  <c r="B167" i="37"/>
  <c r="A168" i="37"/>
  <c r="B168" i="37"/>
  <c r="A170" i="37"/>
  <c r="B170" i="37"/>
  <c r="A171" i="37"/>
  <c r="B171" i="37"/>
  <c r="A172" i="37"/>
  <c r="B172" i="37"/>
  <c r="A173" i="37"/>
  <c r="B173" i="37"/>
  <c r="A174" i="37"/>
  <c r="B174" i="37"/>
  <c r="A175" i="37"/>
  <c r="B175" i="37"/>
  <c r="A176" i="37"/>
  <c r="B176" i="37"/>
  <c r="A177" i="37"/>
  <c r="B177" i="37"/>
  <c r="A178" i="37"/>
  <c r="B178" i="37"/>
  <c r="A179" i="37"/>
  <c r="B179" i="37"/>
  <c r="A180" i="37"/>
  <c r="B180" i="37"/>
  <c r="A181" i="37"/>
  <c r="B181" i="37"/>
  <c r="A182" i="37"/>
  <c r="B182" i="37"/>
  <c r="A183" i="37"/>
  <c r="B183" i="37"/>
  <c r="A184" i="37"/>
  <c r="B184" i="37"/>
  <c r="A185" i="37"/>
  <c r="B185" i="37"/>
  <c r="A186" i="37"/>
  <c r="B186" i="37"/>
  <c r="A187" i="37"/>
  <c r="B187" i="37"/>
  <c r="A188" i="37"/>
  <c r="B188" i="37"/>
  <c r="A189" i="37"/>
  <c r="B189" i="37"/>
  <c r="A190" i="37"/>
  <c r="B190" i="37"/>
  <c r="A191" i="37"/>
  <c r="B191" i="37"/>
  <c r="A192" i="37"/>
  <c r="B192" i="37"/>
  <c r="A193" i="37"/>
  <c r="B193" i="37"/>
  <c r="A194" i="37"/>
  <c r="B194" i="37"/>
  <c r="A195" i="37"/>
  <c r="B195" i="37"/>
  <c r="A196" i="37"/>
  <c r="B196" i="37"/>
  <c r="A197" i="37"/>
  <c r="B197" i="37"/>
  <c r="A198" i="37"/>
  <c r="B198" i="37"/>
  <c r="A199" i="37"/>
  <c r="B199" i="37"/>
  <c r="A200" i="37"/>
  <c r="B200" i="37"/>
  <c r="A201" i="37"/>
  <c r="B201" i="37"/>
  <c r="A202" i="37"/>
  <c r="B202" i="37"/>
  <c r="A203" i="37"/>
  <c r="B203" i="37"/>
  <c r="A204" i="37"/>
  <c r="B204" i="37"/>
  <c r="A205" i="37"/>
  <c r="B205" i="37"/>
  <c r="A206" i="37"/>
  <c r="B206" i="37"/>
  <c r="A207" i="37"/>
  <c r="B207" i="37"/>
  <c r="A208" i="37"/>
  <c r="B208" i="37"/>
  <c r="A209" i="37"/>
  <c r="B209" i="37"/>
  <c r="A210" i="37"/>
  <c r="B210" i="37"/>
  <c r="A211" i="37"/>
  <c r="B211" i="37"/>
  <c r="A212" i="37"/>
  <c r="B212" i="37"/>
  <c r="A213" i="37"/>
  <c r="B213" i="37"/>
  <c r="A214" i="37"/>
  <c r="B214" i="37"/>
  <c r="A215" i="37"/>
  <c r="B215" i="37"/>
  <c r="A216" i="37"/>
  <c r="B216" i="37"/>
  <c r="A217" i="37"/>
  <c r="B217" i="37"/>
  <c r="A219" i="37"/>
  <c r="B219" i="37"/>
  <c r="A220" i="37"/>
  <c r="B220" i="37"/>
  <c r="A221" i="37"/>
  <c r="B221" i="37"/>
  <c r="A222" i="37"/>
  <c r="B222" i="37"/>
  <c r="A223" i="37"/>
  <c r="B223" i="37"/>
  <c r="A224" i="37"/>
  <c r="B224" i="37"/>
  <c r="A225" i="37"/>
  <c r="B225" i="37"/>
  <c r="A226" i="37"/>
  <c r="B226" i="37"/>
  <c r="A227" i="37"/>
  <c r="B227" i="37"/>
  <c r="A228" i="37"/>
  <c r="B228" i="37"/>
  <c r="A229" i="37"/>
  <c r="B229" i="37"/>
  <c r="A230" i="37"/>
  <c r="B230" i="37"/>
  <c r="A231" i="37"/>
  <c r="B231" i="37"/>
  <c r="A232" i="37"/>
  <c r="B232" i="37"/>
  <c r="A233" i="37"/>
  <c r="B233" i="37"/>
  <c r="A234" i="37"/>
  <c r="B234" i="37"/>
  <c r="A235" i="37"/>
  <c r="B235" i="37"/>
  <c r="A236" i="37"/>
  <c r="B236" i="37"/>
  <c r="A237" i="37"/>
  <c r="B237" i="37"/>
  <c r="A238" i="37"/>
  <c r="B238" i="37"/>
  <c r="A239" i="37"/>
  <c r="B239" i="37"/>
  <c r="A240" i="37"/>
  <c r="B240" i="37"/>
  <c r="A241" i="37"/>
  <c r="B241" i="37"/>
  <c r="A242" i="37"/>
  <c r="B242" i="37"/>
  <c r="A244" i="37"/>
  <c r="B244" i="37"/>
  <c r="A245" i="37"/>
  <c r="B245" i="37"/>
  <c r="A246" i="37"/>
  <c r="B246" i="37"/>
  <c r="A247" i="37"/>
  <c r="B247" i="37"/>
  <c r="A248" i="37"/>
  <c r="B248" i="37"/>
  <c r="A249" i="37"/>
  <c r="B249" i="37"/>
  <c r="A250" i="37"/>
  <c r="B250" i="37"/>
  <c r="A251" i="37"/>
  <c r="B251" i="37"/>
  <c r="A252" i="37"/>
  <c r="B252" i="37"/>
  <c r="A253" i="37"/>
  <c r="B253" i="37"/>
  <c r="A254" i="37"/>
  <c r="B254" i="37"/>
  <c r="A255" i="37"/>
  <c r="B255" i="37"/>
  <c r="A256" i="37"/>
  <c r="B256" i="37"/>
  <c r="A257" i="37"/>
  <c r="B257" i="37"/>
  <c r="A258" i="37"/>
  <c r="B258" i="37"/>
  <c r="A259" i="37"/>
  <c r="B259" i="37"/>
  <c r="A260" i="37"/>
  <c r="B260" i="37"/>
  <c r="A261" i="37"/>
  <c r="B261" i="37"/>
  <c r="A262" i="37"/>
  <c r="B262" i="37"/>
  <c r="A263" i="37"/>
  <c r="B263" i="37"/>
  <c r="A264" i="37"/>
  <c r="B264" i="37"/>
  <c r="A265" i="37"/>
  <c r="B265" i="37"/>
  <c r="A266" i="37"/>
  <c r="B266" i="37"/>
  <c r="A267" i="37"/>
  <c r="B267" i="37"/>
  <c r="A268" i="37"/>
  <c r="B268" i="37"/>
  <c r="A269" i="37"/>
  <c r="B269" i="37"/>
  <c r="A270" i="37"/>
  <c r="B270" i="37"/>
  <c r="A271" i="37"/>
  <c r="B271" i="37"/>
  <c r="A272" i="37"/>
  <c r="B272" i="37"/>
  <c r="A273" i="37"/>
  <c r="B273" i="37"/>
  <c r="A274" i="37"/>
  <c r="B274" i="37"/>
  <c r="A275" i="37"/>
  <c r="B275" i="37"/>
  <c r="A276" i="37"/>
  <c r="B276" i="37"/>
  <c r="A277" i="37"/>
  <c r="B277" i="37"/>
  <c r="A278" i="37"/>
  <c r="B278" i="37"/>
  <c r="A279" i="37"/>
  <c r="B279" i="37"/>
  <c r="A280" i="37"/>
  <c r="B280" i="37"/>
  <c r="A281" i="37"/>
  <c r="B281" i="37"/>
  <c r="A282" i="37"/>
  <c r="B282" i="37"/>
  <c r="A283" i="37"/>
  <c r="B283" i="37"/>
  <c r="A284" i="37"/>
  <c r="B284" i="37"/>
  <c r="A285" i="37"/>
  <c r="B285" i="37"/>
  <c r="A286" i="37"/>
  <c r="B286" i="37"/>
  <c r="A287" i="37"/>
  <c r="B287" i="37"/>
  <c r="A288" i="37"/>
  <c r="B288" i="37"/>
  <c r="A289" i="37"/>
  <c r="B289" i="37"/>
  <c r="A290" i="37"/>
  <c r="B290" i="37"/>
  <c r="A291" i="37"/>
  <c r="B291" i="37"/>
  <c r="A292" i="37"/>
  <c r="B292" i="37"/>
  <c r="A293" i="37"/>
  <c r="B293" i="37"/>
  <c r="A294" i="37"/>
  <c r="B294" i="37"/>
  <c r="A295" i="37"/>
  <c r="B295" i="37"/>
  <c r="A296" i="37"/>
  <c r="B296" i="37"/>
  <c r="A297" i="37"/>
  <c r="B297" i="37"/>
  <c r="A298" i="37"/>
  <c r="B298" i="37"/>
  <c r="A299" i="37"/>
  <c r="B299" i="37"/>
  <c r="A300" i="37"/>
  <c r="B300" i="37"/>
  <c r="A301" i="37"/>
  <c r="B301" i="37"/>
  <c r="A302" i="37"/>
  <c r="B302" i="37"/>
  <c r="A303" i="37"/>
  <c r="B303" i="37"/>
  <c r="A304" i="37"/>
  <c r="B304" i="37"/>
  <c r="A305" i="37"/>
  <c r="B305" i="37"/>
  <c r="A306" i="37"/>
  <c r="B306" i="37"/>
  <c r="A307" i="37"/>
  <c r="B307" i="37"/>
  <c r="A308" i="37"/>
  <c r="B308" i="37"/>
  <c r="A309" i="37"/>
  <c r="B309" i="37"/>
  <c r="A310" i="37"/>
  <c r="B310" i="37"/>
  <c r="A311" i="37"/>
  <c r="B311" i="37"/>
  <c r="A312" i="37"/>
  <c r="B312" i="37"/>
  <c r="A313" i="37"/>
  <c r="B313" i="37"/>
  <c r="B5" i="37"/>
  <c r="A5" i="37"/>
  <c r="C8" i="36"/>
  <c r="A9" i="36"/>
  <c r="B9" i="36"/>
  <c r="A10" i="36"/>
  <c r="B10" i="36"/>
  <c r="A11" i="36"/>
  <c r="B11" i="36"/>
  <c r="A12" i="36"/>
  <c r="B12" i="36"/>
  <c r="A13" i="36"/>
  <c r="B13" i="36"/>
  <c r="A14" i="36"/>
  <c r="B14" i="36"/>
  <c r="A15" i="36"/>
  <c r="B15" i="36"/>
  <c r="A16" i="36"/>
  <c r="B16" i="36"/>
  <c r="A17" i="36"/>
  <c r="B17" i="36"/>
  <c r="A18" i="36"/>
  <c r="B18" i="36"/>
  <c r="A19" i="36"/>
  <c r="B19" i="36"/>
  <c r="A20" i="36"/>
  <c r="B20" i="36"/>
  <c r="A21" i="36"/>
  <c r="B21" i="36"/>
  <c r="A22" i="36"/>
  <c r="B22" i="36"/>
  <c r="A23" i="36"/>
  <c r="B23" i="36"/>
  <c r="A24" i="36"/>
  <c r="B24" i="36"/>
  <c r="A25" i="36"/>
  <c r="B25" i="36"/>
  <c r="A26" i="36"/>
  <c r="B26" i="36"/>
  <c r="A27" i="36"/>
  <c r="B27" i="36"/>
  <c r="A28" i="36"/>
  <c r="B28" i="36"/>
  <c r="A29" i="36"/>
  <c r="B29" i="36"/>
  <c r="A30" i="36"/>
  <c r="B30" i="36"/>
  <c r="A31" i="36"/>
  <c r="B31" i="36"/>
  <c r="A32" i="36"/>
  <c r="B32" i="36"/>
  <c r="A33" i="36"/>
  <c r="B33" i="36"/>
  <c r="A34" i="36"/>
  <c r="B34" i="36"/>
  <c r="A35" i="36"/>
  <c r="B35" i="36"/>
  <c r="A36" i="36"/>
  <c r="B36" i="36"/>
  <c r="A37" i="36"/>
  <c r="B37" i="36"/>
  <c r="A38" i="36"/>
  <c r="B38" i="36"/>
  <c r="A39" i="36"/>
  <c r="B39" i="36"/>
  <c r="A40" i="36"/>
  <c r="B40" i="36"/>
  <c r="A41" i="36"/>
  <c r="B41" i="36"/>
  <c r="A42" i="36"/>
  <c r="B42" i="36"/>
  <c r="A43" i="36"/>
  <c r="B43" i="36"/>
  <c r="A44" i="36"/>
  <c r="B44" i="36"/>
  <c r="A45" i="36"/>
  <c r="B45" i="36"/>
  <c r="A46" i="36"/>
  <c r="B46" i="36"/>
  <c r="A47" i="36"/>
  <c r="B47" i="36"/>
  <c r="A48" i="36"/>
  <c r="B48" i="36"/>
  <c r="A49" i="36"/>
  <c r="B49" i="36"/>
  <c r="A50" i="36"/>
  <c r="B50" i="36"/>
  <c r="A51" i="36"/>
  <c r="B51" i="36"/>
  <c r="A52" i="36"/>
  <c r="B52" i="36"/>
  <c r="A53" i="36"/>
  <c r="B53" i="36"/>
  <c r="A54" i="36"/>
  <c r="B54" i="36"/>
  <c r="A55" i="36"/>
  <c r="B55" i="36"/>
  <c r="A56" i="36"/>
  <c r="B56" i="36"/>
  <c r="A57" i="36"/>
  <c r="B57" i="36"/>
  <c r="A58" i="36"/>
  <c r="B58" i="36"/>
  <c r="A59" i="36"/>
  <c r="B59" i="36"/>
  <c r="A60" i="36"/>
  <c r="B60" i="36"/>
  <c r="A61" i="36"/>
  <c r="B61" i="36"/>
  <c r="A62" i="36"/>
  <c r="B62" i="36"/>
  <c r="A63" i="36"/>
  <c r="B63" i="36"/>
  <c r="A64" i="36"/>
  <c r="B64" i="36"/>
  <c r="A65" i="36"/>
  <c r="B65" i="36"/>
  <c r="A66" i="36"/>
  <c r="B66" i="36"/>
  <c r="A67" i="36"/>
  <c r="B67" i="36"/>
  <c r="A68" i="36"/>
  <c r="B68" i="36"/>
  <c r="A69" i="36"/>
  <c r="B69" i="36"/>
  <c r="A70" i="36"/>
  <c r="B70" i="36"/>
  <c r="A71" i="36"/>
  <c r="B71" i="36"/>
  <c r="A72" i="36"/>
  <c r="B72" i="36"/>
  <c r="A73" i="36"/>
  <c r="B73" i="36"/>
  <c r="A74" i="36"/>
  <c r="B74" i="36"/>
  <c r="A75" i="36"/>
  <c r="B75" i="36"/>
  <c r="A76" i="36"/>
  <c r="B76" i="36"/>
  <c r="A77" i="36"/>
  <c r="B77" i="36"/>
  <c r="A78" i="36"/>
  <c r="B78" i="36"/>
  <c r="A79" i="36"/>
  <c r="B79" i="36"/>
  <c r="A80" i="36"/>
  <c r="B80" i="36"/>
  <c r="A81" i="36"/>
  <c r="B81" i="36"/>
  <c r="A82" i="36"/>
  <c r="B82" i="36"/>
  <c r="A83" i="36"/>
  <c r="B83" i="36"/>
  <c r="A84" i="36"/>
  <c r="B84" i="36"/>
  <c r="A85" i="36"/>
  <c r="B85" i="36"/>
  <c r="A86" i="36"/>
  <c r="B86" i="36"/>
  <c r="A87" i="36"/>
  <c r="B87" i="36"/>
  <c r="A88" i="36"/>
  <c r="B88" i="36"/>
  <c r="A89" i="36"/>
  <c r="B89" i="36"/>
  <c r="A90" i="36"/>
  <c r="B90" i="36"/>
  <c r="A91" i="36"/>
  <c r="B91" i="36"/>
  <c r="A92" i="36"/>
  <c r="B92" i="36"/>
  <c r="A93" i="36"/>
  <c r="B93" i="36"/>
  <c r="A94" i="36"/>
  <c r="B94" i="36"/>
  <c r="A95" i="36"/>
  <c r="B95" i="36"/>
  <c r="A96" i="36"/>
  <c r="B96" i="36"/>
  <c r="A97" i="36"/>
  <c r="B97" i="36"/>
  <c r="A98" i="36"/>
  <c r="B98" i="36"/>
  <c r="A99" i="36"/>
  <c r="B99" i="36"/>
  <c r="A100" i="36"/>
  <c r="B100" i="36"/>
  <c r="A101" i="36"/>
  <c r="B101" i="36"/>
  <c r="A102" i="36"/>
  <c r="B102" i="36"/>
  <c r="A103" i="36"/>
  <c r="B103" i="36"/>
  <c r="A104" i="36"/>
  <c r="B104" i="36"/>
  <c r="A105" i="36"/>
  <c r="B105" i="36"/>
  <c r="A106" i="36"/>
  <c r="B106" i="36"/>
  <c r="A107" i="36"/>
  <c r="B107" i="36"/>
  <c r="A108" i="36"/>
  <c r="B108" i="36"/>
  <c r="A109" i="36"/>
  <c r="B109" i="36"/>
  <c r="A110" i="36"/>
  <c r="B110" i="36"/>
  <c r="A111" i="36"/>
  <c r="B111" i="36"/>
  <c r="A112" i="36"/>
  <c r="B112" i="36"/>
  <c r="A113" i="36"/>
  <c r="B113" i="36"/>
  <c r="A114" i="36"/>
  <c r="B114" i="36"/>
  <c r="A115" i="36"/>
  <c r="B115" i="36"/>
  <c r="A116" i="36"/>
  <c r="B116" i="36"/>
  <c r="A117" i="36"/>
  <c r="B117" i="36"/>
  <c r="A118" i="36"/>
  <c r="B118" i="36"/>
  <c r="A119" i="36"/>
  <c r="B119" i="36"/>
  <c r="A120" i="36"/>
  <c r="B120" i="36"/>
  <c r="A121" i="36"/>
  <c r="B121" i="36"/>
  <c r="A122" i="36"/>
  <c r="B122" i="36"/>
  <c r="A123" i="36"/>
  <c r="B123" i="36"/>
  <c r="A124" i="36"/>
  <c r="B124" i="36"/>
  <c r="A125" i="36"/>
  <c r="B125" i="36"/>
  <c r="A126" i="36"/>
  <c r="B126" i="36"/>
  <c r="A127" i="36"/>
  <c r="B127" i="36"/>
  <c r="A128" i="36"/>
  <c r="B128" i="36"/>
  <c r="A129" i="36"/>
  <c r="B129" i="36"/>
  <c r="A130" i="36"/>
  <c r="B130" i="36"/>
  <c r="A131" i="36"/>
  <c r="B131" i="36"/>
  <c r="A132" i="36"/>
  <c r="B132" i="36"/>
  <c r="A133" i="36"/>
  <c r="B133" i="36"/>
  <c r="A134" i="36"/>
  <c r="B134" i="36"/>
  <c r="A135" i="36"/>
  <c r="B135" i="36"/>
  <c r="A136" i="36"/>
  <c r="B136" i="36"/>
  <c r="A137" i="36"/>
  <c r="B137" i="36"/>
  <c r="A138" i="36"/>
  <c r="B138" i="36"/>
  <c r="A139" i="36"/>
  <c r="B139" i="36"/>
  <c r="A140" i="36"/>
  <c r="B140" i="36"/>
  <c r="A141" i="36"/>
  <c r="B141" i="36"/>
  <c r="A142" i="36"/>
  <c r="B142" i="36"/>
  <c r="A143" i="36"/>
  <c r="B143" i="36"/>
  <c r="A144" i="36"/>
  <c r="B144" i="36"/>
  <c r="A145" i="36"/>
  <c r="B145" i="36"/>
  <c r="A146" i="36"/>
  <c r="B146" i="36"/>
  <c r="A147" i="36"/>
  <c r="B147" i="36"/>
  <c r="A148" i="36"/>
  <c r="B148" i="36"/>
  <c r="A149" i="36"/>
  <c r="B149" i="36"/>
  <c r="A150" i="36"/>
  <c r="B150" i="36"/>
  <c r="A151" i="36"/>
  <c r="B151" i="36"/>
  <c r="A152" i="36"/>
  <c r="B152" i="36"/>
  <c r="A153" i="36"/>
  <c r="B153" i="36"/>
  <c r="A154" i="36"/>
  <c r="B154" i="36"/>
  <c r="A155" i="36"/>
  <c r="B155" i="36"/>
  <c r="A156" i="36"/>
  <c r="B156" i="36"/>
  <c r="A157" i="36"/>
  <c r="B157" i="36"/>
  <c r="A158" i="36"/>
  <c r="B158" i="36"/>
  <c r="A159" i="36"/>
  <c r="B159" i="36"/>
  <c r="A160" i="36"/>
  <c r="B160" i="36"/>
  <c r="A161" i="36"/>
  <c r="B161" i="36"/>
  <c r="A162" i="36"/>
  <c r="B162" i="36"/>
  <c r="A163" i="36"/>
  <c r="B163" i="36"/>
  <c r="A164" i="36"/>
  <c r="B164" i="36"/>
  <c r="A165" i="36"/>
  <c r="B165" i="36"/>
  <c r="A166" i="36"/>
  <c r="B166" i="36"/>
  <c r="A167" i="36"/>
  <c r="B167" i="36"/>
  <c r="A168" i="36"/>
  <c r="B168" i="36"/>
  <c r="A169" i="36"/>
  <c r="B169" i="36"/>
  <c r="A170" i="36"/>
  <c r="B170" i="36"/>
  <c r="A171" i="36"/>
  <c r="B171" i="36"/>
  <c r="A173" i="36"/>
  <c r="B173" i="36"/>
  <c r="A174" i="36"/>
  <c r="B174" i="36"/>
  <c r="A175" i="36"/>
  <c r="B175" i="36"/>
  <c r="A176" i="36"/>
  <c r="B176" i="36"/>
  <c r="A177" i="36"/>
  <c r="B177" i="36"/>
  <c r="A178" i="36"/>
  <c r="B178" i="36"/>
  <c r="A179" i="36"/>
  <c r="B179" i="36"/>
  <c r="A180" i="36"/>
  <c r="B180" i="36"/>
  <c r="A181" i="36"/>
  <c r="B181" i="36"/>
  <c r="A182" i="36"/>
  <c r="B182" i="36"/>
  <c r="A183" i="36"/>
  <c r="B183" i="36"/>
  <c r="A184" i="36"/>
  <c r="B184" i="36"/>
  <c r="A185" i="36"/>
  <c r="B185" i="36"/>
  <c r="A186" i="36"/>
  <c r="B186" i="36"/>
  <c r="A187" i="36"/>
  <c r="B187" i="36"/>
  <c r="A188" i="36"/>
  <c r="B188" i="36"/>
  <c r="A189" i="36"/>
  <c r="B189" i="36"/>
  <c r="A190" i="36"/>
  <c r="B190" i="36"/>
  <c r="A191" i="36"/>
  <c r="B191" i="36"/>
  <c r="A192" i="36"/>
  <c r="B192" i="36"/>
  <c r="A193" i="36"/>
  <c r="B193" i="36"/>
  <c r="A194" i="36"/>
  <c r="B194" i="36"/>
  <c r="A195" i="36"/>
  <c r="B195" i="36"/>
  <c r="A196" i="36"/>
  <c r="B196" i="36"/>
  <c r="A197" i="36"/>
  <c r="B197" i="36"/>
  <c r="A198" i="36"/>
  <c r="B198" i="36"/>
  <c r="A199" i="36"/>
  <c r="B199" i="36"/>
  <c r="A200" i="36"/>
  <c r="B200" i="36"/>
  <c r="A201" i="36"/>
  <c r="B201" i="36"/>
  <c r="A202" i="36"/>
  <c r="B202" i="36"/>
  <c r="A203" i="36"/>
  <c r="B203" i="36"/>
  <c r="A204" i="36"/>
  <c r="B204" i="36"/>
  <c r="A205" i="36"/>
  <c r="B205" i="36"/>
  <c r="A206" i="36"/>
  <c r="B206" i="36"/>
  <c r="A207" i="36"/>
  <c r="B207" i="36"/>
  <c r="A208" i="36"/>
  <c r="B208" i="36"/>
  <c r="A209" i="36"/>
  <c r="B209" i="36"/>
  <c r="A210" i="36"/>
  <c r="B210" i="36"/>
  <c r="A211" i="36"/>
  <c r="B211" i="36"/>
  <c r="A212" i="36"/>
  <c r="B212" i="36"/>
  <c r="A213" i="36"/>
  <c r="B213" i="36"/>
  <c r="A214" i="36"/>
  <c r="B214" i="36"/>
  <c r="A215" i="36"/>
  <c r="B215" i="36"/>
  <c r="A216" i="36"/>
  <c r="B216" i="36"/>
  <c r="A217" i="36"/>
  <c r="B217" i="36"/>
  <c r="A218" i="36"/>
  <c r="B218" i="36"/>
  <c r="A219" i="36"/>
  <c r="B219" i="36"/>
  <c r="A220" i="36"/>
  <c r="B220" i="36"/>
  <c r="A222" i="36"/>
  <c r="B222" i="36"/>
  <c r="A223" i="36"/>
  <c r="B223" i="36"/>
  <c r="A224" i="36"/>
  <c r="B224" i="36"/>
  <c r="A225" i="36"/>
  <c r="B225" i="36"/>
  <c r="A226" i="36"/>
  <c r="B226" i="36"/>
  <c r="A227" i="36"/>
  <c r="B227" i="36"/>
  <c r="A228" i="36"/>
  <c r="B228" i="36"/>
  <c r="A229" i="36"/>
  <c r="B229" i="36"/>
  <c r="A230" i="36"/>
  <c r="B230" i="36"/>
  <c r="A231" i="36"/>
  <c r="B231" i="36"/>
  <c r="A232" i="36"/>
  <c r="B232" i="36"/>
  <c r="A233" i="36"/>
  <c r="B233" i="36"/>
  <c r="A234" i="36"/>
  <c r="B234" i="36"/>
  <c r="A235" i="36"/>
  <c r="B235" i="36"/>
  <c r="A236" i="36"/>
  <c r="B236" i="36"/>
  <c r="A237" i="36"/>
  <c r="B237" i="36"/>
  <c r="A238" i="36"/>
  <c r="B238" i="36"/>
  <c r="A239" i="36"/>
  <c r="B239" i="36"/>
  <c r="A240" i="36"/>
  <c r="B240" i="36"/>
  <c r="A241" i="36"/>
  <c r="B241" i="36"/>
  <c r="A242" i="36"/>
  <c r="B242" i="36"/>
  <c r="A243" i="36"/>
  <c r="B243" i="36"/>
  <c r="A244" i="36"/>
  <c r="B244" i="36"/>
  <c r="A245" i="36"/>
  <c r="B245" i="36"/>
  <c r="A247" i="36"/>
  <c r="B247" i="36"/>
  <c r="A248" i="36"/>
  <c r="B248" i="36"/>
  <c r="A249" i="36"/>
  <c r="B249" i="36"/>
  <c r="A250" i="36"/>
  <c r="B250" i="36"/>
  <c r="A251" i="36"/>
  <c r="B251" i="36"/>
  <c r="A252" i="36"/>
  <c r="B252" i="36"/>
  <c r="A253" i="36"/>
  <c r="B253" i="36"/>
  <c r="A254" i="36"/>
  <c r="B254" i="36"/>
  <c r="A255" i="36"/>
  <c r="B255" i="36"/>
  <c r="A256" i="36"/>
  <c r="B256" i="36"/>
  <c r="A257" i="36"/>
  <c r="B257" i="36"/>
  <c r="A258" i="36"/>
  <c r="B258" i="36"/>
  <c r="A259" i="36"/>
  <c r="B259" i="36"/>
  <c r="A260" i="36"/>
  <c r="B260" i="36"/>
  <c r="A261" i="36"/>
  <c r="B261" i="36"/>
  <c r="A262" i="36"/>
  <c r="B262" i="36"/>
  <c r="A263" i="36"/>
  <c r="B263" i="36"/>
  <c r="A264" i="36"/>
  <c r="B264" i="36"/>
  <c r="A265" i="36"/>
  <c r="B265" i="36"/>
  <c r="A266" i="36"/>
  <c r="B266" i="36"/>
  <c r="A267" i="36"/>
  <c r="B267" i="36"/>
  <c r="A268" i="36"/>
  <c r="B268" i="36"/>
  <c r="A269" i="36"/>
  <c r="B269" i="36"/>
  <c r="A270" i="36"/>
  <c r="B270" i="36"/>
  <c r="A271" i="36"/>
  <c r="B271" i="36"/>
  <c r="A272" i="36"/>
  <c r="B272" i="36"/>
  <c r="A273" i="36"/>
  <c r="B273" i="36"/>
  <c r="A274" i="36"/>
  <c r="B274" i="36"/>
  <c r="A275" i="36"/>
  <c r="B275" i="36"/>
  <c r="A276" i="36"/>
  <c r="B276" i="36"/>
  <c r="A277" i="36"/>
  <c r="B277" i="36"/>
  <c r="A278" i="36"/>
  <c r="B278" i="36"/>
  <c r="A279" i="36"/>
  <c r="B279" i="36"/>
  <c r="A280" i="36"/>
  <c r="B280" i="36"/>
  <c r="A281" i="36"/>
  <c r="B281" i="36"/>
  <c r="A282" i="36"/>
  <c r="B282" i="36"/>
  <c r="A283" i="36"/>
  <c r="B283" i="36"/>
  <c r="A284" i="36"/>
  <c r="B284" i="36"/>
  <c r="A285" i="36"/>
  <c r="B285" i="36"/>
  <c r="A286" i="36"/>
  <c r="B286" i="36"/>
  <c r="A287" i="36"/>
  <c r="B287" i="36"/>
  <c r="A288" i="36"/>
  <c r="B288" i="36"/>
  <c r="A289" i="36"/>
  <c r="B289" i="36"/>
  <c r="A290" i="36"/>
  <c r="B290" i="36"/>
  <c r="A291" i="36"/>
  <c r="B291" i="36"/>
  <c r="A292" i="36"/>
  <c r="B292" i="36"/>
  <c r="A293" i="36"/>
  <c r="B293" i="36"/>
  <c r="A294" i="36"/>
  <c r="B294" i="36"/>
  <c r="A295" i="36"/>
  <c r="B295" i="36"/>
  <c r="A296" i="36"/>
  <c r="B296" i="36"/>
  <c r="A297" i="36"/>
  <c r="B297" i="36"/>
  <c r="A298" i="36"/>
  <c r="B298" i="36"/>
  <c r="A299" i="36"/>
  <c r="B299" i="36"/>
  <c r="A300" i="36"/>
  <c r="B300" i="36"/>
  <c r="A301" i="36"/>
  <c r="B301" i="36"/>
  <c r="A302" i="36"/>
  <c r="B302" i="36"/>
  <c r="A303" i="36"/>
  <c r="B303" i="36"/>
  <c r="A304" i="36"/>
  <c r="B304" i="36"/>
  <c r="A305" i="36"/>
  <c r="B305" i="36"/>
  <c r="A306" i="36"/>
  <c r="B306" i="36"/>
  <c r="A307" i="36"/>
  <c r="B307" i="36"/>
  <c r="A308" i="36"/>
  <c r="B308" i="36"/>
  <c r="A309" i="36"/>
  <c r="B309" i="36"/>
  <c r="A310" i="36"/>
  <c r="B310" i="36"/>
  <c r="A311" i="36"/>
  <c r="B311" i="36"/>
  <c r="A312" i="36"/>
  <c r="B312" i="36"/>
  <c r="A313" i="36"/>
  <c r="B313" i="36"/>
  <c r="A314" i="36"/>
  <c r="B314" i="36"/>
  <c r="A315" i="36"/>
  <c r="B315" i="36"/>
  <c r="A316" i="36"/>
  <c r="B316" i="36"/>
  <c r="B8" i="36"/>
  <c r="A8" i="36"/>
  <c r="C11" i="9"/>
  <c r="A12" i="9"/>
  <c r="B12" i="9"/>
  <c r="A13" i="9"/>
  <c r="B13" i="9"/>
  <c r="A14" i="9"/>
  <c r="B14" i="9"/>
  <c r="A15" i="9"/>
  <c r="B15" i="9"/>
  <c r="A16" i="9"/>
  <c r="B16" i="9"/>
  <c r="A17" i="9"/>
  <c r="B17" i="9"/>
  <c r="A18" i="9"/>
  <c r="B18" i="9"/>
  <c r="A19" i="9"/>
  <c r="B19" i="9"/>
  <c r="A20" i="9"/>
  <c r="B20" i="9"/>
  <c r="A21" i="9"/>
  <c r="B21" i="9"/>
  <c r="A22" i="9"/>
  <c r="B22" i="9"/>
  <c r="A23" i="9"/>
  <c r="B23" i="9"/>
  <c r="A24" i="9"/>
  <c r="B24" i="9"/>
  <c r="A25" i="9"/>
  <c r="B25" i="9"/>
  <c r="A26" i="9"/>
  <c r="B26" i="9"/>
  <c r="A27" i="9"/>
  <c r="B27" i="9"/>
  <c r="A28" i="9"/>
  <c r="B28" i="9"/>
  <c r="A29" i="9"/>
  <c r="B29" i="9"/>
  <c r="A30" i="9"/>
  <c r="B30" i="9"/>
  <c r="A31" i="9"/>
  <c r="B31" i="9"/>
  <c r="A32" i="9"/>
  <c r="B32" i="9"/>
  <c r="A33" i="9"/>
  <c r="B33" i="9"/>
  <c r="A34" i="9"/>
  <c r="B34" i="9"/>
  <c r="A35" i="9"/>
  <c r="B35" i="9"/>
  <c r="A36" i="9"/>
  <c r="B36" i="9"/>
  <c r="A37" i="9"/>
  <c r="B37" i="9"/>
  <c r="A38" i="9"/>
  <c r="B38" i="9"/>
  <c r="A39" i="9"/>
  <c r="B39" i="9"/>
  <c r="A40" i="9"/>
  <c r="B40" i="9"/>
  <c r="A41" i="9"/>
  <c r="B41" i="9"/>
  <c r="A42" i="9"/>
  <c r="B42" i="9"/>
  <c r="A43" i="9"/>
  <c r="B43" i="9"/>
  <c r="A44" i="9"/>
  <c r="B44" i="9"/>
  <c r="A45" i="9"/>
  <c r="B45" i="9"/>
  <c r="A46" i="9"/>
  <c r="B46" i="9"/>
  <c r="A47" i="9"/>
  <c r="B47" i="9"/>
  <c r="A48" i="9"/>
  <c r="B48" i="9"/>
  <c r="A49" i="9"/>
  <c r="B49" i="9"/>
  <c r="A50" i="9"/>
  <c r="B50" i="9"/>
  <c r="A51" i="9"/>
  <c r="B51" i="9"/>
  <c r="A52" i="9"/>
  <c r="B52" i="9"/>
  <c r="A53" i="9"/>
  <c r="B53" i="9"/>
  <c r="A54" i="9"/>
  <c r="B54" i="9"/>
  <c r="A55" i="9"/>
  <c r="B55" i="9"/>
  <c r="A56" i="9"/>
  <c r="B56" i="9"/>
  <c r="A57" i="9"/>
  <c r="B57" i="9"/>
  <c r="A58" i="9"/>
  <c r="B58" i="9"/>
  <c r="A59" i="9"/>
  <c r="B59" i="9"/>
  <c r="A60" i="9"/>
  <c r="B60" i="9"/>
  <c r="A61" i="9"/>
  <c r="B61" i="9"/>
  <c r="A62" i="9"/>
  <c r="B62" i="9"/>
  <c r="A63" i="9"/>
  <c r="B63" i="9"/>
  <c r="A64" i="9"/>
  <c r="B64" i="9"/>
  <c r="A65" i="9"/>
  <c r="B65" i="9"/>
  <c r="A66" i="9"/>
  <c r="B66" i="9"/>
  <c r="A67" i="9"/>
  <c r="B67" i="9"/>
  <c r="A68" i="9"/>
  <c r="B68" i="9"/>
  <c r="A69" i="9"/>
  <c r="B69" i="9"/>
  <c r="A70" i="9"/>
  <c r="B70" i="9"/>
  <c r="A71" i="9"/>
  <c r="B71" i="9"/>
  <c r="A72" i="9"/>
  <c r="B72" i="9"/>
  <c r="A73" i="9"/>
  <c r="B73" i="9"/>
  <c r="A74" i="9"/>
  <c r="B74" i="9"/>
  <c r="A75" i="9"/>
  <c r="B75" i="9"/>
  <c r="A76" i="9"/>
  <c r="B76" i="9"/>
  <c r="A77" i="9"/>
  <c r="B77" i="9"/>
  <c r="A78" i="9"/>
  <c r="B78" i="9"/>
  <c r="A79" i="9"/>
  <c r="B79" i="9"/>
  <c r="A80" i="9"/>
  <c r="B80" i="9"/>
  <c r="A81" i="9"/>
  <c r="B81" i="9"/>
  <c r="A82" i="9"/>
  <c r="B82" i="9"/>
  <c r="A83" i="9"/>
  <c r="B83" i="9"/>
  <c r="A84" i="9"/>
  <c r="B84" i="9"/>
  <c r="A85" i="9"/>
  <c r="B85" i="9"/>
  <c r="A86" i="9"/>
  <c r="B86" i="9"/>
  <c r="A87" i="9"/>
  <c r="B87" i="9"/>
  <c r="A88" i="9"/>
  <c r="B88" i="9"/>
  <c r="A89" i="9"/>
  <c r="B89" i="9"/>
  <c r="A90" i="9"/>
  <c r="B90" i="9"/>
  <c r="A91" i="9"/>
  <c r="B91" i="9"/>
  <c r="A92" i="9"/>
  <c r="B92" i="9"/>
  <c r="A93" i="9"/>
  <c r="B93" i="9"/>
  <c r="A94" i="9"/>
  <c r="B94" i="9"/>
  <c r="A95" i="9"/>
  <c r="B95" i="9"/>
  <c r="A96" i="9"/>
  <c r="B96" i="9"/>
  <c r="A97" i="9"/>
  <c r="B97" i="9"/>
  <c r="A98" i="9"/>
  <c r="B98" i="9"/>
  <c r="A99" i="9"/>
  <c r="B99" i="9"/>
  <c r="A100" i="9"/>
  <c r="B100" i="9"/>
  <c r="A101" i="9"/>
  <c r="B101" i="9"/>
  <c r="A102" i="9"/>
  <c r="B102" i="9"/>
  <c r="A103" i="9"/>
  <c r="B103" i="9"/>
  <c r="A104" i="9"/>
  <c r="B104" i="9"/>
  <c r="A105" i="9"/>
  <c r="B105" i="9"/>
  <c r="A106" i="9"/>
  <c r="B106" i="9"/>
  <c r="A107" i="9"/>
  <c r="B107" i="9"/>
  <c r="A108" i="9"/>
  <c r="B108" i="9"/>
  <c r="A109" i="9"/>
  <c r="B109" i="9"/>
  <c r="A110" i="9"/>
  <c r="B110" i="9"/>
  <c r="A111" i="9"/>
  <c r="B111" i="9"/>
  <c r="A112" i="9"/>
  <c r="B112" i="9"/>
  <c r="A113" i="9"/>
  <c r="B113" i="9"/>
  <c r="A114" i="9"/>
  <c r="B114" i="9"/>
  <c r="A115" i="9"/>
  <c r="B115" i="9"/>
  <c r="A116" i="9"/>
  <c r="B116" i="9"/>
  <c r="A117" i="9"/>
  <c r="B117" i="9"/>
  <c r="A118" i="9"/>
  <c r="B118" i="9"/>
  <c r="A119" i="9"/>
  <c r="B119" i="9"/>
  <c r="A120" i="9"/>
  <c r="B120" i="9"/>
  <c r="A121" i="9"/>
  <c r="B121" i="9"/>
  <c r="A122" i="9"/>
  <c r="B122" i="9"/>
  <c r="A123" i="9"/>
  <c r="B123" i="9"/>
  <c r="A124" i="9"/>
  <c r="B124" i="9"/>
  <c r="A125" i="9"/>
  <c r="B125" i="9"/>
  <c r="A126" i="9"/>
  <c r="B126" i="9"/>
  <c r="A127" i="9"/>
  <c r="B127" i="9"/>
  <c r="A128" i="9"/>
  <c r="B128" i="9"/>
  <c r="A129" i="9"/>
  <c r="B129" i="9"/>
  <c r="A130" i="9"/>
  <c r="B130" i="9"/>
  <c r="A131" i="9"/>
  <c r="B131" i="9"/>
  <c r="A132" i="9"/>
  <c r="B132" i="9"/>
  <c r="A133" i="9"/>
  <c r="B133" i="9"/>
  <c r="A134" i="9"/>
  <c r="B134" i="9"/>
  <c r="A135" i="9"/>
  <c r="B135" i="9"/>
  <c r="A136" i="9"/>
  <c r="B136" i="9"/>
  <c r="A137" i="9"/>
  <c r="B137" i="9"/>
  <c r="A138" i="9"/>
  <c r="B138" i="9"/>
  <c r="A139" i="9"/>
  <c r="B139" i="9"/>
  <c r="A140" i="9"/>
  <c r="B140" i="9"/>
  <c r="A141" i="9"/>
  <c r="B141" i="9"/>
  <c r="A142" i="9"/>
  <c r="B142" i="9"/>
  <c r="A143" i="9"/>
  <c r="B143" i="9"/>
  <c r="A144" i="9"/>
  <c r="B144" i="9"/>
  <c r="A145" i="9"/>
  <c r="B145" i="9"/>
  <c r="A146" i="9"/>
  <c r="B146" i="9"/>
  <c r="A147" i="9"/>
  <c r="B147" i="9"/>
  <c r="A148" i="9"/>
  <c r="B148" i="9"/>
  <c r="A149" i="9"/>
  <c r="B149" i="9"/>
  <c r="A150" i="9"/>
  <c r="B150" i="9"/>
  <c r="A151" i="9"/>
  <c r="B151" i="9"/>
  <c r="A152" i="9"/>
  <c r="B152" i="9"/>
  <c r="A153" i="9"/>
  <c r="B153" i="9"/>
  <c r="A154" i="9"/>
  <c r="B154" i="9"/>
  <c r="A155" i="9"/>
  <c r="B155" i="9"/>
  <c r="A156" i="9"/>
  <c r="B156" i="9"/>
  <c r="A157" i="9"/>
  <c r="B157" i="9"/>
  <c r="A158" i="9"/>
  <c r="B158" i="9"/>
  <c r="A159" i="9"/>
  <c r="B159" i="9"/>
  <c r="A160" i="9"/>
  <c r="B160" i="9"/>
  <c r="A161" i="9"/>
  <c r="B161" i="9"/>
  <c r="A162" i="9"/>
  <c r="B162" i="9"/>
  <c r="A163" i="9"/>
  <c r="B163" i="9"/>
  <c r="A164" i="9"/>
  <c r="B164" i="9"/>
  <c r="A165" i="9"/>
  <c r="B165" i="9"/>
  <c r="A166" i="9"/>
  <c r="B166" i="9"/>
  <c r="A167" i="9"/>
  <c r="B167" i="9"/>
  <c r="A168" i="9"/>
  <c r="B168" i="9"/>
  <c r="A169" i="9"/>
  <c r="B169" i="9"/>
  <c r="A170" i="9"/>
  <c r="B170" i="9"/>
  <c r="A171" i="9"/>
  <c r="B171" i="9"/>
  <c r="A172" i="9"/>
  <c r="B172" i="9"/>
  <c r="A173" i="9"/>
  <c r="B173" i="9"/>
  <c r="A174" i="9"/>
  <c r="B174" i="9"/>
  <c r="A176" i="9"/>
  <c r="B176" i="9"/>
  <c r="A177" i="9"/>
  <c r="B177" i="9"/>
  <c r="A178" i="9"/>
  <c r="B178" i="9"/>
  <c r="A179" i="9"/>
  <c r="B179" i="9"/>
  <c r="A180" i="9"/>
  <c r="B180" i="9"/>
  <c r="A181" i="9"/>
  <c r="B181" i="9"/>
  <c r="A182" i="9"/>
  <c r="B182" i="9"/>
  <c r="A183" i="9"/>
  <c r="B183" i="9"/>
  <c r="A184" i="9"/>
  <c r="B184" i="9"/>
  <c r="A185" i="9"/>
  <c r="B185" i="9"/>
  <c r="A186" i="9"/>
  <c r="B186" i="9"/>
  <c r="A187" i="9"/>
  <c r="B187" i="9"/>
  <c r="A188" i="9"/>
  <c r="B188" i="9"/>
  <c r="A189" i="9"/>
  <c r="B189" i="9"/>
  <c r="A190" i="9"/>
  <c r="B190" i="9"/>
  <c r="A191" i="9"/>
  <c r="B191" i="9"/>
  <c r="A192" i="9"/>
  <c r="B192" i="9"/>
  <c r="A193" i="9"/>
  <c r="B193" i="9"/>
  <c r="A194" i="9"/>
  <c r="B194" i="9"/>
  <c r="A195" i="9"/>
  <c r="B195" i="9"/>
  <c r="A196" i="9"/>
  <c r="B196" i="9"/>
  <c r="A197" i="9"/>
  <c r="B197" i="9"/>
  <c r="A198" i="9"/>
  <c r="B198" i="9"/>
  <c r="A199" i="9"/>
  <c r="B199" i="9"/>
  <c r="A200" i="9"/>
  <c r="B200" i="9"/>
  <c r="A201" i="9"/>
  <c r="B201" i="9"/>
  <c r="A202" i="9"/>
  <c r="B202" i="9"/>
  <c r="A203" i="9"/>
  <c r="B203" i="9"/>
  <c r="A204" i="9"/>
  <c r="B204" i="9"/>
  <c r="A205" i="9"/>
  <c r="B205" i="9"/>
  <c r="A206" i="9"/>
  <c r="B206" i="9"/>
  <c r="A207" i="9"/>
  <c r="B207" i="9"/>
  <c r="A208" i="9"/>
  <c r="B208" i="9"/>
  <c r="A209" i="9"/>
  <c r="B209" i="9"/>
  <c r="A210" i="9"/>
  <c r="B210" i="9"/>
  <c r="A211" i="9"/>
  <c r="B211" i="9"/>
  <c r="A212" i="9"/>
  <c r="B212" i="9"/>
  <c r="A213" i="9"/>
  <c r="B213" i="9"/>
  <c r="A214" i="9"/>
  <c r="B214" i="9"/>
  <c r="A215" i="9"/>
  <c r="B215" i="9"/>
  <c r="A216" i="9"/>
  <c r="B216" i="9"/>
  <c r="A217" i="9"/>
  <c r="B217" i="9"/>
  <c r="A218" i="9"/>
  <c r="B218" i="9"/>
  <c r="A219" i="9"/>
  <c r="B219" i="9"/>
  <c r="A220" i="9"/>
  <c r="B220" i="9"/>
  <c r="A221" i="9"/>
  <c r="B221" i="9"/>
  <c r="A222" i="9"/>
  <c r="B222" i="9"/>
  <c r="A223" i="9"/>
  <c r="B223" i="9"/>
  <c r="A225" i="9"/>
  <c r="B225" i="9"/>
  <c r="A226" i="9"/>
  <c r="B226" i="9"/>
  <c r="A227" i="9"/>
  <c r="B227" i="9"/>
  <c r="A228" i="9"/>
  <c r="B228" i="9"/>
  <c r="A229" i="9"/>
  <c r="B229" i="9"/>
  <c r="A230" i="9"/>
  <c r="B230" i="9"/>
  <c r="A231" i="9"/>
  <c r="B231" i="9"/>
  <c r="A232" i="9"/>
  <c r="B232" i="9"/>
  <c r="A233" i="9"/>
  <c r="B233" i="9"/>
  <c r="A234" i="9"/>
  <c r="B234" i="9"/>
  <c r="A235" i="9"/>
  <c r="B235" i="9"/>
  <c r="A236" i="9"/>
  <c r="B236" i="9"/>
  <c r="A237" i="9"/>
  <c r="B237" i="9"/>
  <c r="A238" i="9"/>
  <c r="B238" i="9"/>
  <c r="A239" i="9"/>
  <c r="B239" i="9"/>
  <c r="A240" i="9"/>
  <c r="B240" i="9"/>
  <c r="A241" i="9"/>
  <c r="B241" i="9"/>
  <c r="A242" i="9"/>
  <c r="B242" i="9"/>
  <c r="A243" i="9"/>
  <c r="B243" i="9"/>
  <c r="A244" i="9"/>
  <c r="B244" i="9"/>
  <c r="A245" i="9"/>
  <c r="B245" i="9"/>
  <c r="A246" i="9"/>
  <c r="B246" i="9"/>
  <c r="A247" i="9"/>
  <c r="B247" i="9"/>
  <c r="A248" i="9"/>
  <c r="B248" i="9"/>
  <c r="A250" i="9"/>
  <c r="B250" i="9"/>
  <c r="A251" i="9"/>
  <c r="B251" i="9"/>
  <c r="A252" i="9"/>
  <c r="B252" i="9"/>
  <c r="A253" i="9"/>
  <c r="B253" i="9"/>
  <c r="A254" i="9"/>
  <c r="B254" i="9"/>
  <c r="A255" i="9"/>
  <c r="B255" i="9"/>
  <c r="A256" i="9"/>
  <c r="B256" i="9"/>
  <c r="A257" i="9"/>
  <c r="B257" i="9"/>
  <c r="A258" i="9"/>
  <c r="B258" i="9"/>
  <c r="A259" i="9"/>
  <c r="B259" i="9"/>
  <c r="A260" i="9"/>
  <c r="B260" i="9"/>
  <c r="A261" i="9"/>
  <c r="B261" i="9"/>
  <c r="A262" i="9"/>
  <c r="B262" i="9"/>
  <c r="A263" i="9"/>
  <c r="B263" i="9"/>
  <c r="A264" i="9"/>
  <c r="B264" i="9"/>
  <c r="A265" i="9"/>
  <c r="B265" i="9"/>
  <c r="A266" i="9"/>
  <c r="B266" i="9"/>
  <c r="A267" i="9"/>
  <c r="B267" i="9"/>
  <c r="A268" i="9"/>
  <c r="B268" i="9"/>
  <c r="A269" i="9"/>
  <c r="B269" i="9"/>
  <c r="A270" i="9"/>
  <c r="B270" i="9"/>
  <c r="A271" i="9"/>
  <c r="B271" i="9"/>
  <c r="A272" i="9"/>
  <c r="B272" i="9"/>
  <c r="A273" i="9"/>
  <c r="B273" i="9"/>
  <c r="A274" i="9"/>
  <c r="B274" i="9"/>
  <c r="A275" i="9"/>
  <c r="B275" i="9"/>
  <c r="A276" i="9"/>
  <c r="B276" i="9"/>
  <c r="A277" i="9"/>
  <c r="B277" i="9"/>
  <c r="A278" i="9"/>
  <c r="B278" i="9"/>
  <c r="A279" i="9"/>
  <c r="B279" i="9"/>
  <c r="A280" i="9"/>
  <c r="B280" i="9"/>
  <c r="A281" i="9"/>
  <c r="B281" i="9"/>
  <c r="A282" i="9"/>
  <c r="B282" i="9"/>
  <c r="A283" i="9"/>
  <c r="B283" i="9"/>
  <c r="A284" i="9"/>
  <c r="B284" i="9"/>
  <c r="A285" i="9"/>
  <c r="B285" i="9"/>
  <c r="A286" i="9"/>
  <c r="B286" i="9"/>
  <c r="A287" i="9"/>
  <c r="B287" i="9"/>
  <c r="A288" i="9"/>
  <c r="B288" i="9"/>
  <c r="A289" i="9"/>
  <c r="B289" i="9"/>
  <c r="A290" i="9"/>
  <c r="B290" i="9"/>
  <c r="A291" i="9"/>
  <c r="B291" i="9"/>
  <c r="A292" i="9"/>
  <c r="B292" i="9"/>
  <c r="A293" i="9"/>
  <c r="B293" i="9"/>
  <c r="A294" i="9"/>
  <c r="B294" i="9"/>
  <c r="A295" i="9"/>
  <c r="B295" i="9"/>
  <c r="A296" i="9"/>
  <c r="B296" i="9"/>
  <c r="A297" i="9"/>
  <c r="B297" i="9"/>
  <c r="A298" i="9"/>
  <c r="B298" i="9"/>
  <c r="A299" i="9"/>
  <c r="B299" i="9"/>
  <c r="A300" i="9"/>
  <c r="B300" i="9"/>
  <c r="A301" i="9"/>
  <c r="B301" i="9"/>
  <c r="A302" i="9"/>
  <c r="B302" i="9"/>
  <c r="A303" i="9"/>
  <c r="B303" i="9"/>
  <c r="A304" i="9"/>
  <c r="B304" i="9"/>
  <c r="A305" i="9"/>
  <c r="B305" i="9"/>
  <c r="A306" i="9"/>
  <c r="B306" i="9"/>
  <c r="A307" i="9"/>
  <c r="B307" i="9"/>
  <c r="A308" i="9"/>
  <c r="B308" i="9"/>
  <c r="A309" i="9"/>
  <c r="B309" i="9"/>
  <c r="A310" i="9"/>
  <c r="B310" i="9"/>
  <c r="A311" i="9"/>
  <c r="B311" i="9"/>
  <c r="A312" i="9"/>
  <c r="B312" i="9"/>
  <c r="A313" i="9"/>
  <c r="B313" i="9"/>
  <c r="A314" i="9"/>
  <c r="B314" i="9"/>
  <c r="A315" i="9"/>
  <c r="B315" i="9"/>
  <c r="A316" i="9"/>
  <c r="B316" i="9"/>
  <c r="A317" i="9"/>
  <c r="B317" i="9"/>
  <c r="A318" i="9"/>
  <c r="B318" i="9"/>
  <c r="A319" i="9"/>
  <c r="B319" i="9"/>
  <c r="B11" i="9"/>
  <c r="A11" i="9"/>
  <c r="K6" i="13" l="1"/>
  <c r="D325" i="34"/>
  <c r="B314" i="37"/>
  <c r="C314" i="37"/>
  <c r="C317" i="36"/>
  <c r="B317" i="36"/>
  <c r="B314" i="12"/>
  <c r="B314" i="39"/>
  <c r="B315" i="13"/>
  <c r="B325" i="34"/>
  <c r="C320" i="9"/>
  <c r="B320" i="9"/>
  <c r="H3" i="33" l="1"/>
  <c r="I3" i="33"/>
  <c r="J3" i="33"/>
  <c r="G3" i="33"/>
  <c r="J4" i="33"/>
  <c r="H4" i="33"/>
  <c r="I4" i="33"/>
  <c r="G4" i="33"/>
  <c r="C4" i="32" l="1"/>
  <c r="A6" i="33"/>
  <c r="B6" i="33"/>
  <c r="A7" i="33"/>
  <c r="B7" i="33"/>
  <c r="A8" i="33"/>
  <c r="B8" i="33"/>
  <c r="A9" i="33"/>
  <c r="B9" i="33"/>
  <c r="A10" i="33"/>
  <c r="B10" i="33"/>
  <c r="A11" i="33"/>
  <c r="B11" i="33"/>
  <c r="A12" i="33"/>
  <c r="B12" i="33"/>
  <c r="A13" i="33"/>
  <c r="B13" i="33"/>
  <c r="A14" i="33"/>
  <c r="B14" i="33"/>
  <c r="A15" i="33"/>
  <c r="B15" i="33"/>
  <c r="A16" i="33"/>
  <c r="B16" i="33"/>
  <c r="A17" i="33"/>
  <c r="B17" i="33"/>
  <c r="A18" i="33"/>
  <c r="B18" i="33"/>
  <c r="A19" i="33"/>
  <c r="B19" i="33"/>
  <c r="A20" i="33"/>
  <c r="B20" i="33"/>
  <c r="A21" i="33"/>
  <c r="B21" i="33"/>
  <c r="A22" i="33"/>
  <c r="B22" i="33"/>
  <c r="A23" i="33"/>
  <c r="B23" i="33"/>
  <c r="A24" i="33"/>
  <c r="B24" i="33"/>
  <c r="A25" i="33"/>
  <c r="B25" i="33"/>
  <c r="A26" i="33"/>
  <c r="B26" i="33"/>
  <c r="A27" i="33"/>
  <c r="B27" i="33"/>
  <c r="A28" i="33"/>
  <c r="B28" i="33"/>
  <c r="A29" i="33"/>
  <c r="B29" i="33"/>
  <c r="A30" i="33"/>
  <c r="B30" i="33"/>
  <c r="A31" i="33"/>
  <c r="B31" i="33"/>
  <c r="A32" i="33"/>
  <c r="B32" i="33"/>
  <c r="A33" i="33"/>
  <c r="B33" i="33"/>
  <c r="A34" i="33"/>
  <c r="B34" i="33"/>
  <c r="A35" i="33"/>
  <c r="B35" i="33"/>
  <c r="A36" i="33"/>
  <c r="B36" i="33"/>
  <c r="A37" i="33"/>
  <c r="B37" i="33"/>
  <c r="A38" i="33"/>
  <c r="B38" i="33"/>
  <c r="A39" i="33"/>
  <c r="B39" i="33"/>
  <c r="A40" i="33"/>
  <c r="B40" i="33"/>
  <c r="A41" i="33"/>
  <c r="B41" i="33"/>
  <c r="A42" i="33"/>
  <c r="B42" i="33"/>
  <c r="A43" i="33"/>
  <c r="B43" i="33"/>
  <c r="A44" i="33"/>
  <c r="B44" i="33"/>
  <c r="A45" i="33"/>
  <c r="B45" i="33"/>
  <c r="A46" i="33"/>
  <c r="B46" i="33"/>
  <c r="A47" i="33"/>
  <c r="B47" i="33"/>
  <c r="A48" i="33"/>
  <c r="B48" i="33"/>
  <c r="A49" i="33"/>
  <c r="B49" i="33"/>
  <c r="A50" i="33"/>
  <c r="B50" i="33"/>
  <c r="A51" i="33"/>
  <c r="B51" i="33"/>
  <c r="A52" i="33"/>
  <c r="B52" i="33"/>
  <c r="A53" i="33"/>
  <c r="B53" i="33"/>
  <c r="A54" i="33"/>
  <c r="B54" i="33"/>
  <c r="A55" i="33"/>
  <c r="B55" i="33"/>
  <c r="A56" i="33"/>
  <c r="B56" i="33"/>
  <c r="A57" i="33"/>
  <c r="B57" i="33"/>
  <c r="A58" i="33"/>
  <c r="B58" i="33"/>
  <c r="A59" i="33"/>
  <c r="B59" i="33"/>
  <c r="A60" i="33"/>
  <c r="B60" i="33"/>
  <c r="A61" i="33"/>
  <c r="B61" i="33"/>
  <c r="A62" i="33"/>
  <c r="B62" i="33"/>
  <c r="A63" i="33"/>
  <c r="B63" i="33"/>
  <c r="A64" i="33"/>
  <c r="B64" i="33"/>
  <c r="A65" i="33"/>
  <c r="B65" i="33"/>
  <c r="A66" i="33"/>
  <c r="B66" i="33"/>
  <c r="A67" i="33"/>
  <c r="B67" i="33"/>
  <c r="A68" i="33"/>
  <c r="B68" i="33"/>
  <c r="A69" i="33"/>
  <c r="B69" i="33"/>
  <c r="A70" i="33"/>
  <c r="B70" i="33"/>
  <c r="A71" i="33"/>
  <c r="B71" i="33"/>
  <c r="A72" i="33"/>
  <c r="B72" i="33"/>
  <c r="A73" i="33"/>
  <c r="B73" i="33"/>
  <c r="A74" i="33"/>
  <c r="B74" i="33"/>
  <c r="A75" i="33"/>
  <c r="B75" i="33"/>
  <c r="A76" i="33"/>
  <c r="B76" i="33"/>
  <c r="A77" i="33"/>
  <c r="B77" i="33"/>
  <c r="A78" i="33"/>
  <c r="B78" i="33"/>
  <c r="A79" i="33"/>
  <c r="B79" i="33"/>
  <c r="A80" i="33"/>
  <c r="B80" i="33"/>
  <c r="A81" i="33"/>
  <c r="B81" i="33"/>
  <c r="A82" i="33"/>
  <c r="B82" i="33"/>
  <c r="A83" i="33"/>
  <c r="B83" i="33"/>
  <c r="A84" i="33"/>
  <c r="B84" i="33"/>
  <c r="A85" i="33"/>
  <c r="B85" i="33"/>
  <c r="A86" i="33"/>
  <c r="B86" i="33"/>
  <c r="A87" i="33"/>
  <c r="B87" i="33"/>
  <c r="A88" i="33"/>
  <c r="B88" i="33"/>
  <c r="A89" i="33"/>
  <c r="B89" i="33"/>
  <c r="A90" i="33"/>
  <c r="B90" i="33"/>
  <c r="A91" i="33"/>
  <c r="B91" i="33"/>
  <c r="A92" i="33"/>
  <c r="B92" i="33"/>
  <c r="A93" i="33"/>
  <c r="B93" i="33"/>
  <c r="A94" i="33"/>
  <c r="B94" i="33"/>
  <c r="A95" i="33"/>
  <c r="B95" i="33"/>
  <c r="A96" i="33"/>
  <c r="B96" i="33"/>
  <c r="A97" i="33"/>
  <c r="B97" i="33"/>
  <c r="A98" i="33"/>
  <c r="B98" i="33"/>
  <c r="A99" i="33"/>
  <c r="B99" i="33"/>
  <c r="A100" i="33"/>
  <c r="B100" i="33"/>
  <c r="A101" i="33"/>
  <c r="B101" i="33"/>
  <c r="A102" i="33"/>
  <c r="B102" i="33"/>
  <c r="A103" i="33"/>
  <c r="B103" i="33"/>
  <c r="A104" i="33"/>
  <c r="B104" i="33"/>
  <c r="A105" i="33"/>
  <c r="B105" i="33"/>
  <c r="A106" i="33"/>
  <c r="B106" i="33"/>
  <c r="A107" i="33"/>
  <c r="B107" i="33"/>
  <c r="A108" i="33"/>
  <c r="B108" i="33"/>
  <c r="A109" i="33"/>
  <c r="B109" i="33"/>
  <c r="A110" i="33"/>
  <c r="B110" i="33"/>
  <c r="A111" i="33"/>
  <c r="B111" i="33"/>
  <c r="A112" i="33"/>
  <c r="B112" i="33"/>
  <c r="A113" i="33"/>
  <c r="B113" i="33"/>
  <c r="A114" i="33"/>
  <c r="B114" i="33"/>
  <c r="A115" i="33"/>
  <c r="B115" i="33"/>
  <c r="A116" i="33"/>
  <c r="B116" i="33"/>
  <c r="A117" i="33"/>
  <c r="B117" i="33"/>
  <c r="A118" i="33"/>
  <c r="B118" i="33"/>
  <c r="A119" i="33"/>
  <c r="B119" i="33"/>
  <c r="A120" i="33"/>
  <c r="B120" i="33"/>
  <c r="A121" i="33"/>
  <c r="B121" i="33"/>
  <c r="A122" i="33"/>
  <c r="B122" i="33"/>
  <c r="A123" i="33"/>
  <c r="B123" i="33"/>
  <c r="A124" i="33"/>
  <c r="B124" i="33"/>
  <c r="A125" i="33"/>
  <c r="B125" i="33"/>
  <c r="A126" i="33"/>
  <c r="B126" i="33"/>
  <c r="A127" i="33"/>
  <c r="B127" i="33"/>
  <c r="A128" i="33"/>
  <c r="B128" i="33"/>
  <c r="A129" i="33"/>
  <c r="B129" i="33"/>
  <c r="A130" i="33"/>
  <c r="B130" i="33"/>
  <c r="A131" i="33"/>
  <c r="B131" i="33"/>
  <c r="A132" i="33"/>
  <c r="B132" i="33"/>
  <c r="A133" i="33"/>
  <c r="B133" i="33"/>
  <c r="A134" i="33"/>
  <c r="B134" i="33"/>
  <c r="A135" i="33"/>
  <c r="B135" i="33"/>
  <c r="A136" i="33"/>
  <c r="B136" i="33"/>
  <c r="A137" i="33"/>
  <c r="B137" i="33"/>
  <c r="A138" i="33"/>
  <c r="B138" i="33"/>
  <c r="A139" i="33"/>
  <c r="B139" i="33"/>
  <c r="A140" i="33"/>
  <c r="B140" i="33"/>
  <c r="A141" i="33"/>
  <c r="B141" i="33"/>
  <c r="A142" i="33"/>
  <c r="B142" i="33"/>
  <c r="A143" i="33"/>
  <c r="B143" i="33"/>
  <c r="A144" i="33"/>
  <c r="B144" i="33"/>
  <c r="A145" i="33"/>
  <c r="B145" i="33"/>
  <c r="A146" i="33"/>
  <c r="B146" i="33"/>
  <c r="A147" i="33"/>
  <c r="B147" i="33"/>
  <c r="A148" i="33"/>
  <c r="B148" i="33"/>
  <c r="A149" i="33"/>
  <c r="B149" i="33"/>
  <c r="A150" i="33"/>
  <c r="B150" i="33"/>
  <c r="A151" i="33"/>
  <c r="B151" i="33"/>
  <c r="A152" i="33"/>
  <c r="B152" i="33"/>
  <c r="A153" i="33"/>
  <c r="B153" i="33"/>
  <c r="A154" i="33"/>
  <c r="B154" i="33"/>
  <c r="A155" i="33"/>
  <c r="B155" i="33"/>
  <c r="A156" i="33"/>
  <c r="B156" i="33"/>
  <c r="A157" i="33"/>
  <c r="B157" i="33"/>
  <c r="A158" i="33"/>
  <c r="B158" i="33"/>
  <c r="A159" i="33"/>
  <c r="B159" i="33"/>
  <c r="A160" i="33"/>
  <c r="B160" i="33"/>
  <c r="A161" i="33"/>
  <c r="B161" i="33"/>
  <c r="A162" i="33"/>
  <c r="B162" i="33"/>
  <c r="A163" i="33"/>
  <c r="B163" i="33"/>
  <c r="A164" i="33"/>
  <c r="B164" i="33"/>
  <c r="A165" i="33"/>
  <c r="B165" i="33"/>
  <c r="A166" i="33"/>
  <c r="B166" i="33"/>
  <c r="A167" i="33"/>
  <c r="B167" i="33"/>
  <c r="A168" i="33"/>
  <c r="B168" i="33"/>
  <c r="A170" i="33"/>
  <c r="B170" i="33"/>
  <c r="A171" i="33"/>
  <c r="B171" i="33"/>
  <c r="A172" i="33"/>
  <c r="B172" i="33"/>
  <c r="A173" i="33"/>
  <c r="B173" i="33"/>
  <c r="A174" i="33"/>
  <c r="B174" i="33"/>
  <c r="A175" i="33"/>
  <c r="B175" i="33"/>
  <c r="A176" i="33"/>
  <c r="B176" i="33"/>
  <c r="A177" i="33"/>
  <c r="B177" i="33"/>
  <c r="A178" i="33"/>
  <c r="B178" i="33"/>
  <c r="A179" i="33"/>
  <c r="B179" i="33"/>
  <c r="A180" i="33"/>
  <c r="B180" i="33"/>
  <c r="A181" i="33"/>
  <c r="B181" i="33"/>
  <c r="A182" i="33"/>
  <c r="B182" i="33"/>
  <c r="A183" i="33"/>
  <c r="B183" i="33"/>
  <c r="A184" i="33"/>
  <c r="B184" i="33"/>
  <c r="A185" i="33"/>
  <c r="B185" i="33"/>
  <c r="A186" i="33"/>
  <c r="B186" i="33"/>
  <c r="A187" i="33"/>
  <c r="B187" i="33"/>
  <c r="A188" i="33"/>
  <c r="B188" i="33"/>
  <c r="A189" i="33"/>
  <c r="B189" i="33"/>
  <c r="A190" i="33"/>
  <c r="B190" i="33"/>
  <c r="A191" i="33"/>
  <c r="B191" i="33"/>
  <c r="A192" i="33"/>
  <c r="B192" i="33"/>
  <c r="A193" i="33"/>
  <c r="B193" i="33"/>
  <c r="A194" i="33"/>
  <c r="B194" i="33"/>
  <c r="A195" i="33"/>
  <c r="B195" i="33"/>
  <c r="A196" i="33"/>
  <c r="B196" i="33"/>
  <c r="A197" i="33"/>
  <c r="B197" i="33"/>
  <c r="A198" i="33"/>
  <c r="B198" i="33"/>
  <c r="A199" i="33"/>
  <c r="B199" i="33"/>
  <c r="A200" i="33"/>
  <c r="B200" i="33"/>
  <c r="A201" i="33"/>
  <c r="B201" i="33"/>
  <c r="A202" i="33"/>
  <c r="B202" i="33"/>
  <c r="A203" i="33"/>
  <c r="B203" i="33"/>
  <c r="A204" i="33"/>
  <c r="B204" i="33"/>
  <c r="A205" i="33"/>
  <c r="B205" i="33"/>
  <c r="A206" i="33"/>
  <c r="B206" i="33"/>
  <c r="A207" i="33"/>
  <c r="B207" i="33"/>
  <c r="A208" i="33"/>
  <c r="B208" i="33"/>
  <c r="A209" i="33"/>
  <c r="B209" i="33"/>
  <c r="A210" i="33"/>
  <c r="B210" i="33"/>
  <c r="A211" i="33"/>
  <c r="B211" i="33"/>
  <c r="A212" i="33"/>
  <c r="B212" i="33"/>
  <c r="A213" i="33"/>
  <c r="B213" i="33"/>
  <c r="A214" i="33"/>
  <c r="B214" i="33"/>
  <c r="A215" i="33"/>
  <c r="B215" i="33"/>
  <c r="A216" i="33"/>
  <c r="B216" i="33"/>
  <c r="A217" i="33"/>
  <c r="B217" i="33"/>
  <c r="A219" i="33"/>
  <c r="B219" i="33"/>
  <c r="A220" i="33"/>
  <c r="B220" i="33"/>
  <c r="A221" i="33"/>
  <c r="B221" i="33"/>
  <c r="A222" i="33"/>
  <c r="B222" i="33"/>
  <c r="A223" i="33"/>
  <c r="B223" i="33"/>
  <c r="A224" i="33"/>
  <c r="B224" i="33"/>
  <c r="A225" i="33"/>
  <c r="B225" i="33"/>
  <c r="A226" i="33"/>
  <c r="B226" i="33"/>
  <c r="A227" i="33"/>
  <c r="B227" i="33"/>
  <c r="A228" i="33"/>
  <c r="B228" i="33"/>
  <c r="A229" i="33"/>
  <c r="B229" i="33"/>
  <c r="A230" i="33"/>
  <c r="B230" i="33"/>
  <c r="A231" i="33"/>
  <c r="B231" i="33"/>
  <c r="A232" i="33"/>
  <c r="B232" i="33"/>
  <c r="A233" i="33"/>
  <c r="B233" i="33"/>
  <c r="A234" i="33"/>
  <c r="B234" i="33"/>
  <c r="A235" i="33"/>
  <c r="B235" i="33"/>
  <c r="A236" i="33"/>
  <c r="B236" i="33"/>
  <c r="A237" i="33"/>
  <c r="B237" i="33"/>
  <c r="A238" i="33"/>
  <c r="B238" i="33"/>
  <c r="A239" i="33"/>
  <c r="B239" i="33"/>
  <c r="A240" i="33"/>
  <c r="B240" i="33"/>
  <c r="A241" i="33"/>
  <c r="B241" i="33"/>
  <c r="A242" i="33"/>
  <c r="B242" i="33"/>
  <c r="A244" i="33"/>
  <c r="B244" i="33"/>
  <c r="A245" i="33"/>
  <c r="B245" i="33"/>
  <c r="A246" i="33"/>
  <c r="B246" i="33"/>
  <c r="A247" i="33"/>
  <c r="B247" i="33"/>
  <c r="A248" i="33"/>
  <c r="B248" i="33"/>
  <c r="A249" i="33"/>
  <c r="B249" i="33"/>
  <c r="A250" i="33"/>
  <c r="B250" i="33"/>
  <c r="A251" i="33"/>
  <c r="B251" i="33"/>
  <c r="A252" i="33"/>
  <c r="B252" i="33"/>
  <c r="A253" i="33"/>
  <c r="B253" i="33"/>
  <c r="A254" i="33"/>
  <c r="B254" i="33"/>
  <c r="A255" i="33"/>
  <c r="B255" i="33"/>
  <c r="A256" i="33"/>
  <c r="B256" i="33"/>
  <c r="A257" i="33"/>
  <c r="B257" i="33"/>
  <c r="A258" i="33"/>
  <c r="B258" i="33"/>
  <c r="A259" i="33"/>
  <c r="B259" i="33"/>
  <c r="A260" i="33"/>
  <c r="B260" i="33"/>
  <c r="A261" i="33"/>
  <c r="B261" i="33"/>
  <c r="A262" i="33"/>
  <c r="B262" i="33"/>
  <c r="A263" i="33"/>
  <c r="B263" i="33"/>
  <c r="A264" i="33"/>
  <c r="B264" i="33"/>
  <c r="A265" i="33"/>
  <c r="B265" i="33"/>
  <c r="A266" i="33"/>
  <c r="B266" i="33"/>
  <c r="A267" i="33"/>
  <c r="B267" i="33"/>
  <c r="A268" i="33"/>
  <c r="B268" i="33"/>
  <c r="A269" i="33"/>
  <c r="B269" i="33"/>
  <c r="A270" i="33"/>
  <c r="B270" i="33"/>
  <c r="A271" i="33"/>
  <c r="B271" i="33"/>
  <c r="A272" i="33"/>
  <c r="B272" i="33"/>
  <c r="A273" i="33"/>
  <c r="B273" i="33"/>
  <c r="A274" i="33"/>
  <c r="B274" i="33"/>
  <c r="A275" i="33"/>
  <c r="B275" i="33"/>
  <c r="A276" i="33"/>
  <c r="B276" i="33"/>
  <c r="A277" i="33"/>
  <c r="B277" i="33"/>
  <c r="A278" i="33"/>
  <c r="B278" i="33"/>
  <c r="A279" i="33"/>
  <c r="B279" i="33"/>
  <c r="A280" i="33"/>
  <c r="B280" i="33"/>
  <c r="A281" i="33"/>
  <c r="B281" i="33"/>
  <c r="A282" i="33"/>
  <c r="B282" i="33"/>
  <c r="A283" i="33"/>
  <c r="B283" i="33"/>
  <c r="A284" i="33"/>
  <c r="B284" i="33"/>
  <c r="A285" i="33"/>
  <c r="B285" i="33"/>
  <c r="A286" i="33"/>
  <c r="B286" i="33"/>
  <c r="A287" i="33"/>
  <c r="B287" i="33"/>
  <c r="A288" i="33"/>
  <c r="B288" i="33"/>
  <c r="A289" i="33"/>
  <c r="B289" i="33"/>
  <c r="A290" i="33"/>
  <c r="B290" i="33"/>
  <c r="A291" i="33"/>
  <c r="B291" i="33"/>
  <c r="A292" i="33"/>
  <c r="B292" i="33"/>
  <c r="A293" i="33"/>
  <c r="B293" i="33"/>
  <c r="A294" i="33"/>
  <c r="B294" i="33"/>
  <c r="A295" i="33"/>
  <c r="B295" i="33"/>
  <c r="A296" i="33"/>
  <c r="B296" i="33"/>
  <c r="A297" i="33"/>
  <c r="B297" i="33"/>
  <c r="A298" i="33"/>
  <c r="B298" i="33"/>
  <c r="A299" i="33"/>
  <c r="B299" i="33"/>
  <c r="A300" i="33"/>
  <c r="B300" i="33"/>
  <c r="A301" i="33"/>
  <c r="B301" i="33"/>
  <c r="A302" i="33"/>
  <c r="B302" i="33"/>
  <c r="A303" i="33"/>
  <c r="B303" i="33"/>
  <c r="A304" i="33"/>
  <c r="B304" i="33"/>
  <c r="A305" i="33"/>
  <c r="B305" i="33"/>
  <c r="A306" i="33"/>
  <c r="B306" i="33"/>
  <c r="A307" i="33"/>
  <c r="B307" i="33"/>
  <c r="A308" i="33"/>
  <c r="B308" i="33"/>
  <c r="A309" i="33"/>
  <c r="B309" i="33"/>
  <c r="A310" i="33"/>
  <c r="B310" i="33"/>
  <c r="A311" i="33"/>
  <c r="B311" i="33"/>
  <c r="A312" i="33"/>
  <c r="B312" i="33"/>
  <c r="A313" i="33"/>
  <c r="B313" i="33"/>
  <c r="B5" i="33"/>
  <c r="A5" i="33"/>
  <c r="A6" i="32"/>
  <c r="B6" i="32"/>
  <c r="A7" i="32"/>
  <c r="B7" i="32"/>
  <c r="A8" i="32"/>
  <c r="B8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A24" i="32"/>
  <c r="B24" i="32"/>
  <c r="A25" i="32"/>
  <c r="B25" i="32"/>
  <c r="A26" i="32"/>
  <c r="B26" i="32"/>
  <c r="A27" i="32"/>
  <c r="B27" i="32"/>
  <c r="A28" i="32"/>
  <c r="B28" i="32"/>
  <c r="A29" i="32"/>
  <c r="B29" i="32"/>
  <c r="A30" i="32"/>
  <c r="B30" i="32"/>
  <c r="A31" i="32"/>
  <c r="B31" i="32"/>
  <c r="A32" i="32"/>
  <c r="B32" i="32"/>
  <c r="A33" i="32"/>
  <c r="B33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A49" i="32"/>
  <c r="B49" i="32"/>
  <c r="A50" i="32"/>
  <c r="B50" i="32"/>
  <c r="A51" i="32"/>
  <c r="B51" i="32"/>
  <c r="A52" i="32"/>
  <c r="B52" i="32"/>
  <c r="A53" i="32"/>
  <c r="B53" i="32"/>
  <c r="A54" i="32"/>
  <c r="B54" i="32"/>
  <c r="A55" i="32"/>
  <c r="B55" i="32"/>
  <c r="A56" i="32"/>
  <c r="B56" i="32"/>
  <c r="A57" i="32"/>
  <c r="B57" i="32"/>
  <c r="A58" i="32"/>
  <c r="B58" i="32"/>
  <c r="A59" i="32"/>
  <c r="B59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A74" i="32"/>
  <c r="B74" i="32"/>
  <c r="A75" i="32"/>
  <c r="B75" i="32"/>
  <c r="A76" i="32"/>
  <c r="B76" i="32"/>
  <c r="A77" i="32"/>
  <c r="B77" i="32"/>
  <c r="A78" i="32"/>
  <c r="B78" i="32"/>
  <c r="A79" i="32"/>
  <c r="B79" i="32"/>
  <c r="A80" i="32"/>
  <c r="B80" i="32"/>
  <c r="A81" i="32"/>
  <c r="B81" i="32"/>
  <c r="A82" i="32"/>
  <c r="B82" i="32"/>
  <c r="A83" i="32"/>
  <c r="B83" i="32"/>
  <c r="A84" i="32"/>
  <c r="B84" i="32"/>
  <c r="A85" i="32"/>
  <c r="B85" i="32"/>
  <c r="A86" i="32"/>
  <c r="B86" i="32"/>
  <c r="A87" i="32"/>
  <c r="B87" i="32"/>
  <c r="A88" i="32"/>
  <c r="B88" i="32"/>
  <c r="A89" i="32"/>
  <c r="B89" i="32"/>
  <c r="A90" i="32"/>
  <c r="B90" i="32"/>
  <c r="A91" i="32"/>
  <c r="B91" i="32"/>
  <c r="A92" i="32"/>
  <c r="B92" i="32"/>
  <c r="A93" i="32"/>
  <c r="B93" i="32"/>
  <c r="A94" i="32"/>
  <c r="B94" i="32"/>
  <c r="A95" i="32"/>
  <c r="B95" i="32"/>
  <c r="A96" i="32"/>
  <c r="B96" i="32"/>
  <c r="A97" i="32"/>
  <c r="B97" i="32"/>
  <c r="A98" i="32"/>
  <c r="B98" i="32"/>
  <c r="A99" i="32"/>
  <c r="B99" i="32"/>
  <c r="A100" i="32"/>
  <c r="B100" i="32"/>
  <c r="A101" i="32"/>
  <c r="B101" i="32"/>
  <c r="A102" i="32"/>
  <c r="B102" i="32"/>
  <c r="A103" i="32"/>
  <c r="B103" i="32"/>
  <c r="A104" i="32"/>
  <c r="B104" i="32"/>
  <c r="A105" i="32"/>
  <c r="B105" i="32"/>
  <c r="A106" i="32"/>
  <c r="B106" i="32"/>
  <c r="A107" i="32"/>
  <c r="B107" i="32"/>
  <c r="A108" i="32"/>
  <c r="B108" i="32"/>
  <c r="A109" i="32"/>
  <c r="B109" i="32"/>
  <c r="A110" i="32"/>
  <c r="B110" i="32"/>
  <c r="A111" i="32"/>
  <c r="B111" i="32"/>
  <c r="A112" i="32"/>
  <c r="B112" i="32"/>
  <c r="A113" i="32"/>
  <c r="B113" i="32"/>
  <c r="A114" i="32"/>
  <c r="B114" i="32"/>
  <c r="A115" i="32"/>
  <c r="B115" i="32"/>
  <c r="A116" i="32"/>
  <c r="B116" i="32"/>
  <c r="A117" i="32"/>
  <c r="B117" i="32"/>
  <c r="A118" i="32"/>
  <c r="B118" i="32"/>
  <c r="A119" i="32"/>
  <c r="B119" i="32"/>
  <c r="A120" i="32"/>
  <c r="B120" i="32"/>
  <c r="A121" i="32"/>
  <c r="B121" i="32"/>
  <c r="A122" i="32"/>
  <c r="B122" i="32"/>
  <c r="A123" i="32"/>
  <c r="B123" i="32"/>
  <c r="A124" i="32"/>
  <c r="B124" i="32"/>
  <c r="A125" i="32"/>
  <c r="B125" i="32"/>
  <c r="A126" i="32"/>
  <c r="B126" i="32"/>
  <c r="A127" i="32"/>
  <c r="B127" i="32"/>
  <c r="A128" i="32"/>
  <c r="B128" i="32"/>
  <c r="A129" i="32"/>
  <c r="B129" i="32"/>
  <c r="A130" i="32"/>
  <c r="B130" i="32"/>
  <c r="A131" i="32"/>
  <c r="B131" i="32"/>
  <c r="A132" i="32"/>
  <c r="B132" i="32"/>
  <c r="A133" i="32"/>
  <c r="B133" i="32"/>
  <c r="A134" i="32"/>
  <c r="B134" i="32"/>
  <c r="A135" i="32"/>
  <c r="B135" i="32"/>
  <c r="A136" i="32"/>
  <c r="B136" i="32"/>
  <c r="A137" i="32"/>
  <c r="B137" i="32"/>
  <c r="A138" i="32"/>
  <c r="B138" i="32"/>
  <c r="A139" i="32"/>
  <c r="B139" i="32"/>
  <c r="A140" i="32"/>
  <c r="B140" i="32"/>
  <c r="A141" i="32"/>
  <c r="B141" i="32"/>
  <c r="A142" i="32"/>
  <c r="B142" i="32"/>
  <c r="A143" i="32"/>
  <c r="B143" i="32"/>
  <c r="A144" i="32"/>
  <c r="B144" i="32"/>
  <c r="A145" i="32"/>
  <c r="B145" i="32"/>
  <c r="A146" i="32"/>
  <c r="B146" i="32"/>
  <c r="A147" i="32"/>
  <c r="B147" i="32"/>
  <c r="A148" i="32"/>
  <c r="B148" i="32"/>
  <c r="A149" i="32"/>
  <c r="B149" i="32"/>
  <c r="A150" i="32"/>
  <c r="B150" i="32"/>
  <c r="A151" i="32"/>
  <c r="B151" i="32"/>
  <c r="A152" i="32"/>
  <c r="B152" i="32"/>
  <c r="A153" i="32"/>
  <c r="B153" i="32"/>
  <c r="A154" i="32"/>
  <c r="B154" i="32"/>
  <c r="A155" i="32"/>
  <c r="B155" i="32"/>
  <c r="A156" i="32"/>
  <c r="B156" i="32"/>
  <c r="A157" i="32"/>
  <c r="B157" i="32"/>
  <c r="A158" i="32"/>
  <c r="B158" i="32"/>
  <c r="A159" i="32"/>
  <c r="B159" i="32"/>
  <c r="A160" i="32"/>
  <c r="B160" i="32"/>
  <c r="A161" i="32"/>
  <c r="B161" i="32"/>
  <c r="A162" i="32"/>
  <c r="B162" i="32"/>
  <c r="A163" i="32"/>
  <c r="B163" i="32"/>
  <c r="A164" i="32"/>
  <c r="B164" i="32"/>
  <c r="A165" i="32"/>
  <c r="B165" i="32"/>
  <c r="A166" i="32"/>
  <c r="B166" i="32"/>
  <c r="A167" i="32"/>
  <c r="B167" i="32"/>
  <c r="A168" i="32"/>
  <c r="B168" i="32"/>
  <c r="A170" i="32"/>
  <c r="B170" i="32"/>
  <c r="A171" i="32"/>
  <c r="B171" i="32"/>
  <c r="A172" i="32"/>
  <c r="B172" i="32"/>
  <c r="A173" i="32"/>
  <c r="B173" i="32"/>
  <c r="A174" i="32"/>
  <c r="B174" i="32"/>
  <c r="A175" i="32"/>
  <c r="B175" i="32"/>
  <c r="A176" i="32"/>
  <c r="B176" i="32"/>
  <c r="A177" i="32"/>
  <c r="B177" i="32"/>
  <c r="A178" i="32"/>
  <c r="B178" i="32"/>
  <c r="A179" i="32"/>
  <c r="B179" i="32"/>
  <c r="A180" i="32"/>
  <c r="B180" i="32"/>
  <c r="A181" i="32"/>
  <c r="B181" i="32"/>
  <c r="A182" i="32"/>
  <c r="B182" i="32"/>
  <c r="A183" i="32"/>
  <c r="B183" i="32"/>
  <c r="A184" i="32"/>
  <c r="B184" i="32"/>
  <c r="A185" i="32"/>
  <c r="B185" i="32"/>
  <c r="A186" i="32"/>
  <c r="B186" i="32"/>
  <c r="A187" i="32"/>
  <c r="B187" i="32"/>
  <c r="A188" i="32"/>
  <c r="B188" i="32"/>
  <c r="A189" i="32"/>
  <c r="B189" i="32"/>
  <c r="A190" i="32"/>
  <c r="B190" i="32"/>
  <c r="A191" i="32"/>
  <c r="B191" i="32"/>
  <c r="A192" i="32"/>
  <c r="B192" i="32"/>
  <c r="A193" i="32"/>
  <c r="B193" i="32"/>
  <c r="A194" i="32"/>
  <c r="B194" i="32"/>
  <c r="A195" i="32"/>
  <c r="B195" i="32"/>
  <c r="A196" i="32"/>
  <c r="B196" i="32"/>
  <c r="A197" i="32"/>
  <c r="B197" i="32"/>
  <c r="A198" i="32"/>
  <c r="B198" i="32"/>
  <c r="A199" i="32"/>
  <c r="B199" i="32"/>
  <c r="A200" i="32"/>
  <c r="B200" i="32"/>
  <c r="A201" i="32"/>
  <c r="B201" i="32"/>
  <c r="A202" i="32"/>
  <c r="B202" i="32"/>
  <c r="A203" i="32"/>
  <c r="B203" i="32"/>
  <c r="A204" i="32"/>
  <c r="B204" i="32"/>
  <c r="A205" i="32"/>
  <c r="B205" i="32"/>
  <c r="A206" i="32"/>
  <c r="B206" i="32"/>
  <c r="A207" i="32"/>
  <c r="B207" i="32"/>
  <c r="A208" i="32"/>
  <c r="B208" i="32"/>
  <c r="A209" i="32"/>
  <c r="B209" i="32"/>
  <c r="A210" i="32"/>
  <c r="B210" i="32"/>
  <c r="A211" i="32"/>
  <c r="B211" i="32"/>
  <c r="A212" i="32"/>
  <c r="B212" i="32"/>
  <c r="A213" i="32"/>
  <c r="B213" i="32"/>
  <c r="A214" i="32"/>
  <c r="B214" i="32"/>
  <c r="A215" i="32"/>
  <c r="B215" i="32"/>
  <c r="A216" i="32"/>
  <c r="B216" i="32"/>
  <c r="A217" i="32"/>
  <c r="B217" i="32"/>
  <c r="A219" i="32"/>
  <c r="B219" i="32"/>
  <c r="A220" i="32"/>
  <c r="B220" i="32"/>
  <c r="A221" i="32"/>
  <c r="B221" i="32"/>
  <c r="A222" i="32"/>
  <c r="B222" i="32"/>
  <c r="A223" i="32"/>
  <c r="B223" i="32"/>
  <c r="A224" i="32"/>
  <c r="B224" i="32"/>
  <c r="A225" i="32"/>
  <c r="B225" i="32"/>
  <c r="A226" i="32"/>
  <c r="B226" i="32"/>
  <c r="A227" i="32"/>
  <c r="B227" i="32"/>
  <c r="A228" i="32"/>
  <c r="B228" i="32"/>
  <c r="A229" i="32"/>
  <c r="B229" i="32"/>
  <c r="A230" i="32"/>
  <c r="B230" i="32"/>
  <c r="A231" i="32"/>
  <c r="B231" i="32"/>
  <c r="A232" i="32"/>
  <c r="B232" i="32"/>
  <c r="A233" i="32"/>
  <c r="B233" i="32"/>
  <c r="A234" i="32"/>
  <c r="B234" i="32"/>
  <c r="A235" i="32"/>
  <c r="B235" i="32"/>
  <c r="A236" i="32"/>
  <c r="B236" i="32"/>
  <c r="A237" i="32"/>
  <c r="B237" i="32"/>
  <c r="A238" i="32"/>
  <c r="B238" i="32"/>
  <c r="A239" i="32"/>
  <c r="B239" i="32"/>
  <c r="A240" i="32"/>
  <c r="B240" i="32"/>
  <c r="A241" i="32"/>
  <c r="B241" i="32"/>
  <c r="A242" i="32"/>
  <c r="B242" i="32"/>
  <c r="A244" i="32"/>
  <c r="B244" i="32"/>
  <c r="A245" i="32"/>
  <c r="B245" i="32"/>
  <c r="A246" i="32"/>
  <c r="B246" i="32"/>
  <c r="A247" i="32"/>
  <c r="B247" i="32"/>
  <c r="A248" i="32"/>
  <c r="B248" i="32"/>
  <c r="A249" i="32"/>
  <c r="B249" i="32"/>
  <c r="A250" i="32"/>
  <c r="B250" i="32"/>
  <c r="A251" i="32"/>
  <c r="B251" i="32"/>
  <c r="A252" i="32"/>
  <c r="B252" i="32"/>
  <c r="A253" i="32"/>
  <c r="B253" i="32"/>
  <c r="A254" i="32"/>
  <c r="B254" i="32"/>
  <c r="A255" i="32"/>
  <c r="B255" i="32"/>
  <c r="A256" i="32"/>
  <c r="B256" i="32"/>
  <c r="A257" i="32"/>
  <c r="B257" i="32"/>
  <c r="A258" i="32"/>
  <c r="B258" i="32"/>
  <c r="A259" i="32"/>
  <c r="B259" i="32"/>
  <c r="A260" i="32"/>
  <c r="B260" i="32"/>
  <c r="A261" i="32"/>
  <c r="B261" i="32"/>
  <c r="A262" i="32"/>
  <c r="B262" i="32"/>
  <c r="A263" i="32"/>
  <c r="B263" i="32"/>
  <c r="A264" i="32"/>
  <c r="B264" i="32"/>
  <c r="A265" i="32"/>
  <c r="B265" i="32"/>
  <c r="A266" i="32"/>
  <c r="B266" i="32"/>
  <c r="A267" i="32"/>
  <c r="B267" i="32"/>
  <c r="A268" i="32"/>
  <c r="B268" i="32"/>
  <c r="A269" i="32"/>
  <c r="B269" i="32"/>
  <c r="A270" i="32"/>
  <c r="B270" i="32"/>
  <c r="A271" i="32"/>
  <c r="B271" i="32"/>
  <c r="A272" i="32"/>
  <c r="B272" i="32"/>
  <c r="A273" i="32"/>
  <c r="B273" i="32"/>
  <c r="A274" i="32"/>
  <c r="B274" i="32"/>
  <c r="A275" i="32"/>
  <c r="B275" i="32"/>
  <c r="A276" i="32"/>
  <c r="B276" i="32"/>
  <c r="A277" i="32"/>
  <c r="B277" i="32"/>
  <c r="A278" i="32"/>
  <c r="B278" i="32"/>
  <c r="A279" i="32"/>
  <c r="B279" i="32"/>
  <c r="A280" i="32"/>
  <c r="B280" i="32"/>
  <c r="A281" i="32"/>
  <c r="B281" i="32"/>
  <c r="A282" i="32"/>
  <c r="B282" i="32"/>
  <c r="A283" i="32"/>
  <c r="B283" i="32"/>
  <c r="A284" i="32"/>
  <c r="B284" i="32"/>
  <c r="A285" i="32"/>
  <c r="B285" i="32"/>
  <c r="A286" i="32"/>
  <c r="B286" i="32"/>
  <c r="A287" i="32"/>
  <c r="B287" i="32"/>
  <c r="A288" i="32"/>
  <c r="B288" i="32"/>
  <c r="A289" i="32"/>
  <c r="B289" i="32"/>
  <c r="A290" i="32"/>
  <c r="B290" i="32"/>
  <c r="A291" i="32"/>
  <c r="B291" i="32"/>
  <c r="A292" i="32"/>
  <c r="B292" i="32"/>
  <c r="A293" i="32"/>
  <c r="B293" i="32"/>
  <c r="A294" i="32"/>
  <c r="B294" i="32"/>
  <c r="A295" i="32"/>
  <c r="B295" i="32"/>
  <c r="A296" i="32"/>
  <c r="B296" i="32"/>
  <c r="A297" i="32"/>
  <c r="B297" i="32"/>
  <c r="A298" i="32"/>
  <c r="B298" i="32"/>
  <c r="A299" i="32"/>
  <c r="B299" i="32"/>
  <c r="A300" i="32"/>
  <c r="B300" i="32"/>
  <c r="A301" i="32"/>
  <c r="B301" i="32"/>
  <c r="A302" i="32"/>
  <c r="B302" i="32"/>
  <c r="A303" i="32"/>
  <c r="B303" i="32"/>
  <c r="A304" i="32"/>
  <c r="B304" i="32"/>
  <c r="A305" i="32"/>
  <c r="B305" i="32"/>
  <c r="A306" i="32"/>
  <c r="B306" i="32"/>
  <c r="A307" i="32"/>
  <c r="B307" i="32"/>
  <c r="A308" i="32"/>
  <c r="B308" i="32"/>
  <c r="A309" i="32"/>
  <c r="B309" i="32"/>
  <c r="A310" i="32"/>
  <c r="B310" i="32"/>
  <c r="A311" i="32"/>
  <c r="B311" i="32"/>
  <c r="A312" i="32"/>
  <c r="B312" i="32"/>
  <c r="A313" i="32"/>
  <c r="B313" i="32"/>
  <c r="B5" i="32"/>
  <c r="A5" i="32"/>
  <c r="A8" i="19"/>
  <c r="B8" i="19"/>
  <c r="A9" i="19"/>
  <c r="B9" i="19"/>
  <c r="A10" i="19"/>
  <c r="B10" i="19"/>
  <c r="A11" i="19"/>
  <c r="B11" i="19"/>
  <c r="A12" i="19"/>
  <c r="B12" i="19"/>
  <c r="A13" i="19"/>
  <c r="B13" i="19"/>
  <c r="A14" i="19"/>
  <c r="B14" i="19"/>
  <c r="A15" i="19"/>
  <c r="B15" i="19"/>
  <c r="A16" i="19"/>
  <c r="B16" i="19"/>
  <c r="A17" i="19"/>
  <c r="B17" i="19"/>
  <c r="A18" i="19"/>
  <c r="B18" i="19"/>
  <c r="A19" i="19"/>
  <c r="B19" i="19"/>
  <c r="A20" i="19"/>
  <c r="B20" i="19"/>
  <c r="A21" i="19"/>
  <c r="B21" i="19"/>
  <c r="A22" i="19"/>
  <c r="B22" i="19"/>
  <c r="A23" i="19"/>
  <c r="B23" i="19"/>
  <c r="A24" i="19"/>
  <c r="B24" i="19"/>
  <c r="A25" i="19"/>
  <c r="B25" i="19"/>
  <c r="A26" i="19"/>
  <c r="B26" i="19"/>
  <c r="A27" i="19"/>
  <c r="B27" i="19"/>
  <c r="A28" i="19"/>
  <c r="B28" i="19"/>
  <c r="A29" i="19"/>
  <c r="B29" i="19"/>
  <c r="A30" i="19"/>
  <c r="B30" i="19"/>
  <c r="A31" i="19"/>
  <c r="B31" i="19"/>
  <c r="A32" i="19"/>
  <c r="B32" i="19"/>
  <c r="A33" i="19"/>
  <c r="B33" i="19"/>
  <c r="A34" i="19"/>
  <c r="B34" i="19"/>
  <c r="A35" i="19"/>
  <c r="B35" i="19"/>
  <c r="A36" i="19"/>
  <c r="B36" i="19"/>
  <c r="A37" i="19"/>
  <c r="B37" i="19"/>
  <c r="A38" i="19"/>
  <c r="B38" i="19"/>
  <c r="A39" i="19"/>
  <c r="B39" i="19"/>
  <c r="A40" i="19"/>
  <c r="B40" i="19"/>
  <c r="A41" i="19"/>
  <c r="B41" i="19"/>
  <c r="A42" i="19"/>
  <c r="B42" i="19"/>
  <c r="A43" i="19"/>
  <c r="B43" i="19"/>
  <c r="A44" i="19"/>
  <c r="B44" i="19"/>
  <c r="A45" i="19"/>
  <c r="B45" i="19"/>
  <c r="A46" i="19"/>
  <c r="B46" i="19"/>
  <c r="A47" i="19"/>
  <c r="B47" i="19"/>
  <c r="A48" i="19"/>
  <c r="B48" i="19"/>
  <c r="A49" i="19"/>
  <c r="B49" i="19"/>
  <c r="A50" i="19"/>
  <c r="B50" i="19"/>
  <c r="A51" i="19"/>
  <c r="B51" i="19"/>
  <c r="A52" i="19"/>
  <c r="B52" i="19"/>
  <c r="A53" i="19"/>
  <c r="B53" i="19"/>
  <c r="A54" i="19"/>
  <c r="B54" i="19"/>
  <c r="A55" i="19"/>
  <c r="B55" i="19"/>
  <c r="A56" i="19"/>
  <c r="B56" i="19"/>
  <c r="A57" i="19"/>
  <c r="B57" i="19"/>
  <c r="A58" i="19"/>
  <c r="B58" i="19"/>
  <c r="A59" i="19"/>
  <c r="B59" i="19"/>
  <c r="A60" i="19"/>
  <c r="B60" i="19"/>
  <c r="A61" i="19"/>
  <c r="B61" i="19"/>
  <c r="A62" i="19"/>
  <c r="B62" i="19"/>
  <c r="A63" i="19"/>
  <c r="B63" i="19"/>
  <c r="A64" i="19"/>
  <c r="B64" i="19"/>
  <c r="A65" i="19"/>
  <c r="B65" i="19"/>
  <c r="A66" i="19"/>
  <c r="B66" i="19"/>
  <c r="A67" i="19"/>
  <c r="B67" i="19"/>
  <c r="A68" i="19"/>
  <c r="B68" i="19"/>
  <c r="A69" i="19"/>
  <c r="B69" i="19"/>
  <c r="A70" i="19"/>
  <c r="B70" i="19"/>
  <c r="A71" i="19"/>
  <c r="B71" i="19"/>
  <c r="A72" i="19"/>
  <c r="B72" i="19"/>
  <c r="A73" i="19"/>
  <c r="B73" i="19"/>
  <c r="A74" i="19"/>
  <c r="B74" i="19"/>
  <c r="A75" i="19"/>
  <c r="B75" i="19"/>
  <c r="A76" i="19"/>
  <c r="B76" i="19"/>
  <c r="A77" i="19"/>
  <c r="B77" i="19"/>
  <c r="A78" i="19"/>
  <c r="B78" i="19"/>
  <c r="A79" i="19"/>
  <c r="B79" i="19"/>
  <c r="A80" i="19"/>
  <c r="B80" i="19"/>
  <c r="A81" i="19"/>
  <c r="B81" i="19"/>
  <c r="A82" i="19"/>
  <c r="B82" i="19"/>
  <c r="A83" i="19"/>
  <c r="B83" i="19"/>
  <c r="A84" i="19"/>
  <c r="B84" i="19"/>
  <c r="A85" i="19"/>
  <c r="B85" i="19"/>
  <c r="A86" i="19"/>
  <c r="B86" i="19"/>
  <c r="A87" i="19"/>
  <c r="B87" i="19"/>
  <c r="A88" i="19"/>
  <c r="B88" i="19"/>
  <c r="A89" i="19"/>
  <c r="B89" i="19"/>
  <c r="A90" i="19"/>
  <c r="B90" i="19"/>
  <c r="A91" i="19"/>
  <c r="B91" i="19"/>
  <c r="A92" i="19"/>
  <c r="B92" i="19"/>
  <c r="A93" i="19"/>
  <c r="B93" i="19"/>
  <c r="A94" i="19"/>
  <c r="B94" i="19"/>
  <c r="A95" i="19"/>
  <c r="B95" i="19"/>
  <c r="A96" i="19"/>
  <c r="B96" i="19"/>
  <c r="A97" i="19"/>
  <c r="B97" i="19"/>
  <c r="A98" i="19"/>
  <c r="B98" i="19"/>
  <c r="A99" i="19"/>
  <c r="B99" i="19"/>
  <c r="A100" i="19"/>
  <c r="B100" i="19"/>
  <c r="A101" i="19"/>
  <c r="B101" i="19"/>
  <c r="A102" i="19"/>
  <c r="B102" i="19"/>
  <c r="A103" i="19"/>
  <c r="B103" i="19"/>
  <c r="A104" i="19"/>
  <c r="B104" i="19"/>
  <c r="A105" i="19"/>
  <c r="B105" i="19"/>
  <c r="A106" i="19"/>
  <c r="B106" i="19"/>
  <c r="A107" i="19"/>
  <c r="B107" i="19"/>
  <c r="A108" i="19"/>
  <c r="B108" i="19"/>
  <c r="A109" i="19"/>
  <c r="B109" i="19"/>
  <c r="A110" i="19"/>
  <c r="B110" i="19"/>
  <c r="A111" i="19"/>
  <c r="B111" i="19"/>
  <c r="A112" i="19"/>
  <c r="B112" i="19"/>
  <c r="A113" i="19"/>
  <c r="B113" i="19"/>
  <c r="A114" i="19"/>
  <c r="B114" i="19"/>
  <c r="A115" i="19"/>
  <c r="B115" i="19"/>
  <c r="A116" i="19"/>
  <c r="B116" i="19"/>
  <c r="A117" i="19"/>
  <c r="B117" i="19"/>
  <c r="A118" i="19"/>
  <c r="B118" i="19"/>
  <c r="A119" i="19"/>
  <c r="B119" i="19"/>
  <c r="A120" i="19"/>
  <c r="B120" i="19"/>
  <c r="A121" i="19"/>
  <c r="B121" i="19"/>
  <c r="A122" i="19"/>
  <c r="B122" i="19"/>
  <c r="A123" i="19"/>
  <c r="B123" i="19"/>
  <c r="A124" i="19"/>
  <c r="B124" i="19"/>
  <c r="A125" i="19"/>
  <c r="B125" i="19"/>
  <c r="A126" i="19"/>
  <c r="B126" i="19"/>
  <c r="A127" i="19"/>
  <c r="B127" i="19"/>
  <c r="A128" i="19"/>
  <c r="B128" i="19"/>
  <c r="A129" i="19"/>
  <c r="B129" i="19"/>
  <c r="A130" i="19"/>
  <c r="B130" i="19"/>
  <c r="A131" i="19"/>
  <c r="B131" i="19"/>
  <c r="A132" i="19"/>
  <c r="B132" i="19"/>
  <c r="A133" i="19"/>
  <c r="B133" i="19"/>
  <c r="A134" i="19"/>
  <c r="B134" i="19"/>
  <c r="A135" i="19"/>
  <c r="B135" i="19"/>
  <c r="A136" i="19"/>
  <c r="B136" i="19"/>
  <c r="A137" i="19"/>
  <c r="B137" i="19"/>
  <c r="A138" i="19"/>
  <c r="B138" i="19"/>
  <c r="A139" i="19"/>
  <c r="B139" i="19"/>
  <c r="A140" i="19"/>
  <c r="B140" i="19"/>
  <c r="A141" i="19"/>
  <c r="B141" i="19"/>
  <c r="A142" i="19"/>
  <c r="B142" i="19"/>
  <c r="A143" i="19"/>
  <c r="B143" i="19"/>
  <c r="A144" i="19"/>
  <c r="B144" i="19"/>
  <c r="A145" i="19"/>
  <c r="B145" i="19"/>
  <c r="A146" i="19"/>
  <c r="B146" i="19"/>
  <c r="A147" i="19"/>
  <c r="B147" i="19"/>
  <c r="A148" i="19"/>
  <c r="B148" i="19"/>
  <c r="A149" i="19"/>
  <c r="B149" i="19"/>
  <c r="A150" i="19"/>
  <c r="B150" i="19"/>
  <c r="A151" i="19"/>
  <c r="B151" i="19"/>
  <c r="A152" i="19"/>
  <c r="B152" i="19"/>
  <c r="A153" i="19"/>
  <c r="B153" i="19"/>
  <c r="A154" i="19"/>
  <c r="B154" i="19"/>
  <c r="A155" i="19"/>
  <c r="B155" i="19"/>
  <c r="A156" i="19"/>
  <c r="B156" i="19"/>
  <c r="A157" i="19"/>
  <c r="B157" i="19"/>
  <c r="A158" i="19"/>
  <c r="B158" i="19"/>
  <c r="A159" i="19"/>
  <c r="B159" i="19"/>
  <c r="A160" i="19"/>
  <c r="B160" i="19"/>
  <c r="A161" i="19"/>
  <c r="B161" i="19"/>
  <c r="A162" i="19"/>
  <c r="B162" i="19"/>
  <c r="A163" i="19"/>
  <c r="B163" i="19"/>
  <c r="A164" i="19"/>
  <c r="B164" i="19"/>
  <c r="A165" i="19"/>
  <c r="B165" i="19"/>
  <c r="A166" i="19"/>
  <c r="B166" i="19"/>
  <c r="A167" i="19"/>
  <c r="B167" i="19"/>
  <c r="A168" i="19"/>
  <c r="B168" i="19"/>
  <c r="A169" i="19"/>
  <c r="B169" i="19"/>
  <c r="A170" i="19"/>
  <c r="B170" i="19"/>
  <c r="A172" i="19"/>
  <c r="B172" i="19"/>
  <c r="A173" i="19"/>
  <c r="B173" i="19"/>
  <c r="A174" i="19"/>
  <c r="B174" i="19"/>
  <c r="A175" i="19"/>
  <c r="B175" i="19"/>
  <c r="A176" i="19"/>
  <c r="B176" i="19"/>
  <c r="A177" i="19"/>
  <c r="B177" i="19"/>
  <c r="A178" i="19"/>
  <c r="B178" i="19"/>
  <c r="A179" i="19"/>
  <c r="B179" i="19"/>
  <c r="A180" i="19"/>
  <c r="B180" i="19"/>
  <c r="A181" i="19"/>
  <c r="B181" i="19"/>
  <c r="A182" i="19"/>
  <c r="B182" i="19"/>
  <c r="A183" i="19"/>
  <c r="B183" i="19"/>
  <c r="A184" i="19"/>
  <c r="B184" i="19"/>
  <c r="A185" i="19"/>
  <c r="B185" i="19"/>
  <c r="A186" i="19"/>
  <c r="B186" i="19"/>
  <c r="A187" i="19"/>
  <c r="B187" i="19"/>
  <c r="A188" i="19"/>
  <c r="B188" i="19"/>
  <c r="A189" i="19"/>
  <c r="B189" i="19"/>
  <c r="A190" i="19"/>
  <c r="B190" i="19"/>
  <c r="A191" i="19"/>
  <c r="B191" i="19"/>
  <c r="A192" i="19"/>
  <c r="B192" i="19"/>
  <c r="A193" i="19"/>
  <c r="B193" i="19"/>
  <c r="A194" i="19"/>
  <c r="B194" i="19"/>
  <c r="A195" i="19"/>
  <c r="B195" i="19"/>
  <c r="A196" i="19"/>
  <c r="B196" i="19"/>
  <c r="A197" i="19"/>
  <c r="B197" i="19"/>
  <c r="A198" i="19"/>
  <c r="B198" i="19"/>
  <c r="A199" i="19"/>
  <c r="B199" i="19"/>
  <c r="A200" i="19"/>
  <c r="B200" i="19"/>
  <c r="A201" i="19"/>
  <c r="B201" i="19"/>
  <c r="A202" i="19"/>
  <c r="B202" i="19"/>
  <c r="A203" i="19"/>
  <c r="B203" i="19"/>
  <c r="A204" i="19"/>
  <c r="B204" i="19"/>
  <c r="A205" i="19"/>
  <c r="B205" i="19"/>
  <c r="A206" i="19"/>
  <c r="B206" i="19"/>
  <c r="A207" i="19"/>
  <c r="B207" i="19"/>
  <c r="A208" i="19"/>
  <c r="B208" i="19"/>
  <c r="A209" i="19"/>
  <c r="B209" i="19"/>
  <c r="A210" i="19"/>
  <c r="B210" i="19"/>
  <c r="A211" i="19"/>
  <c r="B211" i="19"/>
  <c r="A212" i="19"/>
  <c r="B212" i="19"/>
  <c r="A213" i="19"/>
  <c r="B213" i="19"/>
  <c r="A214" i="19"/>
  <c r="B214" i="19"/>
  <c r="A215" i="19"/>
  <c r="B215" i="19"/>
  <c r="A216" i="19"/>
  <c r="B216" i="19"/>
  <c r="A217" i="19"/>
  <c r="B217" i="19"/>
  <c r="A218" i="19"/>
  <c r="B218" i="19"/>
  <c r="A219" i="19"/>
  <c r="B219" i="19"/>
  <c r="A221" i="19"/>
  <c r="B221" i="19"/>
  <c r="A222" i="19"/>
  <c r="B222" i="19"/>
  <c r="A223" i="19"/>
  <c r="B223" i="19"/>
  <c r="A224" i="19"/>
  <c r="B224" i="19"/>
  <c r="A225" i="19"/>
  <c r="B225" i="19"/>
  <c r="A226" i="19"/>
  <c r="B226" i="19"/>
  <c r="A227" i="19"/>
  <c r="B227" i="19"/>
  <c r="A228" i="19"/>
  <c r="B228" i="19"/>
  <c r="A229" i="19"/>
  <c r="B229" i="19"/>
  <c r="A230" i="19"/>
  <c r="B230" i="19"/>
  <c r="A231" i="19"/>
  <c r="B231" i="19"/>
  <c r="A232" i="19"/>
  <c r="B232" i="19"/>
  <c r="A233" i="19"/>
  <c r="B233" i="19"/>
  <c r="A234" i="19"/>
  <c r="B234" i="19"/>
  <c r="A235" i="19"/>
  <c r="B235" i="19"/>
  <c r="A236" i="19"/>
  <c r="B236" i="19"/>
  <c r="A237" i="19"/>
  <c r="B237" i="19"/>
  <c r="A238" i="19"/>
  <c r="B238" i="19"/>
  <c r="A239" i="19"/>
  <c r="B239" i="19"/>
  <c r="A240" i="19"/>
  <c r="B240" i="19"/>
  <c r="A241" i="19"/>
  <c r="B241" i="19"/>
  <c r="A242" i="19"/>
  <c r="B242" i="19"/>
  <c r="A243" i="19"/>
  <c r="B243" i="19"/>
  <c r="A244" i="19"/>
  <c r="B244" i="19"/>
  <c r="A246" i="19"/>
  <c r="B246" i="19"/>
  <c r="A247" i="19"/>
  <c r="B247" i="19"/>
  <c r="A248" i="19"/>
  <c r="B248" i="19"/>
  <c r="A249" i="19"/>
  <c r="B249" i="19"/>
  <c r="A250" i="19"/>
  <c r="B250" i="19"/>
  <c r="A251" i="19"/>
  <c r="B251" i="19"/>
  <c r="A252" i="19"/>
  <c r="B252" i="19"/>
  <c r="A253" i="19"/>
  <c r="B253" i="19"/>
  <c r="A254" i="19"/>
  <c r="B254" i="19"/>
  <c r="A255" i="19"/>
  <c r="B255" i="19"/>
  <c r="A256" i="19"/>
  <c r="B256" i="19"/>
  <c r="A257" i="19"/>
  <c r="B257" i="19"/>
  <c r="A258" i="19"/>
  <c r="B258" i="19"/>
  <c r="A259" i="19"/>
  <c r="B259" i="19"/>
  <c r="A260" i="19"/>
  <c r="B260" i="19"/>
  <c r="A261" i="19"/>
  <c r="B261" i="19"/>
  <c r="A262" i="19"/>
  <c r="B262" i="19"/>
  <c r="A263" i="19"/>
  <c r="B263" i="19"/>
  <c r="A264" i="19"/>
  <c r="B264" i="19"/>
  <c r="A265" i="19"/>
  <c r="B265" i="19"/>
  <c r="A266" i="19"/>
  <c r="B266" i="19"/>
  <c r="A267" i="19"/>
  <c r="B267" i="19"/>
  <c r="A268" i="19"/>
  <c r="B268" i="19"/>
  <c r="A269" i="19"/>
  <c r="B269" i="19"/>
  <c r="A270" i="19"/>
  <c r="B270" i="19"/>
  <c r="A271" i="19"/>
  <c r="B271" i="19"/>
  <c r="A272" i="19"/>
  <c r="B272" i="19"/>
  <c r="A273" i="19"/>
  <c r="B273" i="19"/>
  <c r="A274" i="19"/>
  <c r="B274" i="19"/>
  <c r="A275" i="19"/>
  <c r="B275" i="19"/>
  <c r="A276" i="19"/>
  <c r="B276" i="19"/>
  <c r="A277" i="19"/>
  <c r="B277" i="19"/>
  <c r="A278" i="19"/>
  <c r="B278" i="19"/>
  <c r="A279" i="19"/>
  <c r="B279" i="19"/>
  <c r="A280" i="19"/>
  <c r="B280" i="19"/>
  <c r="A281" i="19"/>
  <c r="B281" i="19"/>
  <c r="A282" i="19"/>
  <c r="B282" i="19"/>
  <c r="A283" i="19"/>
  <c r="B283" i="19"/>
  <c r="A284" i="19"/>
  <c r="B284" i="19"/>
  <c r="A285" i="19"/>
  <c r="B285" i="19"/>
  <c r="A286" i="19"/>
  <c r="B286" i="19"/>
  <c r="A287" i="19"/>
  <c r="B287" i="19"/>
  <c r="A288" i="19"/>
  <c r="B288" i="19"/>
  <c r="A289" i="19"/>
  <c r="B289" i="19"/>
  <c r="A290" i="19"/>
  <c r="B290" i="19"/>
  <c r="A291" i="19"/>
  <c r="B291" i="19"/>
  <c r="A292" i="19"/>
  <c r="B292" i="19"/>
  <c r="A293" i="19"/>
  <c r="B293" i="19"/>
  <c r="A294" i="19"/>
  <c r="B294" i="19"/>
  <c r="A295" i="19"/>
  <c r="B295" i="19"/>
  <c r="A296" i="19"/>
  <c r="B296" i="19"/>
  <c r="A297" i="19"/>
  <c r="B297" i="19"/>
  <c r="A298" i="19"/>
  <c r="B298" i="19"/>
  <c r="A299" i="19"/>
  <c r="B299" i="19"/>
  <c r="A300" i="19"/>
  <c r="B300" i="19"/>
  <c r="A301" i="19"/>
  <c r="B301" i="19"/>
  <c r="A302" i="19"/>
  <c r="B302" i="19"/>
  <c r="A303" i="19"/>
  <c r="B303" i="19"/>
  <c r="A304" i="19"/>
  <c r="B304" i="19"/>
  <c r="A305" i="19"/>
  <c r="B305" i="19"/>
  <c r="A306" i="19"/>
  <c r="B306" i="19"/>
  <c r="A307" i="19"/>
  <c r="B307" i="19"/>
  <c r="A308" i="19"/>
  <c r="B308" i="19"/>
  <c r="A309" i="19"/>
  <c r="B309" i="19"/>
  <c r="A310" i="19"/>
  <c r="B310" i="19"/>
  <c r="A311" i="19"/>
  <c r="B311" i="19"/>
  <c r="A312" i="19"/>
  <c r="B312" i="19"/>
  <c r="A313" i="19"/>
  <c r="B313" i="19"/>
  <c r="A314" i="19"/>
  <c r="B314" i="19"/>
  <c r="A315" i="19"/>
  <c r="B315" i="19"/>
  <c r="B7" i="19"/>
  <c r="A7" i="19"/>
  <c r="A2" i="19"/>
  <c r="A2" i="42"/>
  <c r="P7" i="19"/>
  <c r="O7" i="19" s="1"/>
  <c r="N7" i="19"/>
  <c r="H7" i="19"/>
  <c r="AK316" i="42"/>
  <c r="AJ316" i="42"/>
  <c r="AI316" i="42"/>
  <c r="AH316" i="42"/>
  <c r="AG316" i="42"/>
  <c r="AF316" i="42"/>
  <c r="AE316" i="42"/>
  <c r="AD316" i="42"/>
  <c r="AC316" i="42"/>
  <c r="AB316" i="42"/>
  <c r="AA316" i="42"/>
  <c r="Z316" i="42"/>
  <c r="Y316" i="42"/>
  <c r="W316" i="42"/>
  <c r="V316" i="42"/>
  <c r="U316" i="42"/>
  <c r="T316" i="42"/>
  <c r="S316" i="42"/>
  <c r="R316" i="42"/>
  <c r="Q316" i="42"/>
  <c r="P316" i="42"/>
  <c r="O316" i="42"/>
  <c r="N316" i="42"/>
  <c r="AO316" i="42"/>
  <c r="AP316" i="42"/>
  <c r="AQ316" i="42"/>
  <c r="J316" i="42"/>
  <c r="K316" i="42"/>
  <c r="L316" i="42"/>
  <c r="I316" i="42"/>
  <c r="F316" i="42"/>
  <c r="G316" i="42"/>
  <c r="H316" i="42"/>
  <c r="E316" i="42"/>
  <c r="D316" i="42"/>
  <c r="B316" i="42"/>
  <c r="B314" i="32" l="1"/>
  <c r="B316" i="19"/>
  <c r="B314" i="33"/>
  <c r="E4" i="37" l="1"/>
  <c r="E7" i="36"/>
  <c r="D29" i="40"/>
  <c r="F7" i="36" s="1"/>
  <c r="E29" i="40"/>
  <c r="G7" i="36" s="1"/>
  <c r="F29" i="40"/>
  <c r="H7" i="36" s="1"/>
  <c r="G29" i="40"/>
  <c r="I7" i="36" s="1"/>
  <c r="H29" i="40"/>
  <c r="J7" i="36" s="1"/>
  <c r="D7" i="36"/>
  <c r="C4" i="9" l="1"/>
  <c r="N316" i="19"/>
  <c r="V7" i="19"/>
  <c r="AL284" i="42"/>
  <c r="AL212" i="42"/>
  <c r="AL27" i="42"/>
  <c r="AL32" i="42"/>
  <c r="AL46" i="42"/>
  <c r="AL103" i="42"/>
  <c r="AL104" i="42"/>
  <c r="AL175" i="42"/>
  <c r="AL184" i="42"/>
  <c r="AL216" i="42"/>
  <c r="AL221" i="42"/>
  <c r="AL226" i="42"/>
  <c r="AL295" i="42"/>
  <c r="AL9" i="42"/>
  <c r="AL10" i="42"/>
  <c r="AL11" i="42"/>
  <c r="AL12" i="42"/>
  <c r="AL13" i="42"/>
  <c r="AL14" i="42"/>
  <c r="AL15" i="42"/>
  <c r="AL16" i="42"/>
  <c r="AL17" i="42"/>
  <c r="AL18" i="42"/>
  <c r="AL19" i="42"/>
  <c r="AL20" i="42"/>
  <c r="AL21" i="42"/>
  <c r="AL22" i="42"/>
  <c r="AL23" i="42"/>
  <c r="AL24" i="42"/>
  <c r="AL25" i="42"/>
  <c r="AL26" i="42"/>
  <c r="AL28" i="42"/>
  <c r="AL29" i="42"/>
  <c r="AL30" i="42"/>
  <c r="AL31" i="42"/>
  <c r="AL33" i="42"/>
  <c r="AL34" i="42"/>
  <c r="AL35" i="42"/>
  <c r="AL36" i="42"/>
  <c r="AL37" i="42"/>
  <c r="AL38" i="42"/>
  <c r="AL39" i="42"/>
  <c r="AL40" i="42"/>
  <c r="AL41" i="42"/>
  <c r="AL42" i="42"/>
  <c r="AL43" i="42"/>
  <c r="AL44" i="42"/>
  <c r="AL45" i="42"/>
  <c r="AL47" i="42"/>
  <c r="AL48" i="42"/>
  <c r="AL49" i="42"/>
  <c r="AL50" i="42"/>
  <c r="AL51" i="42"/>
  <c r="AL52" i="42"/>
  <c r="AL53" i="42"/>
  <c r="AL54" i="42"/>
  <c r="AL55" i="42"/>
  <c r="AL56" i="42"/>
  <c r="AL57" i="42"/>
  <c r="AL58" i="42"/>
  <c r="AL59" i="42"/>
  <c r="AL60" i="42"/>
  <c r="AL61" i="42"/>
  <c r="AL62" i="42"/>
  <c r="AL63" i="42"/>
  <c r="AL64" i="42"/>
  <c r="AL65" i="42"/>
  <c r="AL66" i="42"/>
  <c r="AL67" i="42"/>
  <c r="AL68" i="42"/>
  <c r="AL69" i="42"/>
  <c r="AL70" i="42"/>
  <c r="AL71" i="42"/>
  <c r="AL72" i="42"/>
  <c r="AL73" i="42"/>
  <c r="AL74" i="42"/>
  <c r="AL75" i="42"/>
  <c r="AL76" i="42"/>
  <c r="AL77" i="42"/>
  <c r="AL78" i="42"/>
  <c r="AL79" i="42"/>
  <c r="AL80" i="42"/>
  <c r="AL81" i="42"/>
  <c r="AL82" i="42"/>
  <c r="AL83" i="42"/>
  <c r="AL84" i="42"/>
  <c r="AL85" i="42"/>
  <c r="AL86" i="42"/>
  <c r="AL87" i="42"/>
  <c r="AL88" i="42"/>
  <c r="AL89" i="42"/>
  <c r="AL90" i="42"/>
  <c r="AL91" i="42"/>
  <c r="AL92" i="42"/>
  <c r="AL93" i="42"/>
  <c r="AL94" i="42"/>
  <c r="AL95" i="42"/>
  <c r="AL96" i="42"/>
  <c r="AL97" i="42"/>
  <c r="AL98" i="42"/>
  <c r="AL99" i="42"/>
  <c r="AL100" i="42"/>
  <c r="AL101" i="42"/>
  <c r="AL102" i="42"/>
  <c r="AL105" i="42"/>
  <c r="AL106" i="42"/>
  <c r="AL107" i="42"/>
  <c r="AL108" i="42"/>
  <c r="AL109" i="42"/>
  <c r="AL110" i="42"/>
  <c r="AL111" i="42"/>
  <c r="AL112" i="42"/>
  <c r="AL113" i="42"/>
  <c r="AL114" i="42"/>
  <c r="AL115" i="42"/>
  <c r="AL116" i="42"/>
  <c r="AL117" i="42"/>
  <c r="AL118" i="42"/>
  <c r="AL119" i="42"/>
  <c r="AL120" i="42"/>
  <c r="AL121" i="42"/>
  <c r="AL122" i="42"/>
  <c r="AL123" i="42"/>
  <c r="AL124" i="42"/>
  <c r="AL125" i="42"/>
  <c r="AL126" i="42"/>
  <c r="AL127" i="42"/>
  <c r="AL128" i="42"/>
  <c r="AL129" i="42"/>
  <c r="AL130" i="42"/>
  <c r="AL131" i="42"/>
  <c r="AL132" i="42"/>
  <c r="AL133" i="42"/>
  <c r="AL134" i="42"/>
  <c r="AL135" i="42"/>
  <c r="AL136" i="42"/>
  <c r="AL137" i="42"/>
  <c r="AL138" i="42"/>
  <c r="AL139" i="42"/>
  <c r="AL140" i="42"/>
  <c r="AL141" i="42"/>
  <c r="AL142" i="42"/>
  <c r="AL143" i="42"/>
  <c r="AL144" i="42"/>
  <c r="AL145" i="42"/>
  <c r="AL146" i="42"/>
  <c r="AL147" i="42"/>
  <c r="AL148" i="42"/>
  <c r="AL149" i="42"/>
  <c r="AL150" i="42"/>
  <c r="AL151" i="42"/>
  <c r="AL152" i="42"/>
  <c r="AL153" i="42"/>
  <c r="AL154" i="42"/>
  <c r="AL155" i="42"/>
  <c r="AL156" i="42"/>
  <c r="AL157" i="42"/>
  <c r="AL158" i="42"/>
  <c r="AL159" i="42"/>
  <c r="AL160" i="42"/>
  <c r="AL161" i="42"/>
  <c r="AL162" i="42"/>
  <c r="AL163" i="42"/>
  <c r="AL164" i="42"/>
  <c r="AL165" i="42"/>
  <c r="AL166" i="42"/>
  <c r="AL167" i="42"/>
  <c r="AL168" i="42"/>
  <c r="AL169" i="42"/>
  <c r="AL170" i="42"/>
  <c r="AL172" i="42"/>
  <c r="AL173" i="42"/>
  <c r="AL174" i="42"/>
  <c r="AL176" i="42"/>
  <c r="AL177" i="42"/>
  <c r="AL178" i="42"/>
  <c r="AL179" i="42"/>
  <c r="AL180" i="42"/>
  <c r="AL181" i="42"/>
  <c r="AL182" i="42"/>
  <c r="AL183" i="42"/>
  <c r="AL185" i="42"/>
  <c r="AL186" i="42"/>
  <c r="AL187" i="42"/>
  <c r="AL188" i="42"/>
  <c r="AL189" i="42"/>
  <c r="AL190" i="42"/>
  <c r="AL191" i="42"/>
  <c r="AL192" i="42"/>
  <c r="AL193" i="42"/>
  <c r="AL194" i="42"/>
  <c r="AL195" i="42"/>
  <c r="AL196" i="42"/>
  <c r="AL197" i="42"/>
  <c r="AL198" i="42"/>
  <c r="AL199" i="42"/>
  <c r="AL200" i="42"/>
  <c r="AL201" i="42"/>
  <c r="AL203" i="42"/>
  <c r="AL204" i="42"/>
  <c r="AL205" i="42"/>
  <c r="AL206" i="42"/>
  <c r="AL207" i="42"/>
  <c r="AL208" i="42"/>
  <c r="AL209" i="42"/>
  <c r="AL210" i="42"/>
  <c r="AL211" i="42"/>
  <c r="AL213" i="42"/>
  <c r="AL214" i="42"/>
  <c r="AL215" i="42"/>
  <c r="AL217" i="42"/>
  <c r="AL218" i="42"/>
  <c r="AL219" i="42"/>
  <c r="AL222" i="42"/>
  <c r="AL223" i="42"/>
  <c r="AL224" i="42"/>
  <c r="AL225" i="42"/>
  <c r="AL227" i="42"/>
  <c r="AL228" i="42"/>
  <c r="AL229" i="42"/>
  <c r="AL230" i="42"/>
  <c r="AL231" i="42"/>
  <c r="AL232" i="42"/>
  <c r="AL233" i="42"/>
  <c r="AL234" i="42"/>
  <c r="AL235" i="42"/>
  <c r="AL236" i="42"/>
  <c r="AL237" i="42"/>
  <c r="AL238" i="42"/>
  <c r="AL239" i="42"/>
  <c r="AL240" i="42"/>
  <c r="AL241" i="42"/>
  <c r="AL242" i="42"/>
  <c r="AL243" i="42"/>
  <c r="AL244" i="42"/>
  <c r="AL246" i="42"/>
  <c r="AL247" i="42"/>
  <c r="AL248" i="42"/>
  <c r="AL249" i="42"/>
  <c r="AL250" i="42"/>
  <c r="AL251" i="42"/>
  <c r="AL252" i="42"/>
  <c r="AL253" i="42"/>
  <c r="AL254" i="42"/>
  <c r="AL255" i="42"/>
  <c r="AL256" i="42"/>
  <c r="AL257" i="42"/>
  <c r="AL258" i="42"/>
  <c r="AL259" i="42"/>
  <c r="AL260" i="42"/>
  <c r="AL261" i="42"/>
  <c r="AL262" i="42"/>
  <c r="AL263" i="42"/>
  <c r="AL264" i="42"/>
  <c r="AL265" i="42"/>
  <c r="AL266" i="42"/>
  <c r="AL267" i="42"/>
  <c r="AL268" i="42"/>
  <c r="AL269" i="42"/>
  <c r="AL270" i="42"/>
  <c r="AL271" i="42"/>
  <c r="AL272" i="42"/>
  <c r="AL273" i="42"/>
  <c r="AL274" i="42"/>
  <c r="AL275" i="42"/>
  <c r="AL276" i="42"/>
  <c r="AL277" i="42"/>
  <c r="AL278" i="42"/>
  <c r="AL279" i="42"/>
  <c r="AL280" i="42"/>
  <c r="AL281" i="42"/>
  <c r="AL282" i="42"/>
  <c r="AL283" i="42"/>
  <c r="AL285" i="42"/>
  <c r="AL286" i="42"/>
  <c r="AL287" i="42"/>
  <c r="AL288" i="42"/>
  <c r="AL289" i="42"/>
  <c r="AL290" i="42"/>
  <c r="AL291" i="42"/>
  <c r="AL292" i="42"/>
  <c r="AL293" i="42"/>
  <c r="AL294" i="42"/>
  <c r="AL296" i="42"/>
  <c r="AL297" i="42"/>
  <c r="AL298" i="42"/>
  <c r="AL299" i="42"/>
  <c r="AL300" i="42"/>
  <c r="AL301" i="42"/>
  <c r="AL302" i="42"/>
  <c r="AL303" i="42"/>
  <c r="AL304" i="42"/>
  <c r="AL305" i="42"/>
  <c r="AL306" i="42"/>
  <c r="AL307" i="42"/>
  <c r="AL308" i="42"/>
  <c r="AL309" i="42"/>
  <c r="AL310" i="42"/>
  <c r="AL311" i="42"/>
  <c r="AL312" i="42"/>
  <c r="AL313" i="42"/>
  <c r="AL315" i="42"/>
  <c r="C7" i="19"/>
  <c r="D7" i="19"/>
  <c r="E7" i="19"/>
  <c r="F7" i="19"/>
  <c r="I7" i="19"/>
  <c r="J7" i="19"/>
  <c r="K7" i="19"/>
  <c r="L7" i="19"/>
  <c r="M7" i="19"/>
  <c r="S7" i="19"/>
  <c r="E11" i="49"/>
  <c r="E15" i="49"/>
  <c r="E19" i="49"/>
  <c r="E23" i="49"/>
  <c r="E24" i="49"/>
  <c r="E27" i="49"/>
  <c r="E28" i="49"/>
  <c r="E31" i="49"/>
  <c r="E35" i="49"/>
  <c r="E39" i="49"/>
  <c r="E43" i="49"/>
  <c r="E55" i="49"/>
  <c r="E63" i="49"/>
  <c r="E67" i="49"/>
  <c r="E71" i="49"/>
  <c r="E75" i="49"/>
  <c r="E79" i="49"/>
  <c r="E83" i="49"/>
  <c r="E86" i="49"/>
  <c r="E87" i="49"/>
  <c r="E91" i="49"/>
  <c r="E95" i="49"/>
  <c r="E96" i="49"/>
  <c r="E99" i="49"/>
  <c r="E103" i="49"/>
  <c r="E107" i="49"/>
  <c r="E111" i="49"/>
  <c r="E115" i="49"/>
  <c r="E118" i="49"/>
  <c r="E119" i="49"/>
  <c r="E120" i="49"/>
  <c r="E121" i="49"/>
  <c r="E123" i="49"/>
  <c r="E127" i="49"/>
  <c r="E128" i="49"/>
  <c r="E131" i="49"/>
  <c r="E132" i="49"/>
  <c r="E134" i="49"/>
  <c r="E136" i="49"/>
  <c r="E139" i="49"/>
  <c r="E142" i="49"/>
  <c r="E143" i="49"/>
  <c r="E146" i="49"/>
  <c r="E149" i="49"/>
  <c r="E152" i="49"/>
  <c r="E168" i="49"/>
  <c r="E171" i="49"/>
  <c r="E173" i="49"/>
  <c r="E180" i="49"/>
  <c r="E183" i="49"/>
  <c r="E195" i="49"/>
  <c r="E196" i="49"/>
  <c r="E197" i="49"/>
  <c r="E199" i="49"/>
  <c r="E215" i="49"/>
  <c r="E220" i="49"/>
  <c r="E221" i="49"/>
  <c r="E222" i="49"/>
  <c r="E227" i="49"/>
  <c r="E229" i="49"/>
  <c r="E234" i="49"/>
  <c r="E239" i="49"/>
  <c r="E242" i="49"/>
  <c r="E243" i="49"/>
  <c r="E245" i="49"/>
  <c r="E246" i="49"/>
  <c r="E256" i="49"/>
  <c r="E257" i="49"/>
  <c r="E261" i="49"/>
  <c r="E269" i="49"/>
  <c r="E270" i="49"/>
  <c r="E276" i="49"/>
  <c r="E288" i="49"/>
  <c r="E289" i="49"/>
  <c r="E293" i="49"/>
  <c r="E296" i="49"/>
  <c r="E297" i="49"/>
  <c r="E301" i="49"/>
  <c r="E304" i="49"/>
  <c r="E312" i="49"/>
  <c r="E313" i="49"/>
  <c r="W7" i="19"/>
  <c r="X7" i="19"/>
  <c r="Z7" i="19"/>
  <c r="D4" i="32"/>
  <c r="AR7" i="19"/>
  <c r="D6" i="49" s="1"/>
  <c r="D7" i="49"/>
  <c r="D8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43" i="49"/>
  <c r="D44" i="49"/>
  <c r="D45" i="49"/>
  <c r="D46" i="49"/>
  <c r="D47" i="49"/>
  <c r="D48" i="49"/>
  <c r="D49" i="49"/>
  <c r="D50" i="49"/>
  <c r="D51" i="49"/>
  <c r="D52" i="49"/>
  <c r="D53" i="49"/>
  <c r="D54" i="49"/>
  <c r="D55" i="49"/>
  <c r="D56" i="49"/>
  <c r="D57" i="49"/>
  <c r="D58" i="49"/>
  <c r="D59" i="49"/>
  <c r="D60" i="49"/>
  <c r="D61" i="49"/>
  <c r="D62" i="49"/>
  <c r="D63" i="49"/>
  <c r="D64" i="49"/>
  <c r="D65" i="49"/>
  <c r="D66" i="49"/>
  <c r="D67" i="49"/>
  <c r="D68" i="49"/>
  <c r="D69" i="49"/>
  <c r="D70" i="49"/>
  <c r="D71" i="49"/>
  <c r="D72" i="49"/>
  <c r="D73" i="49"/>
  <c r="D74" i="49"/>
  <c r="D75" i="49"/>
  <c r="D76" i="49"/>
  <c r="D77" i="49"/>
  <c r="D78" i="49"/>
  <c r="D79" i="49"/>
  <c r="D80" i="49"/>
  <c r="D81" i="49"/>
  <c r="D82" i="49"/>
  <c r="D83" i="49"/>
  <c r="D84" i="49"/>
  <c r="D85" i="49"/>
  <c r="D86" i="49"/>
  <c r="D87" i="49"/>
  <c r="D88" i="49"/>
  <c r="D89" i="49"/>
  <c r="D90" i="49"/>
  <c r="D91" i="49"/>
  <c r="D92" i="49"/>
  <c r="D93" i="49"/>
  <c r="D94" i="49"/>
  <c r="D95" i="49"/>
  <c r="D96" i="49"/>
  <c r="D97" i="49"/>
  <c r="D98" i="49"/>
  <c r="D99" i="49"/>
  <c r="D100" i="49"/>
  <c r="D101" i="49"/>
  <c r="D102" i="49"/>
  <c r="D103" i="49"/>
  <c r="D104" i="49"/>
  <c r="D105" i="49"/>
  <c r="D106" i="49"/>
  <c r="D107" i="49"/>
  <c r="D108" i="49"/>
  <c r="D109" i="49"/>
  <c r="D110" i="49"/>
  <c r="D111" i="49"/>
  <c r="D112" i="49"/>
  <c r="D113" i="49"/>
  <c r="D114" i="49"/>
  <c r="D115" i="49"/>
  <c r="D116" i="49"/>
  <c r="D117" i="49"/>
  <c r="D118" i="49"/>
  <c r="D119" i="49"/>
  <c r="D120" i="49"/>
  <c r="D121" i="49"/>
  <c r="D122" i="49"/>
  <c r="D123" i="49"/>
  <c r="D124" i="49"/>
  <c r="D125" i="49"/>
  <c r="D126" i="49"/>
  <c r="D127" i="49"/>
  <c r="D128" i="49"/>
  <c r="D129" i="49"/>
  <c r="D130" i="49"/>
  <c r="D131" i="49"/>
  <c r="D132" i="49"/>
  <c r="D133" i="49"/>
  <c r="D134" i="49"/>
  <c r="D135" i="49"/>
  <c r="D136" i="49"/>
  <c r="D137" i="49"/>
  <c r="D138" i="49"/>
  <c r="D139" i="49"/>
  <c r="D140" i="49"/>
  <c r="D141" i="49"/>
  <c r="D142" i="49"/>
  <c r="D143" i="49"/>
  <c r="D144" i="49"/>
  <c r="D145" i="49"/>
  <c r="D146" i="49"/>
  <c r="D147" i="49"/>
  <c r="D148" i="49"/>
  <c r="D149" i="49"/>
  <c r="D150" i="49"/>
  <c r="D151" i="49"/>
  <c r="D152" i="49"/>
  <c r="D153" i="49"/>
  <c r="D154" i="49"/>
  <c r="D155" i="49"/>
  <c r="D156" i="49"/>
  <c r="D157" i="49"/>
  <c r="D158" i="49"/>
  <c r="D159" i="49"/>
  <c r="D160" i="49"/>
  <c r="D161" i="49"/>
  <c r="D162" i="49"/>
  <c r="D163" i="49"/>
  <c r="D164" i="49"/>
  <c r="D165" i="49"/>
  <c r="D166" i="49"/>
  <c r="D167" i="49"/>
  <c r="D168" i="49"/>
  <c r="D169" i="49"/>
  <c r="D171" i="49"/>
  <c r="D172" i="49"/>
  <c r="D173" i="49"/>
  <c r="D174" i="49"/>
  <c r="D175" i="49"/>
  <c r="D176" i="49"/>
  <c r="D177" i="49"/>
  <c r="D178" i="49"/>
  <c r="D179" i="49"/>
  <c r="D180" i="49"/>
  <c r="D181" i="49"/>
  <c r="D182" i="49"/>
  <c r="D183" i="49"/>
  <c r="D184" i="49"/>
  <c r="D185" i="49"/>
  <c r="D186" i="49"/>
  <c r="D187" i="49"/>
  <c r="D188" i="49"/>
  <c r="D189" i="49"/>
  <c r="D190" i="49"/>
  <c r="D191" i="49"/>
  <c r="D192" i="49"/>
  <c r="D193" i="49"/>
  <c r="D194" i="49"/>
  <c r="D195" i="49"/>
  <c r="D196" i="49"/>
  <c r="D197" i="49"/>
  <c r="D198" i="49"/>
  <c r="D199" i="49"/>
  <c r="D200" i="49"/>
  <c r="D201" i="49"/>
  <c r="D202" i="49"/>
  <c r="D203" i="49"/>
  <c r="D204" i="49"/>
  <c r="D205" i="49"/>
  <c r="D206" i="49"/>
  <c r="D207" i="49"/>
  <c r="D208" i="49"/>
  <c r="D209" i="49"/>
  <c r="D210" i="49"/>
  <c r="D211" i="49"/>
  <c r="D212" i="49"/>
  <c r="D213" i="49"/>
  <c r="D214" i="49"/>
  <c r="D215" i="49"/>
  <c r="D216" i="49"/>
  <c r="D217" i="49"/>
  <c r="D218" i="49"/>
  <c r="D220" i="49"/>
  <c r="D221" i="49"/>
  <c r="D222" i="49"/>
  <c r="D223" i="49"/>
  <c r="D224" i="49"/>
  <c r="D225" i="49"/>
  <c r="D226" i="49"/>
  <c r="D227" i="49"/>
  <c r="D228" i="49"/>
  <c r="D229" i="49"/>
  <c r="D230" i="49"/>
  <c r="D231" i="49"/>
  <c r="D232" i="49"/>
  <c r="D233" i="49"/>
  <c r="D234" i="49"/>
  <c r="D235" i="49"/>
  <c r="D236" i="49"/>
  <c r="D237" i="49"/>
  <c r="D238" i="49"/>
  <c r="D239" i="49"/>
  <c r="D240" i="49"/>
  <c r="D241" i="49"/>
  <c r="D242" i="49"/>
  <c r="D243" i="49"/>
  <c r="D245" i="49"/>
  <c r="D246" i="49"/>
  <c r="D247" i="49"/>
  <c r="D248" i="49"/>
  <c r="D249" i="49"/>
  <c r="D250" i="49"/>
  <c r="D251" i="49"/>
  <c r="D252" i="49"/>
  <c r="D253" i="49"/>
  <c r="D254" i="49"/>
  <c r="D255" i="49"/>
  <c r="D256" i="49"/>
  <c r="D257" i="49"/>
  <c r="D258" i="49"/>
  <c r="D259" i="49"/>
  <c r="D260" i="49"/>
  <c r="D261" i="49"/>
  <c r="D262" i="49"/>
  <c r="D263" i="49"/>
  <c r="D264" i="49"/>
  <c r="D265" i="49"/>
  <c r="D266" i="49"/>
  <c r="D267" i="49"/>
  <c r="D268" i="49"/>
  <c r="D269" i="49"/>
  <c r="D270" i="49"/>
  <c r="D271" i="49"/>
  <c r="D272" i="49"/>
  <c r="D273" i="49"/>
  <c r="D274" i="49"/>
  <c r="D275" i="49"/>
  <c r="D276" i="49"/>
  <c r="D277" i="49"/>
  <c r="D278" i="49"/>
  <c r="D279" i="49"/>
  <c r="D280" i="49"/>
  <c r="D281" i="49"/>
  <c r="D282" i="49"/>
  <c r="D283" i="49"/>
  <c r="D284" i="49"/>
  <c r="D285" i="49"/>
  <c r="D286" i="49"/>
  <c r="D287" i="49"/>
  <c r="D288" i="49"/>
  <c r="D289" i="49"/>
  <c r="D290" i="49"/>
  <c r="D291" i="49"/>
  <c r="D292" i="49"/>
  <c r="D293" i="49"/>
  <c r="D294" i="49"/>
  <c r="D295" i="49"/>
  <c r="D296" i="49"/>
  <c r="D297" i="49"/>
  <c r="D298" i="49"/>
  <c r="D299" i="49"/>
  <c r="D300" i="49"/>
  <c r="D301" i="49"/>
  <c r="D302" i="49"/>
  <c r="D303" i="49"/>
  <c r="D304" i="49"/>
  <c r="D305" i="49"/>
  <c r="D306" i="49"/>
  <c r="D307" i="49"/>
  <c r="D308" i="49"/>
  <c r="D309" i="49"/>
  <c r="D310" i="49"/>
  <c r="D311" i="49"/>
  <c r="D312" i="49"/>
  <c r="D313" i="49"/>
  <c r="D314" i="49"/>
  <c r="H14" i="13"/>
  <c r="K14" i="13" s="1"/>
  <c r="H88" i="13"/>
  <c r="K88" i="13" s="1"/>
  <c r="E4" i="36"/>
  <c r="G4" i="36"/>
  <c r="I4" i="36"/>
  <c r="H4" i="36"/>
  <c r="G5" i="36"/>
  <c r="C6" i="34"/>
  <c r="D4" i="36"/>
  <c r="D5" i="36"/>
  <c r="E5" i="36"/>
  <c r="F4" i="36"/>
  <c r="F5" i="36"/>
  <c r="H5" i="36"/>
  <c r="J4" i="36"/>
  <c r="I5" i="36"/>
  <c r="I4" i="39"/>
  <c r="H7" i="13"/>
  <c r="K8" i="13"/>
  <c r="H9" i="13"/>
  <c r="K9" i="13" s="1"/>
  <c r="H10" i="13"/>
  <c r="K10" i="13" s="1"/>
  <c r="H11" i="13"/>
  <c r="K11" i="13" s="1"/>
  <c r="H12" i="13"/>
  <c r="K12" i="13" s="1"/>
  <c r="H13" i="13"/>
  <c r="K13" i="13" s="1"/>
  <c r="H15" i="13"/>
  <c r="K15" i="13" s="1"/>
  <c r="H16" i="13"/>
  <c r="K16" i="13" s="1"/>
  <c r="H17" i="13"/>
  <c r="K17" i="13" s="1"/>
  <c r="H18" i="13"/>
  <c r="K18" i="13" s="1"/>
  <c r="H19" i="13"/>
  <c r="K19" i="13" s="1"/>
  <c r="H20" i="13"/>
  <c r="K20" i="13" s="1"/>
  <c r="H21" i="13"/>
  <c r="K21" i="13" s="1"/>
  <c r="H22" i="13"/>
  <c r="K22" i="13" s="1"/>
  <c r="H23" i="13"/>
  <c r="K23" i="13" s="1"/>
  <c r="H24" i="13"/>
  <c r="K24" i="13" s="1"/>
  <c r="H25" i="13"/>
  <c r="K25" i="13" s="1"/>
  <c r="H26" i="13"/>
  <c r="K26" i="13" s="1"/>
  <c r="H27" i="13"/>
  <c r="K27" i="13" s="1"/>
  <c r="H28" i="13"/>
  <c r="K28" i="13" s="1"/>
  <c r="H29" i="13"/>
  <c r="K29" i="13" s="1"/>
  <c r="H30" i="13"/>
  <c r="K30" i="13" s="1"/>
  <c r="H31" i="13"/>
  <c r="K31" i="13" s="1"/>
  <c r="H32" i="13"/>
  <c r="K32" i="13" s="1"/>
  <c r="H33" i="13"/>
  <c r="K33" i="13" s="1"/>
  <c r="H34" i="13"/>
  <c r="K34" i="13" s="1"/>
  <c r="H35" i="13"/>
  <c r="K35" i="13" s="1"/>
  <c r="H36" i="13"/>
  <c r="K36" i="13" s="1"/>
  <c r="H37" i="13"/>
  <c r="K37" i="13" s="1"/>
  <c r="H38" i="13"/>
  <c r="K38" i="13" s="1"/>
  <c r="H39" i="13"/>
  <c r="K39" i="13" s="1"/>
  <c r="H40" i="13"/>
  <c r="K40" i="13" s="1"/>
  <c r="H41" i="13"/>
  <c r="K41" i="13" s="1"/>
  <c r="H42" i="13"/>
  <c r="K42" i="13" s="1"/>
  <c r="H43" i="13"/>
  <c r="K43" i="13" s="1"/>
  <c r="H44" i="13"/>
  <c r="K44" i="13" s="1"/>
  <c r="H45" i="13"/>
  <c r="K45" i="13" s="1"/>
  <c r="H46" i="13"/>
  <c r="K46" i="13" s="1"/>
  <c r="H47" i="13"/>
  <c r="K47" i="13" s="1"/>
  <c r="H48" i="13"/>
  <c r="K48" i="13" s="1"/>
  <c r="H49" i="13"/>
  <c r="K49" i="13" s="1"/>
  <c r="H50" i="13"/>
  <c r="K50" i="13" s="1"/>
  <c r="H51" i="13"/>
  <c r="K51" i="13" s="1"/>
  <c r="H52" i="13"/>
  <c r="K52" i="13" s="1"/>
  <c r="H53" i="13"/>
  <c r="K53" i="13" s="1"/>
  <c r="H54" i="13"/>
  <c r="K54" i="13" s="1"/>
  <c r="H55" i="13"/>
  <c r="K55" i="13" s="1"/>
  <c r="H56" i="13"/>
  <c r="K56" i="13" s="1"/>
  <c r="H57" i="13"/>
  <c r="K57" i="13" s="1"/>
  <c r="H58" i="13"/>
  <c r="K58" i="13" s="1"/>
  <c r="H59" i="13"/>
  <c r="K59" i="13" s="1"/>
  <c r="H60" i="13"/>
  <c r="K60" i="13" s="1"/>
  <c r="H61" i="13"/>
  <c r="K61" i="13" s="1"/>
  <c r="H62" i="13"/>
  <c r="K62" i="13" s="1"/>
  <c r="H63" i="13"/>
  <c r="K63" i="13" s="1"/>
  <c r="H64" i="13"/>
  <c r="K64" i="13" s="1"/>
  <c r="H65" i="13"/>
  <c r="K65" i="13" s="1"/>
  <c r="H66" i="13"/>
  <c r="K66" i="13" s="1"/>
  <c r="H67" i="13"/>
  <c r="K67" i="13" s="1"/>
  <c r="H68" i="13"/>
  <c r="K68" i="13" s="1"/>
  <c r="H69" i="13"/>
  <c r="K69" i="13" s="1"/>
  <c r="H70" i="13"/>
  <c r="K70" i="13" s="1"/>
  <c r="H71" i="13"/>
  <c r="K71" i="13" s="1"/>
  <c r="H72" i="13"/>
  <c r="K72" i="13" s="1"/>
  <c r="H73" i="13"/>
  <c r="K73" i="13" s="1"/>
  <c r="H74" i="13"/>
  <c r="K74" i="13" s="1"/>
  <c r="H75" i="13"/>
  <c r="K75" i="13" s="1"/>
  <c r="H76" i="13"/>
  <c r="K76" i="13" s="1"/>
  <c r="H77" i="13"/>
  <c r="K77" i="13" s="1"/>
  <c r="H78" i="13"/>
  <c r="K78" i="13" s="1"/>
  <c r="H79" i="13"/>
  <c r="K79" i="13" s="1"/>
  <c r="H80" i="13"/>
  <c r="K80" i="13" s="1"/>
  <c r="H81" i="13"/>
  <c r="K81" i="13" s="1"/>
  <c r="H82" i="13"/>
  <c r="K82" i="13" s="1"/>
  <c r="H83" i="13"/>
  <c r="K83" i="13" s="1"/>
  <c r="H84" i="13"/>
  <c r="K84" i="13" s="1"/>
  <c r="H85" i="13"/>
  <c r="K85" i="13" s="1"/>
  <c r="H86" i="13"/>
  <c r="K86" i="13" s="1"/>
  <c r="H87" i="13"/>
  <c r="K87" i="13" s="1"/>
  <c r="H89" i="13"/>
  <c r="K89" i="13" s="1"/>
  <c r="H90" i="13"/>
  <c r="K90" i="13" s="1"/>
  <c r="H91" i="13"/>
  <c r="K91" i="13" s="1"/>
  <c r="H92" i="13"/>
  <c r="K92" i="13" s="1"/>
  <c r="H93" i="13"/>
  <c r="K93" i="13" s="1"/>
  <c r="H94" i="13"/>
  <c r="K94" i="13" s="1"/>
  <c r="H95" i="13"/>
  <c r="K95" i="13" s="1"/>
  <c r="H96" i="13"/>
  <c r="K96" i="13" s="1"/>
  <c r="H97" i="13"/>
  <c r="K97" i="13" s="1"/>
  <c r="H98" i="13"/>
  <c r="K98" i="13" s="1"/>
  <c r="H99" i="13"/>
  <c r="K99" i="13" s="1"/>
  <c r="H100" i="13"/>
  <c r="K100" i="13" s="1"/>
  <c r="H101" i="13"/>
  <c r="K101" i="13" s="1"/>
  <c r="H102" i="13"/>
  <c r="K102" i="13" s="1"/>
  <c r="H103" i="13"/>
  <c r="K103" i="13" s="1"/>
  <c r="H104" i="13"/>
  <c r="K104" i="13" s="1"/>
  <c r="H105" i="13"/>
  <c r="K105" i="13" s="1"/>
  <c r="H106" i="13"/>
  <c r="K106" i="13" s="1"/>
  <c r="H107" i="13"/>
  <c r="K107" i="13" s="1"/>
  <c r="H108" i="13"/>
  <c r="K108" i="13" s="1"/>
  <c r="H109" i="13"/>
  <c r="K109" i="13" s="1"/>
  <c r="H110" i="13"/>
  <c r="K110" i="13" s="1"/>
  <c r="H111" i="13"/>
  <c r="K111" i="13" s="1"/>
  <c r="H112" i="13"/>
  <c r="K112" i="13" s="1"/>
  <c r="H113" i="13"/>
  <c r="K113" i="13" s="1"/>
  <c r="H114" i="13"/>
  <c r="K114" i="13" s="1"/>
  <c r="H115" i="13"/>
  <c r="K115" i="13" s="1"/>
  <c r="H116" i="13"/>
  <c r="K116" i="13" s="1"/>
  <c r="H117" i="13"/>
  <c r="K117" i="13" s="1"/>
  <c r="H118" i="13"/>
  <c r="K118" i="13" s="1"/>
  <c r="H119" i="13"/>
  <c r="K119" i="13" s="1"/>
  <c r="H120" i="13"/>
  <c r="K120" i="13" s="1"/>
  <c r="H121" i="13"/>
  <c r="K121" i="13" s="1"/>
  <c r="H122" i="13"/>
  <c r="K122" i="13" s="1"/>
  <c r="H123" i="13"/>
  <c r="K123" i="13" s="1"/>
  <c r="H124" i="13"/>
  <c r="K124" i="13" s="1"/>
  <c r="H125" i="13"/>
  <c r="K125" i="13" s="1"/>
  <c r="H126" i="13"/>
  <c r="K126" i="13" s="1"/>
  <c r="H127" i="13"/>
  <c r="K127" i="13" s="1"/>
  <c r="H128" i="13"/>
  <c r="K128" i="13" s="1"/>
  <c r="H129" i="13"/>
  <c r="K129" i="13" s="1"/>
  <c r="H130" i="13"/>
  <c r="K130" i="13" s="1"/>
  <c r="H131" i="13"/>
  <c r="K131" i="13" s="1"/>
  <c r="H132" i="13"/>
  <c r="K132" i="13" s="1"/>
  <c r="H133" i="13"/>
  <c r="K133" i="13" s="1"/>
  <c r="H134" i="13"/>
  <c r="K134" i="13" s="1"/>
  <c r="H135" i="13"/>
  <c r="K135" i="13" s="1"/>
  <c r="H136" i="13"/>
  <c r="K136" i="13" s="1"/>
  <c r="H137" i="13"/>
  <c r="K137" i="13" s="1"/>
  <c r="H138" i="13"/>
  <c r="K138" i="13" s="1"/>
  <c r="H139" i="13"/>
  <c r="K139" i="13" s="1"/>
  <c r="H140" i="13"/>
  <c r="K140" i="13" s="1"/>
  <c r="H141" i="13"/>
  <c r="K141" i="13" s="1"/>
  <c r="H142" i="13"/>
  <c r="K142" i="13" s="1"/>
  <c r="H143" i="13"/>
  <c r="K143" i="13" s="1"/>
  <c r="H144" i="13"/>
  <c r="K144" i="13" s="1"/>
  <c r="H145" i="13"/>
  <c r="K145" i="13" s="1"/>
  <c r="H146" i="13"/>
  <c r="K146" i="13" s="1"/>
  <c r="H147" i="13"/>
  <c r="K147" i="13" s="1"/>
  <c r="H148" i="13"/>
  <c r="K148" i="13" s="1"/>
  <c r="H149" i="13"/>
  <c r="K149" i="13" s="1"/>
  <c r="H150" i="13"/>
  <c r="K150" i="13" s="1"/>
  <c r="H151" i="13"/>
  <c r="K151" i="13" s="1"/>
  <c r="H152" i="13"/>
  <c r="K152" i="13" s="1"/>
  <c r="H153" i="13"/>
  <c r="K153" i="13" s="1"/>
  <c r="H154" i="13"/>
  <c r="K154" i="13" s="1"/>
  <c r="H155" i="13"/>
  <c r="K155" i="13" s="1"/>
  <c r="H156" i="13"/>
  <c r="K156" i="13" s="1"/>
  <c r="H157" i="13"/>
  <c r="K157" i="13" s="1"/>
  <c r="H158" i="13"/>
  <c r="K158" i="13" s="1"/>
  <c r="H159" i="13"/>
  <c r="K159" i="13" s="1"/>
  <c r="H160" i="13"/>
  <c r="K160" i="13" s="1"/>
  <c r="H161" i="13"/>
  <c r="K161" i="13" s="1"/>
  <c r="H162" i="13"/>
  <c r="K162" i="13" s="1"/>
  <c r="H163" i="13"/>
  <c r="K163" i="13" s="1"/>
  <c r="H164" i="13"/>
  <c r="K164" i="13" s="1"/>
  <c r="H165" i="13"/>
  <c r="K165" i="13" s="1"/>
  <c r="H166" i="13"/>
  <c r="K166" i="13" s="1"/>
  <c r="H167" i="13"/>
  <c r="K167" i="13" s="1"/>
  <c r="H168" i="13"/>
  <c r="K168" i="13" s="1"/>
  <c r="H169" i="13"/>
  <c r="K169" i="13" s="1"/>
  <c r="H171" i="13"/>
  <c r="K171" i="13" s="1"/>
  <c r="H172" i="13"/>
  <c r="K172" i="13" s="1"/>
  <c r="H173" i="13"/>
  <c r="K173" i="13" s="1"/>
  <c r="H174" i="13"/>
  <c r="K174" i="13" s="1"/>
  <c r="H175" i="13"/>
  <c r="K175" i="13" s="1"/>
  <c r="H176" i="13"/>
  <c r="K176" i="13" s="1"/>
  <c r="H177" i="13"/>
  <c r="K177" i="13" s="1"/>
  <c r="H178" i="13"/>
  <c r="K178" i="13" s="1"/>
  <c r="H179" i="13"/>
  <c r="K179" i="13" s="1"/>
  <c r="H180" i="13"/>
  <c r="K180" i="13" s="1"/>
  <c r="H181" i="13"/>
  <c r="K181" i="13" s="1"/>
  <c r="H182" i="13"/>
  <c r="K182" i="13" s="1"/>
  <c r="H183" i="13"/>
  <c r="K183" i="13" s="1"/>
  <c r="H184" i="13"/>
  <c r="K184" i="13" s="1"/>
  <c r="H185" i="13"/>
  <c r="K185" i="13" s="1"/>
  <c r="H186" i="13"/>
  <c r="K186" i="13" s="1"/>
  <c r="H187" i="13"/>
  <c r="K187" i="13" s="1"/>
  <c r="H188" i="13"/>
  <c r="K188" i="13" s="1"/>
  <c r="H189" i="13"/>
  <c r="K189" i="13" s="1"/>
  <c r="H190" i="13"/>
  <c r="K190" i="13" s="1"/>
  <c r="H191" i="13"/>
  <c r="K191" i="13" s="1"/>
  <c r="H192" i="13"/>
  <c r="K192" i="13" s="1"/>
  <c r="H193" i="13"/>
  <c r="K193" i="13" s="1"/>
  <c r="H194" i="13"/>
  <c r="K194" i="13" s="1"/>
  <c r="H195" i="13"/>
  <c r="K195" i="13" s="1"/>
  <c r="H196" i="13"/>
  <c r="K196" i="13" s="1"/>
  <c r="H197" i="13"/>
  <c r="K197" i="13" s="1"/>
  <c r="H198" i="13"/>
  <c r="K198" i="13" s="1"/>
  <c r="H199" i="13"/>
  <c r="K199" i="13" s="1"/>
  <c r="H200" i="13"/>
  <c r="K200" i="13" s="1"/>
  <c r="H201" i="13"/>
  <c r="K201" i="13" s="1"/>
  <c r="H202" i="13"/>
  <c r="K202" i="13" s="1"/>
  <c r="H203" i="13"/>
  <c r="K203" i="13" s="1"/>
  <c r="H204" i="13"/>
  <c r="K204" i="13" s="1"/>
  <c r="H205" i="13"/>
  <c r="K205" i="13" s="1"/>
  <c r="H206" i="13"/>
  <c r="K206" i="13" s="1"/>
  <c r="H207" i="13"/>
  <c r="K207" i="13" s="1"/>
  <c r="H208" i="13"/>
  <c r="K208" i="13" s="1"/>
  <c r="H209" i="13"/>
  <c r="K209" i="13" s="1"/>
  <c r="H210" i="13"/>
  <c r="K210" i="13" s="1"/>
  <c r="H211" i="13"/>
  <c r="K211" i="13" s="1"/>
  <c r="H212" i="13"/>
  <c r="K212" i="13" s="1"/>
  <c r="H213" i="13"/>
  <c r="K213" i="13" s="1"/>
  <c r="H214" i="13"/>
  <c r="K214" i="13" s="1"/>
  <c r="H215" i="13"/>
  <c r="K215" i="13" s="1"/>
  <c r="H216" i="13"/>
  <c r="K216" i="13" s="1"/>
  <c r="H217" i="13"/>
  <c r="K217" i="13" s="1"/>
  <c r="H218" i="13"/>
  <c r="K218" i="13" s="1"/>
  <c r="H220" i="13"/>
  <c r="K220" i="13" s="1"/>
  <c r="H221" i="13"/>
  <c r="K221" i="13" s="1"/>
  <c r="H222" i="13"/>
  <c r="K222" i="13" s="1"/>
  <c r="H223" i="13"/>
  <c r="K223" i="13" s="1"/>
  <c r="H224" i="13"/>
  <c r="K224" i="13" s="1"/>
  <c r="H225" i="13"/>
  <c r="K225" i="13" s="1"/>
  <c r="H226" i="13"/>
  <c r="K226" i="13" s="1"/>
  <c r="H227" i="13"/>
  <c r="K227" i="13" s="1"/>
  <c r="H228" i="13"/>
  <c r="K228" i="13" s="1"/>
  <c r="H229" i="13"/>
  <c r="K229" i="13" s="1"/>
  <c r="H230" i="13"/>
  <c r="K230" i="13" s="1"/>
  <c r="H231" i="13"/>
  <c r="K231" i="13" s="1"/>
  <c r="H232" i="13"/>
  <c r="K232" i="13" s="1"/>
  <c r="H233" i="13"/>
  <c r="K233" i="13" s="1"/>
  <c r="H234" i="13"/>
  <c r="K234" i="13" s="1"/>
  <c r="H235" i="13"/>
  <c r="K235" i="13" s="1"/>
  <c r="H236" i="13"/>
  <c r="K236" i="13" s="1"/>
  <c r="H237" i="13"/>
  <c r="K237" i="13" s="1"/>
  <c r="H238" i="13"/>
  <c r="K238" i="13" s="1"/>
  <c r="H239" i="13"/>
  <c r="K239" i="13" s="1"/>
  <c r="H240" i="13"/>
  <c r="K240" i="13" s="1"/>
  <c r="H241" i="13"/>
  <c r="K241" i="13" s="1"/>
  <c r="H242" i="13"/>
  <c r="K242" i="13" s="1"/>
  <c r="H243" i="13"/>
  <c r="K243" i="13" s="1"/>
  <c r="H245" i="13"/>
  <c r="K245" i="13" s="1"/>
  <c r="H246" i="13"/>
  <c r="K246" i="13" s="1"/>
  <c r="H247" i="13"/>
  <c r="K247" i="13" s="1"/>
  <c r="H248" i="13"/>
  <c r="K248" i="13" s="1"/>
  <c r="H249" i="13"/>
  <c r="K249" i="13" s="1"/>
  <c r="H250" i="13"/>
  <c r="K250" i="13" s="1"/>
  <c r="H251" i="13"/>
  <c r="K251" i="13" s="1"/>
  <c r="H252" i="13"/>
  <c r="K252" i="13" s="1"/>
  <c r="H253" i="13"/>
  <c r="K253" i="13" s="1"/>
  <c r="H254" i="13"/>
  <c r="K254" i="13" s="1"/>
  <c r="H255" i="13"/>
  <c r="K255" i="13" s="1"/>
  <c r="H256" i="13"/>
  <c r="K256" i="13" s="1"/>
  <c r="H257" i="13"/>
  <c r="K257" i="13" s="1"/>
  <c r="H258" i="13"/>
  <c r="K258" i="13" s="1"/>
  <c r="H259" i="13"/>
  <c r="K259" i="13" s="1"/>
  <c r="H260" i="13"/>
  <c r="K260" i="13" s="1"/>
  <c r="H261" i="13"/>
  <c r="K261" i="13" s="1"/>
  <c r="H262" i="13"/>
  <c r="K262" i="13" s="1"/>
  <c r="H263" i="13"/>
  <c r="K263" i="13" s="1"/>
  <c r="H264" i="13"/>
  <c r="K264" i="13" s="1"/>
  <c r="H265" i="13"/>
  <c r="K265" i="13" s="1"/>
  <c r="H266" i="13"/>
  <c r="K266" i="13" s="1"/>
  <c r="H267" i="13"/>
  <c r="K267" i="13" s="1"/>
  <c r="H268" i="13"/>
  <c r="K268" i="13" s="1"/>
  <c r="H269" i="13"/>
  <c r="K269" i="13" s="1"/>
  <c r="H270" i="13"/>
  <c r="K270" i="13" s="1"/>
  <c r="H271" i="13"/>
  <c r="K271" i="13" s="1"/>
  <c r="H272" i="13"/>
  <c r="K272" i="13" s="1"/>
  <c r="H273" i="13"/>
  <c r="K273" i="13" s="1"/>
  <c r="H274" i="13"/>
  <c r="K274" i="13" s="1"/>
  <c r="H275" i="13"/>
  <c r="K275" i="13" s="1"/>
  <c r="H276" i="13"/>
  <c r="K276" i="13" s="1"/>
  <c r="H277" i="13"/>
  <c r="K277" i="13" s="1"/>
  <c r="H278" i="13"/>
  <c r="K278" i="13" s="1"/>
  <c r="H279" i="13"/>
  <c r="K279" i="13" s="1"/>
  <c r="H280" i="13"/>
  <c r="K280" i="13" s="1"/>
  <c r="H281" i="13"/>
  <c r="K281" i="13" s="1"/>
  <c r="H282" i="13"/>
  <c r="K282" i="13" s="1"/>
  <c r="H283" i="13"/>
  <c r="K283" i="13" s="1"/>
  <c r="H284" i="13"/>
  <c r="K284" i="13" s="1"/>
  <c r="H285" i="13"/>
  <c r="K285" i="13" s="1"/>
  <c r="H286" i="13"/>
  <c r="K286" i="13" s="1"/>
  <c r="H287" i="13"/>
  <c r="K287" i="13" s="1"/>
  <c r="H288" i="13"/>
  <c r="K288" i="13" s="1"/>
  <c r="H289" i="13"/>
  <c r="K289" i="13" s="1"/>
  <c r="H290" i="13"/>
  <c r="K290" i="13" s="1"/>
  <c r="H291" i="13"/>
  <c r="K291" i="13" s="1"/>
  <c r="H292" i="13"/>
  <c r="K292" i="13" s="1"/>
  <c r="K293" i="13"/>
  <c r="H294" i="13"/>
  <c r="K294" i="13" s="1"/>
  <c r="H295" i="13"/>
  <c r="K295" i="13" s="1"/>
  <c r="H296" i="13"/>
  <c r="K296" i="13" s="1"/>
  <c r="K297" i="13"/>
  <c r="H298" i="13"/>
  <c r="K298" i="13" s="1"/>
  <c r="H299" i="13"/>
  <c r="K299" i="13" s="1"/>
  <c r="H300" i="13"/>
  <c r="K300" i="13" s="1"/>
  <c r="H301" i="13"/>
  <c r="K301" i="13" s="1"/>
  <c r="H302" i="13"/>
  <c r="K302" i="13" s="1"/>
  <c r="H303" i="13"/>
  <c r="K303" i="13" s="1"/>
  <c r="H304" i="13"/>
  <c r="K304" i="13" s="1"/>
  <c r="H305" i="13"/>
  <c r="K305" i="13" s="1"/>
  <c r="H306" i="13"/>
  <c r="K306" i="13" s="1"/>
  <c r="H307" i="13"/>
  <c r="K307" i="13" s="1"/>
  <c r="H308" i="13"/>
  <c r="K308" i="13" s="1"/>
  <c r="H309" i="13"/>
  <c r="K309" i="13" s="1"/>
  <c r="H310" i="13"/>
  <c r="K310" i="13" s="1"/>
  <c r="H311" i="13"/>
  <c r="K311" i="13" s="1"/>
  <c r="H312" i="13"/>
  <c r="K312" i="13" s="1"/>
  <c r="H313" i="13"/>
  <c r="K313" i="13" s="1"/>
  <c r="H314" i="13"/>
  <c r="K314" i="13" s="1"/>
  <c r="A178" i="25"/>
  <c r="B178" i="25"/>
  <c r="A179" i="25"/>
  <c r="B179" i="25"/>
  <c r="B177" i="11"/>
  <c r="A177" i="11"/>
  <c r="B243" i="25"/>
  <c r="A243" i="25"/>
  <c r="B242" i="11"/>
  <c r="A242" i="11"/>
  <c r="B255" i="25"/>
  <c r="A255" i="25"/>
  <c r="B254" i="11"/>
  <c r="B255" i="11"/>
  <c r="A254" i="11"/>
  <c r="A255" i="11"/>
  <c r="B242" i="25"/>
  <c r="A242" i="25"/>
  <c r="B241" i="11"/>
  <c r="A241" i="11"/>
  <c r="B93" i="25"/>
  <c r="B94" i="25"/>
  <c r="A93" i="25"/>
  <c r="A94" i="25"/>
  <c r="B92" i="11"/>
  <c r="B93" i="11"/>
  <c r="A92" i="11"/>
  <c r="B94" i="11"/>
  <c r="A93" i="11"/>
  <c r="A94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70" i="11"/>
  <c r="B171" i="11"/>
  <c r="B172" i="11"/>
  <c r="B173" i="11"/>
  <c r="B174" i="11"/>
  <c r="B175" i="11"/>
  <c r="B176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4" i="11"/>
  <c r="B245" i="11"/>
  <c r="B246" i="11"/>
  <c r="B247" i="11"/>
  <c r="B248" i="11"/>
  <c r="B249" i="11"/>
  <c r="B250" i="11"/>
  <c r="B251" i="11"/>
  <c r="B252" i="11"/>
  <c r="B253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70" i="11"/>
  <c r="A171" i="11"/>
  <c r="A172" i="11"/>
  <c r="A173" i="11"/>
  <c r="A174" i="11"/>
  <c r="A175" i="11"/>
  <c r="A176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4" i="11"/>
  <c r="A245" i="11"/>
  <c r="A246" i="11"/>
  <c r="A247" i="11"/>
  <c r="A248" i="11"/>
  <c r="A249" i="11"/>
  <c r="A250" i="11"/>
  <c r="A251" i="11"/>
  <c r="A252" i="11"/>
  <c r="A253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5" i="11"/>
  <c r="AA7" i="19"/>
  <c r="AB7" i="19"/>
  <c r="AC7" i="19"/>
  <c r="AD7" i="19"/>
  <c r="AE7" i="19"/>
  <c r="AF7" i="19"/>
  <c r="AG7" i="19"/>
  <c r="AH7" i="19"/>
  <c r="AI7" i="19"/>
  <c r="AJ7" i="19"/>
  <c r="AK7" i="19"/>
  <c r="AL7" i="19"/>
  <c r="AM7" i="19"/>
  <c r="AN7" i="19"/>
  <c r="AO7" i="19"/>
  <c r="AP7" i="19"/>
  <c r="AQ7" i="19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5" i="25"/>
  <c r="B95" i="25"/>
  <c r="A96" i="25"/>
  <c r="B96" i="25"/>
  <c r="A97" i="25"/>
  <c r="B97" i="25"/>
  <c r="A98" i="25"/>
  <c r="B98" i="25"/>
  <c r="A99" i="25"/>
  <c r="B99" i="25"/>
  <c r="A100" i="25"/>
  <c r="B100" i="25"/>
  <c r="A101" i="25"/>
  <c r="B101" i="25"/>
  <c r="A102" i="25"/>
  <c r="B102" i="25"/>
  <c r="A103" i="25"/>
  <c r="B103" i="25"/>
  <c r="A104" i="25"/>
  <c r="B104" i="25"/>
  <c r="A105" i="25"/>
  <c r="B105" i="25"/>
  <c r="A106" i="25"/>
  <c r="B106" i="25"/>
  <c r="A107" i="25"/>
  <c r="B107" i="25"/>
  <c r="A108" i="25"/>
  <c r="B108" i="25"/>
  <c r="A109" i="25"/>
  <c r="B109" i="25"/>
  <c r="A110" i="25"/>
  <c r="B110" i="25"/>
  <c r="A111" i="25"/>
  <c r="B111" i="25"/>
  <c r="A112" i="25"/>
  <c r="B112" i="25"/>
  <c r="A113" i="25"/>
  <c r="B113" i="25"/>
  <c r="A114" i="25"/>
  <c r="B114" i="25"/>
  <c r="A115" i="25"/>
  <c r="B115" i="25"/>
  <c r="A116" i="25"/>
  <c r="B116" i="25"/>
  <c r="A117" i="25"/>
  <c r="B117" i="25"/>
  <c r="A118" i="25"/>
  <c r="B118" i="25"/>
  <c r="A119" i="25"/>
  <c r="B119" i="25"/>
  <c r="A120" i="25"/>
  <c r="B120" i="25"/>
  <c r="A121" i="25"/>
  <c r="B121" i="25"/>
  <c r="A122" i="25"/>
  <c r="B122" i="25"/>
  <c r="A123" i="25"/>
  <c r="B123" i="25"/>
  <c r="A124" i="25"/>
  <c r="B124" i="25"/>
  <c r="A125" i="25"/>
  <c r="B125" i="25"/>
  <c r="A126" i="25"/>
  <c r="B126" i="25"/>
  <c r="A127" i="25"/>
  <c r="B127" i="25"/>
  <c r="A128" i="25"/>
  <c r="B128" i="25"/>
  <c r="A129" i="25"/>
  <c r="B129" i="25"/>
  <c r="A130" i="25"/>
  <c r="B130" i="25"/>
  <c r="A131" i="25"/>
  <c r="B131" i="25"/>
  <c r="A132" i="25"/>
  <c r="B132" i="25"/>
  <c r="A133" i="25"/>
  <c r="B133" i="25"/>
  <c r="A134" i="25"/>
  <c r="B134" i="25"/>
  <c r="A135" i="25"/>
  <c r="B135" i="25"/>
  <c r="A136" i="25"/>
  <c r="B136" i="25"/>
  <c r="A137" i="25"/>
  <c r="B137" i="25"/>
  <c r="A138" i="25"/>
  <c r="B138" i="25"/>
  <c r="A139" i="25"/>
  <c r="B139" i="25"/>
  <c r="A140" i="25"/>
  <c r="B140" i="25"/>
  <c r="A141" i="25"/>
  <c r="B141" i="25"/>
  <c r="A142" i="25"/>
  <c r="B142" i="25"/>
  <c r="A143" i="25"/>
  <c r="B143" i="25"/>
  <c r="A144" i="25"/>
  <c r="B144" i="25"/>
  <c r="A145" i="25"/>
  <c r="B145" i="25"/>
  <c r="A146" i="25"/>
  <c r="B146" i="25"/>
  <c r="A147" i="25"/>
  <c r="B147" i="25"/>
  <c r="A148" i="25"/>
  <c r="B148" i="25"/>
  <c r="A149" i="25"/>
  <c r="B149" i="25"/>
  <c r="A150" i="25"/>
  <c r="B150" i="25"/>
  <c r="A151" i="25"/>
  <c r="B151" i="25"/>
  <c r="A152" i="25"/>
  <c r="B152" i="25"/>
  <c r="A153" i="25"/>
  <c r="B153" i="25"/>
  <c r="A154" i="25"/>
  <c r="B154" i="25"/>
  <c r="A155" i="25"/>
  <c r="B155" i="25"/>
  <c r="A156" i="25"/>
  <c r="B156" i="25"/>
  <c r="A157" i="25"/>
  <c r="B157" i="25"/>
  <c r="A158" i="25"/>
  <c r="B158" i="25"/>
  <c r="A159" i="25"/>
  <c r="B159" i="25"/>
  <c r="A160" i="25"/>
  <c r="B160" i="25"/>
  <c r="A161" i="25"/>
  <c r="B161" i="25"/>
  <c r="A162" i="25"/>
  <c r="B162" i="25"/>
  <c r="A163" i="25"/>
  <c r="B163" i="25"/>
  <c r="A164" i="25"/>
  <c r="B164" i="25"/>
  <c r="A165" i="25"/>
  <c r="B165" i="25"/>
  <c r="A166" i="25"/>
  <c r="B166" i="25"/>
  <c r="A167" i="25"/>
  <c r="B167" i="25"/>
  <c r="A168" i="25"/>
  <c r="B168" i="25"/>
  <c r="A169" i="25"/>
  <c r="B169" i="25"/>
  <c r="A171" i="25"/>
  <c r="B171" i="25"/>
  <c r="A172" i="25"/>
  <c r="B172" i="25"/>
  <c r="A173" i="25"/>
  <c r="B173" i="25"/>
  <c r="A174" i="25"/>
  <c r="B174" i="25"/>
  <c r="A175" i="25"/>
  <c r="B175" i="25"/>
  <c r="A176" i="25"/>
  <c r="B176" i="25"/>
  <c r="A177" i="25"/>
  <c r="B177" i="25"/>
  <c r="A180" i="25"/>
  <c r="B180" i="25"/>
  <c r="A181" i="25"/>
  <c r="B181" i="25"/>
  <c r="A182" i="25"/>
  <c r="B182" i="25"/>
  <c r="A183" i="25"/>
  <c r="B183" i="25"/>
  <c r="A184" i="25"/>
  <c r="B184" i="25"/>
  <c r="A185" i="25"/>
  <c r="B185" i="25"/>
  <c r="A186" i="25"/>
  <c r="B186" i="25"/>
  <c r="A187" i="25"/>
  <c r="B187" i="25"/>
  <c r="A188" i="25"/>
  <c r="B188" i="25"/>
  <c r="A189" i="25"/>
  <c r="B189" i="25"/>
  <c r="A190" i="25"/>
  <c r="B190" i="25"/>
  <c r="A191" i="25"/>
  <c r="B191" i="25"/>
  <c r="A192" i="25"/>
  <c r="B192" i="25"/>
  <c r="A193" i="25"/>
  <c r="B193" i="25"/>
  <c r="A194" i="25"/>
  <c r="B194" i="25"/>
  <c r="A195" i="25"/>
  <c r="B195" i="25"/>
  <c r="A196" i="25"/>
  <c r="B196" i="25"/>
  <c r="A197" i="25"/>
  <c r="B197" i="25"/>
  <c r="A198" i="25"/>
  <c r="B198" i="25"/>
  <c r="A199" i="25"/>
  <c r="B199" i="25"/>
  <c r="A200" i="25"/>
  <c r="B200" i="25"/>
  <c r="A201" i="25"/>
  <c r="B201" i="25"/>
  <c r="A202" i="25"/>
  <c r="B202" i="25"/>
  <c r="A203" i="25"/>
  <c r="B203" i="25"/>
  <c r="A204" i="25"/>
  <c r="B204" i="25"/>
  <c r="A205" i="25"/>
  <c r="B205" i="25"/>
  <c r="A206" i="25"/>
  <c r="B206" i="25"/>
  <c r="A207" i="25"/>
  <c r="B207" i="25"/>
  <c r="A208" i="25"/>
  <c r="B208" i="25"/>
  <c r="A209" i="25"/>
  <c r="B209" i="25"/>
  <c r="A210" i="25"/>
  <c r="B210" i="25"/>
  <c r="A211" i="25"/>
  <c r="B211" i="25"/>
  <c r="A212" i="25"/>
  <c r="B212" i="25"/>
  <c r="A213" i="25"/>
  <c r="B213" i="25"/>
  <c r="A214" i="25"/>
  <c r="B214" i="25"/>
  <c r="A215" i="25"/>
  <c r="B215" i="25"/>
  <c r="A216" i="25"/>
  <c r="B216" i="25"/>
  <c r="A217" i="25"/>
  <c r="B217" i="25"/>
  <c r="A218" i="25"/>
  <c r="B218" i="25"/>
  <c r="A220" i="25"/>
  <c r="B220" i="25"/>
  <c r="A221" i="25"/>
  <c r="B221" i="25"/>
  <c r="A222" i="25"/>
  <c r="B222" i="25"/>
  <c r="A223" i="25"/>
  <c r="B223" i="25"/>
  <c r="A224" i="25"/>
  <c r="B224" i="25"/>
  <c r="A225" i="25"/>
  <c r="B225" i="25"/>
  <c r="A226" i="25"/>
  <c r="B226" i="25"/>
  <c r="A227" i="25"/>
  <c r="B227" i="25"/>
  <c r="A228" i="25"/>
  <c r="B228" i="25"/>
  <c r="A229" i="25"/>
  <c r="B229" i="25"/>
  <c r="A230" i="25"/>
  <c r="B230" i="25"/>
  <c r="A231" i="25"/>
  <c r="B231" i="25"/>
  <c r="A232" i="25"/>
  <c r="B232" i="25"/>
  <c r="A233" i="25"/>
  <c r="B233" i="25"/>
  <c r="A234" i="25"/>
  <c r="B234" i="25"/>
  <c r="A235" i="25"/>
  <c r="B235" i="25"/>
  <c r="A236" i="25"/>
  <c r="B236" i="25"/>
  <c r="A237" i="25"/>
  <c r="B237" i="25"/>
  <c r="A238" i="25"/>
  <c r="B238" i="25"/>
  <c r="A239" i="25"/>
  <c r="B239" i="25"/>
  <c r="A240" i="25"/>
  <c r="B240" i="25"/>
  <c r="A241" i="25"/>
  <c r="B241" i="25"/>
  <c r="A245" i="25"/>
  <c r="B245" i="25"/>
  <c r="A246" i="25"/>
  <c r="B246" i="25"/>
  <c r="A247" i="25"/>
  <c r="B247" i="25"/>
  <c r="A248" i="25"/>
  <c r="B248" i="25"/>
  <c r="A249" i="25"/>
  <c r="B249" i="25"/>
  <c r="A250" i="25"/>
  <c r="B250" i="25"/>
  <c r="A251" i="25"/>
  <c r="B251" i="25"/>
  <c r="A252" i="25"/>
  <c r="B252" i="25"/>
  <c r="A253" i="25"/>
  <c r="B253" i="25"/>
  <c r="A254" i="25"/>
  <c r="B254" i="25"/>
  <c r="A256" i="25"/>
  <c r="B256" i="25"/>
  <c r="A257" i="25"/>
  <c r="B257" i="25"/>
  <c r="A258" i="25"/>
  <c r="B258" i="25"/>
  <c r="A259" i="25"/>
  <c r="B259" i="25"/>
  <c r="A260" i="25"/>
  <c r="B260" i="25"/>
  <c r="A261" i="25"/>
  <c r="B261" i="25"/>
  <c r="A262" i="25"/>
  <c r="B262" i="25"/>
  <c r="A263" i="25"/>
  <c r="B263" i="25"/>
  <c r="A264" i="25"/>
  <c r="B264" i="25"/>
  <c r="A265" i="25"/>
  <c r="B265" i="25"/>
  <c r="A266" i="25"/>
  <c r="B266" i="25"/>
  <c r="A267" i="25"/>
  <c r="B267" i="25"/>
  <c r="A268" i="25"/>
  <c r="B268" i="25"/>
  <c r="A269" i="25"/>
  <c r="B269" i="25"/>
  <c r="A270" i="25"/>
  <c r="B270" i="25"/>
  <c r="A271" i="25"/>
  <c r="B271" i="25"/>
  <c r="A272" i="25"/>
  <c r="B272" i="25"/>
  <c r="A273" i="25"/>
  <c r="B273" i="25"/>
  <c r="A274" i="25"/>
  <c r="B274" i="25"/>
  <c r="A275" i="25"/>
  <c r="B275" i="25"/>
  <c r="A276" i="25"/>
  <c r="B276" i="25"/>
  <c r="A277" i="25"/>
  <c r="B277" i="25"/>
  <c r="A278" i="25"/>
  <c r="B278" i="25"/>
  <c r="A279" i="25"/>
  <c r="B279" i="25"/>
  <c r="A280" i="25"/>
  <c r="B280" i="25"/>
  <c r="A281" i="25"/>
  <c r="B281" i="25"/>
  <c r="A282" i="25"/>
  <c r="B282" i="25"/>
  <c r="A283" i="25"/>
  <c r="B283" i="25"/>
  <c r="A284" i="25"/>
  <c r="B284" i="25"/>
  <c r="A285" i="25"/>
  <c r="B285" i="25"/>
  <c r="A286" i="25"/>
  <c r="B286" i="25"/>
  <c r="A287" i="25"/>
  <c r="B287" i="25"/>
  <c r="A288" i="25"/>
  <c r="B288" i="25"/>
  <c r="A289" i="25"/>
  <c r="B289" i="25"/>
  <c r="A290" i="25"/>
  <c r="B290" i="25"/>
  <c r="A291" i="25"/>
  <c r="B291" i="25"/>
  <c r="A292" i="25"/>
  <c r="B292" i="25"/>
  <c r="A293" i="25"/>
  <c r="B293" i="25"/>
  <c r="A294" i="25"/>
  <c r="B294" i="25"/>
  <c r="A295" i="25"/>
  <c r="B295" i="25"/>
  <c r="A296" i="25"/>
  <c r="B296" i="25"/>
  <c r="A297" i="25"/>
  <c r="B297" i="25"/>
  <c r="A298" i="25"/>
  <c r="B298" i="25"/>
  <c r="A299" i="25"/>
  <c r="B299" i="25"/>
  <c r="A300" i="25"/>
  <c r="B300" i="25"/>
  <c r="A301" i="25"/>
  <c r="B301" i="25"/>
  <c r="A302" i="25"/>
  <c r="B302" i="25"/>
  <c r="A303" i="25"/>
  <c r="B303" i="25"/>
  <c r="A304" i="25"/>
  <c r="B304" i="25"/>
  <c r="A305" i="25"/>
  <c r="B305" i="25"/>
  <c r="A306" i="25"/>
  <c r="B306" i="25"/>
  <c r="A307" i="25"/>
  <c r="B307" i="25"/>
  <c r="A308" i="25"/>
  <c r="B308" i="25"/>
  <c r="A309" i="25"/>
  <c r="B309" i="25"/>
  <c r="A310" i="25"/>
  <c r="B310" i="25"/>
  <c r="A311" i="25"/>
  <c r="B311" i="25"/>
  <c r="A312" i="25"/>
  <c r="B312" i="25"/>
  <c r="A313" i="25"/>
  <c r="B313" i="25"/>
  <c r="A314" i="25"/>
  <c r="B314" i="25"/>
  <c r="F10" i="36" l="1"/>
  <c r="F12" i="36"/>
  <c r="F14" i="36"/>
  <c r="F16" i="36"/>
  <c r="F18" i="36"/>
  <c r="F20" i="36"/>
  <c r="F22" i="36"/>
  <c r="F24" i="36"/>
  <c r="F26" i="36"/>
  <c r="F28" i="36"/>
  <c r="F30" i="36"/>
  <c r="F32" i="36"/>
  <c r="F34" i="36"/>
  <c r="F40" i="36"/>
  <c r="F42" i="36"/>
  <c r="F44" i="36"/>
  <c r="F46" i="36"/>
  <c r="F48" i="36"/>
  <c r="F50" i="36"/>
  <c r="F52" i="36"/>
  <c r="F54" i="36"/>
  <c r="F56" i="36"/>
  <c r="F58" i="36"/>
  <c r="F60" i="36"/>
  <c r="F66" i="36"/>
  <c r="F69" i="36"/>
  <c r="F71" i="36"/>
  <c r="F73" i="36"/>
  <c r="F75" i="36"/>
  <c r="F77" i="36"/>
  <c r="F79" i="36"/>
  <c r="F81" i="36"/>
  <c r="F83" i="36"/>
  <c r="F85" i="36"/>
  <c r="F87" i="36"/>
  <c r="F89" i="36"/>
  <c r="F91" i="36"/>
  <c r="F93" i="36"/>
  <c r="F95" i="36"/>
  <c r="F97" i="36"/>
  <c r="F99" i="36"/>
  <c r="F101" i="36"/>
  <c r="F36" i="36"/>
  <c r="F38" i="36"/>
  <c r="F62" i="36"/>
  <c r="F64" i="36"/>
  <c r="F103" i="36"/>
  <c r="F105" i="36"/>
  <c r="F107" i="36"/>
  <c r="F129" i="36"/>
  <c r="F131" i="36"/>
  <c r="F133" i="36"/>
  <c r="F135" i="36"/>
  <c r="F137" i="36"/>
  <c r="F139" i="36"/>
  <c r="F141" i="36"/>
  <c r="F143" i="36"/>
  <c r="F145" i="36"/>
  <c r="F147" i="36"/>
  <c r="F149" i="36"/>
  <c r="F151" i="36"/>
  <c r="F153" i="36"/>
  <c r="F155" i="36"/>
  <c r="F157" i="36"/>
  <c r="F159" i="36"/>
  <c r="F161" i="36"/>
  <c r="F163" i="36"/>
  <c r="F165" i="36"/>
  <c r="F167" i="36"/>
  <c r="F169" i="36"/>
  <c r="F171" i="36"/>
  <c r="F173" i="36"/>
  <c r="F175" i="36"/>
  <c r="F177" i="36"/>
  <c r="F179" i="36"/>
  <c r="F181" i="36"/>
  <c r="F183" i="36"/>
  <c r="F185" i="36"/>
  <c r="F187" i="36"/>
  <c r="F189" i="36"/>
  <c r="F191" i="36"/>
  <c r="F193" i="36"/>
  <c r="F195" i="36"/>
  <c r="F197" i="36"/>
  <c r="F199" i="36"/>
  <c r="F201" i="36"/>
  <c r="F203" i="36"/>
  <c r="F205" i="36"/>
  <c r="F207" i="36"/>
  <c r="F209" i="36"/>
  <c r="F211" i="36"/>
  <c r="F213" i="36"/>
  <c r="F215" i="36"/>
  <c r="F217" i="36"/>
  <c r="F219" i="36"/>
  <c r="F221" i="36"/>
  <c r="F223" i="36"/>
  <c r="F225" i="36"/>
  <c r="F227" i="36"/>
  <c r="F109" i="36"/>
  <c r="F111" i="36"/>
  <c r="F113" i="36"/>
  <c r="F115" i="36"/>
  <c r="F117" i="36"/>
  <c r="F119" i="36"/>
  <c r="F121" i="36"/>
  <c r="F123" i="36"/>
  <c r="F125" i="36"/>
  <c r="F127" i="36"/>
  <c r="F229" i="36"/>
  <c r="F231" i="36"/>
  <c r="F233" i="36"/>
  <c r="F235" i="36"/>
  <c r="F237" i="36"/>
  <c r="F239" i="36"/>
  <c r="F241" i="36"/>
  <c r="F243" i="36"/>
  <c r="F245" i="36"/>
  <c r="F247" i="36"/>
  <c r="F248" i="36"/>
  <c r="F250" i="36"/>
  <c r="F252" i="36"/>
  <c r="F254" i="36"/>
  <c r="F256" i="36"/>
  <c r="F258" i="36"/>
  <c r="F260" i="36"/>
  <c r="F262" i="36"/>
  <c r="F264" i="36"/>
  <c r="F266" i="36"/>
  <c r="F268" i="36"/>
  <c r="F270" i="36"/>
  <c r="F272" i="36"/>
  <c r="F274" i="36"/>
  <c r="F276" i="36"/>
  <c r="F278" i="36"/>
  <c r="F280" i="36"/>
  <c r="F282" i="36"/>
  <c r="F284" i="36"/>
  <c r="F286" i="36"/>
  <c r="F288" i="36"/>
  <c r="F290" i="36"/>
  <c r="F292" i="36"/>
  <c r="F294" i="36"/>
  <c r="F296" i="36"/>
  <c r="F298" i="36"/>
  <c r="F300" i="36"/>
  <c r="F302" i="36"/>
  <c r="F304" i="36"/>
  <c r="F306" i="36"/>
  <c r="F308" i="36"/>
  <c r="F310" i="36"/>
  <c r="F312" i="36"/>
  <c r="F314" i="36"/>
  <c r="F316" i="36"/>
  <c r="F279" i="36"/>
  <c r="F271" i="36"/>
  <c r="F263" i="36"/>
  <c r="F315" i="36"/>
  <c r="F311" i="36"/>
  <c r="F307" i="36"/>
  <c r="F303" i="36"/>
  <c r="F299" i="36"/>
  <c r="F295" i="36"/>
  <c r="F291" i="36"/>
  <c r="F287" i="36"/>
  <c r="F283" i="36"/>
  <c r="F281" i="36"/>
  <c r="F277" i="36"/>
  <c r="F269" i="36"/>
  <c r="F261" i="36"/>
  <c r="F257" i="36"/>
  <c r="F253" i="36"/>
  <c r="F249" i="36"/>
  <c r="F246" i="36"/>
  <c r="F242" i="36"/>
  <c r="F238" i="36"/>
  <c r="F234" i="36"/>
  <c r="F230" i="36"/>
  <c r="F226" i="36"/>
  <c r="F222" i="36"/>
  <c r="F218" i="36"/>
  <c r="F214" i="36"/>
  <c r="F210" i="36"/>
  <c r="F240" i="36"/>
  <c r="F232" i="36"/>
  <c r="F224" i="36"/>
  <c r="F216" i="36"/>
  <c r="F208" i="36"/>
  <c r="F128" i="36"/>
  <c r="F120" i="36"/>
  <c r="F112" i="36"/>
  <c r="F206" i="36"/>
  <c r="F202" i="36"/>
  <c r="F198" i="36"/>
  <c r="F194" i="36"/>
  <c r="F190" i="36"/>
  <c r="F186" i="36"/>
  <c r="F182" i="36"/>
  <c r="F178" i="36"/>
  <c r="F174" i="36"/>
  <c r="F170" i="36"/>
  <c r="F166" i="36"/>
  <c r="F162" i="36"/>
  <c r="F158" i="36"/>
  <c r="F154" i="36"/>
  <c r="F150" i="36"/>
  <c r="F146" i="36"/>
  <c r="F142" i="36"/>
  <c r="F138" i="36"/>
  <c r="F134" i="36"/>
  <c r="F130" i="36"/>
  <c r="F126" i="36"/>
  <c r="F118" i="36"/>
  <c r="F110" i="36"/>
  <c r="F61" i="36"/>
  <c r="F108" i="36"/>
  <c r="F104" i="36"/>
  <c r="F100" i="36"/>
  <c r="F96" i="36"/>
  <c r="F92" i="36"/>
  <c r="F88" i="36"/>
  <c r="F84" i="36"/>
  <c r="F80" i="36"/>
  <c r="F76" i="36"/>
  <c r="F72" i="36"/>
  <c r="F68" i="36"/>
  <c r="F67" i="36"/>
  <c r="F59" i="36"/>
  <c r="F35" i="36"/>
  <c r="F55" i="36"/>
  <c r="F51" i="36"/>
  <c r="F47" i="36"/>
  <c r="F43" i="36"/>
  <c r="F37" i="36"/>
  <c r="F33" i="36"/>
  <c r="F29" i="36"/>
  <c r="F25" i="36"/>
  <c r="F21" i="36"/>
  <c r="F17" i="36"/>
  <c r="F9" i="36"/>
  <c r="F275" i="36"/>
  <c r="F267" i="36"/>
  <c r="F259" i="36"/>
  <c r="F313" i="36"/>
  <c r="F309" i="36"/>
  <c r="F305" i="36"/>
  <c r="F301" i="36"/>
  <c r="F297" i="36"/>
  <c r="F293" i="36"/>
  <c r="F289" i="36"/>
  <c r="F285" i="36"/>
  <c r="F273" i="36"/>
  <c r="F265" i="36"/>
  <c r="F255" i="36"/>
  <c r="F251" i="36"/>
  <c r="F244" i="36"/>
  <c r="F236" i="36"/>
  <c r="F228" i="36"/>
  <c r="F220" i="36"/>
  <c r="F212" i="36"/>
  <c r="F124" i="36"/>
  <c r="F116" i="36"/>
  <c r="F204" i="36"/>
  <c r="F200" i="36"/>
  <c r="F196" i="36"/>
  <c r="F192" i="36"/>
  <c r="F188" i="36"/>
  <c r="F184" i="36"/>
  <c r="F180" i="36"/>
  <c r="F176" i="36"/>
  <c r="F172" i="36"/>
  <c r="F168" i="36"/>
  <c r="F164" i="36"/>
  <c r="F160" i="36"/>
  <c r="F156" i="36"/>
  <c r="F152" i="36"/>
  <c r="F148" i="36"/>
  <c r="F144" i="36"/>
  <c r="F140" i="36"/>
  <c r="F136" i="36"/>
  <c r="F132" i="36"/>
  <c r="F122" i="36"/>
  <c r="F114" i="36"/>
  <c r="F65" i="36"/>
  <c r="F106" i="36"/>
  <c r="F102" i="36"/>
  <c r="F98" i="36"/>
  <c r="F94" i="36"/>
  <c r="F90" i="36"/>
  <c r="F86" i="36"/>
  <c r="F82" i="36"/>
  <c r="F78" i="36"/>
  <c r="F74" i="36"/>
  <c r="F70" i="36"/>
  <c r="F63" i="36"/>
  <c r="F39" i="36"/>
  <c r="F57" i="36"/>
  <c r="F53" i="36"/>
  <c r="F49" i="36"/>
  <c r="F45" i="36"/>
  <c r="F41" i="36"/>
  <c r="F31" i="36"/>
  <c r="F27" i="36"/>
  <c r="F23" i="36"/>
  <c r="F19" i="36"/>
  <c r="F15" i="36"/>
  <c r="F11" i="36"/>
  <c r="F13" i="36"/>
  <c r="H10" i="36"/>
  <c r="H12" i="36"/>
  <c r="H14" i="36"/>
  <c r="H16" i="36"/>
  <c r="H18" i="36"/>
  <c r="H36" i="36"/>
  <c r="H38" i="36"/>
  <c r="H62" i="36"/>
  <c r="H64" i="36"/>
  <c r="H66" i="36"/>
  <c r="H67" i="36"/>
  <c r="H69" i="36"/>
  <c r="H71" i="36"/>
  <c r="H73" i="36"/>
  <c r="H75" i="36"/>
  <c r="H77" i="36"/>
  <c r="H79" i="36"/>
  <c r="H81" i="36"/>
  <c r="H83" i="36"/>
  <c r="H85" i="36"/>
  <c r="H87" i="36"/>
  <c r="H89" i="36"/>
  <c r="H91" i="36"/>
  <c r="H93" i="36"/>
  <c r="H95" i="36"/>
  <c r="H97" i="36"/>
  <c r="H99" i="36"/>
  <c r="H101" i="36"/>
  <c r="H20" i="36"/>
  <c r="H22" i="36"/>
  <c r="H24" i="36"/>
  <c r="H26" i="36"/>
  <c r="H28" i="36"/>
  <c r="H30" i="36"/>
  <c r="H32" i="36"/>
  <c r="H34" i="36"/>
  <c r="H40" i="36"/>
  <c r="H42" i="36"/>
  <c r="H44" i="36"/>
  <c r="H46" i="36"/>
  <c r="H48" i="36"/>
  <c r="H50" i="36"/>
  <c r="H52" i="36"/>
  <c r="H54" i="36"/>
  <c r="H56" i="36"/>
  <c r="H58" i="36"/>
  <c r="H60" i="36"/>
  <c r="H129" i="36"/>
  <c r="H131" i="36"/>
  <c r="H133" i="36"/>
  <c r="H135" i="36"/>
  <c r="H137" i="36"/>
  <c r="H139" i="36"/>
  <c r="H141" i="36"/>
  <c r="H143" i="36"/>
  <c r="H145" i="36"/>
  <c r="H147" i="36"/>
  <c r="H149" i="36"/>
  <c r="H151" i="36"/>
  <c r="H153" i="36"/>
  <c r="H155" i="36"/>
  <c r="H157" i="36"/>
  <c r="H159" i="36"/>
  <c r="H161" i="36"/>
  <c r="H163" i="36"/>
  <c r="H165" i="36"/>
  <c r="H167" i="36"/>
  <c r="H169" i="36"/>
  <c r="H171" i="36"/>
  <c r="H173" i="36"/>
  <c r="H175" i="36"/>
  <c r="H177" i="36"/>
  <c r="H179" i="36"/>
  <c r="H181" i="36"/>
  <c r="H183" i="36"/>
  <c r="H185" i="36"/>
  <c r="H187" i="36"/>
  <c r="H189" i="36"/>
  <c r="H191" i="36"/>
  <c r="H193" i="36"/>
  <c r="H195" i="36"/>
  <c r="H197" i="36"/>
  <c r="H199" i="36"/>
  <c r="H201" i="36"/>
  <c r="H203" i="36"/>
  <c r="H205" i="36"/>
  <c r="H207" i="36"/>
  <c r="H209" i="36"/>
  <c r="H211" i="36"/>
  <c r="H213" i="36"/>
  <c r="H215" i="36"/>
  <c r="H217" i="36"/>
  <c r="H219" i="36"/>
  <c r="H221" i="36"/>
  <c r="H223" i="36"/>
  <c r="H225" i="36"/>
  <c r="H227" i="36"/>
  <c r="H103" i="36"/>
  <c r="H105" i="36"/>
  <c r="H107" i="36"/>
  <c r="H109" i="36"/>
  <c r="H111" i="36"/>
  <c r="H113" i="36"/>
  <c r="H115" i="36"/>
  <c r="H117" i="36"/>
  <c r="H119" i="36"/>
  <c r="H121" i="36"/>
  <c r="H123" i="36"/>
  <c r="H125" i="36"/>
  <c r="H127" i="36"/>
  <c r="H233" i="36"/>
  <c r="H235" i="36"/>
  <c r="H237" i="36"/>
  <c r="H239" i="36"/>
  <c r="H241" i="36"/>
  <c r="H243" i="36"/>
  <c r="H245" i="36"/>
  <c r="H247" i="36"/>
  <c r="H250" i="36"/>
  <c r="H252" i="36"/>
  <c r="H254" i="36"/>
  <c r="H256" i="36"/>
  <c r="H258" i="36"/>
  <c r="H260" i="36"/>
  <c r="H262" i="36"/>
  <c r="H264" i="36"/>
  <c r="H266" i="36"/>
  <c r="H268" i="36"/>
  <c r="H270" i="36"/>
  <c r="H272" i="36"/>
  <c r="H274" i="36"/>
  <c r="H276" i="36"/>
  <c r="H278" i="36"/>
  <c r="H280" i="36"/>
  <c r="H229" i="36"/>
  <c r="H231" i="36"/>
  <c r="H248" i="36"/>
  <c r="H282" i="36"/>
  <c r="H284" i="36"/>
  <c r="H286" i="36"/>
  <c r="H288" i="36"/>
  <c r="H290" i="36"/>
  <c r="H292" i="36"/>
  <c r="H294" i="36"/>
  <c r="H296" i="36"/>
  <c r="H298" i="36"/>
  <c r="H300" i="36"/>
  <c r="H302" i="36"/>
  <c r="H304" i="36"/>
  <c r="H306" i="36"/>
  <c r="H308" i="36"/>
  <c r="H310" i="36"/>
  <c r="H312" i="36"/>
  <c r="H314" i="36"/>
  <c r="H316" i="36"/>
  <c r="H275" i="36"/>
  <c r="H267" i="36"/>
  <c r="H259" i="36"/>
  <c r="H313" i="36"/>
  <c r="H309" i="36"/>
  <c r="H305" i="36"/>
  <c r="H301" i="36"/>
  <c r="H297" i="36"/>
  <c r="H293" i="36"/>
  <c r="H289" i="36"/>
  <c r="H285" i="36"/>
  <c r="H273" i="36"/>
  <c r="H265" i="36"/>
  <c r="H255" i="36"/>
  <c r="H251" i="36"/>
  <c r="H244" i="36"/>
  <c r="H236" i="36"/>
  <c r="H228" i="36"/>
  <c r="H220" i="36"/>
  <c r="H212" i="36"/>
  <c r="H124" i="36"/>
  <c r="H116" i="36"/>
  <c r="H204" i="36"/>
  <c r="H200" i="36"/>
  <c r="H196" i="36"/>
  <c r="H192" i="36"/>
  <c r="H188" i="36"/>
  <c r="H184" i="36"/>
  <c r="H180" i="36"/>
  <c r="H176" i="36"/>
  <c r="H172" i="36"/>
  <c r="H168" i="36"/>
  <c r="H164" i="36"/>
  <c r="H160" i="36"/>
  <c r="H156" i="36"/>
  <c r="H152" i="36"/>
  <c r="H148" i="36"/>
  <c r="H144" i="36"/>
  <c r="H140" i="36"/>
  <c r="H136" i="36"/>
  <c r="H132" i="36"/>
  <c r="H128" i="36"/>
  <c r="H122" i="36"/>
  <c r="H114" i="36"/>
  <c r="H65" i="36"/>
  <c r="H106" i="36"/>
  <c r="H102" i="36"/>
  <c r="H98" i="36"/>
  <c r="H94" i="36"/>
  <c r="H90" i="36"/>
  <c r="H86" i="36"/>
  <c r="H82" i="36"/>
  <c r="H78" i="36"/>
  <c r="H74" i="36"/>
  <c r="H70" i="36"/>
  <c r="H63" i="36"/>
  <c r="H39" i="36"/>
  <c r="H57" i="36"/>
  <c r="H53" i="36"/>
  <c r="H49" i="36"/>
  <c r="H45" i="36"/>
  <c r="H41" i="36"/>
  <c r="H31" i="36"/>
  <c r="H27" i="36"/>
  <c r="H23" i="36"/>
  <c r="H19" i="36"/>
  <c r="H11" i="36"/>
  <c r="H279" i="36"/>
  <c r="H271" i="36"/>
  <c r="H263" i="36"/>
  <c r="H315" i="36"/>
  <c r="H311" i="36"/>
  <c r="H307" i="36"/>
  <c r="H303" i="36"/>
  <c r="H299" i="36"/>
  <c r="H295" i="36"/>
  <c r="H291" i="36"/>
  <c r="H287" i="36"/>
  <c r="H283" i="36"/>
  <c r="H281" i="36"/>
  <c r="H277" i="36"/>
  <c r="H269" i="36"/>
  <c r="H261" i="36"/>
  <c r="H257" i="36"/>
  <c r="H253" i="36"/>
  <c r="H249" i="36"/>
  <c r="H246" i="36"/>
  <c r="H242" i="36"/>
  <c r="H238" i="36"/>
  <c r="H234" i="36"/>
  <c r="H230" i="36"/>
  <c r="H226" i="36"/>
  <c r="H222" i="36"/>
  <c r="H218" i="36"/>
  <c r="H214" i="36"/>
  <c r="H210" i="36"/>
  <c r="H240" i="36"/>
  <c r="H232" i="36"/>
  <c r="H224" i="36"/>
  <c r="H216" i="36"/>
  <c r="H208" i="36"/>
  <c r="H120" i="36"/>
  <c r="H112" i="36"/>
  <c r="H206" i="36"/>
  <c r="H202" i="36"/>
  <c r="H198" i="36"/>
  <c r="H194" i="36"/>
  <c r="H190" i="36"/>
  <c r="H186" i="36"/>
  <c r="H182" i="36"/>
  <c r="H178" i="36"/>
  <c r="H174" i="36"/>
  <c r="H170" i="36"/>
  <c r="H166" i="36"/>
  <c r="H162" i="36"/>
  <c r="H158" i="36"/>
  <c r="H154" i="36"/>
  <c r="H150" i="36"/>
  <c r="H146" i="36"/>
  <c r="H142" i="36"/>
  <c r="H138" i="36"/>
  <c r="H134" i="36"/>
  <c r="H130" i="36"/>
  <c r="H126" i="36"/>
  <c r="H118" i="36"/>
  <c r="H110" i="36"/>
  <c r="H61" i="36"/>
  <c r="H108" i="36"/>
  <c r="H104" i="36"/>
  <c r="H100" i="36"/>
  <c r="H96" i="36"/>
  <c r="H92" i="36"/>
  <c r="H88" i="36"/>
  <c r="H84" i="36"/>
  <c r="H80" i="36"/>
  <c r="H76" i="36"/>
  <c r="H72" i="36"/>
  <c r="H68" i="36"/>
  <c r="H59" i="36"/>
  <c r="H35" i="36"/>
  <c r="H55" i="36"/>
  <c r="H51" i="36"/>
  <c r="H47" i="36"/>
  <c r="H43" i="36"/>
  <c r="H37" i="36"/>
  <c r="H33" i="36"/>
  <c r="H29" i="36"/>
  <c r="H25" i="36"/>
  <c r="H21" i="36"/>
  <c r="H17" i="36"/>
  <c r="H13" i="36"/>
  <c r="H9" i="36"/>
  <c r="H15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6" i="36"/>
  <c r="G37" i="36"/>
  <c r="G38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2" i="36"/>
  <c r="G63" i="36"/>
  <c r="G64" i="36"/>
  <c r="G35" i="36"/>
  <c r="G61" i="36"/>
  <c r="G65" i="36"/>
  <c r="G39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3" i="36"/>
  <c r="G114" i="36"/>
  <c r="G115" i="36"/>
  <c r="G117" i="36"/>
  <c r="G118" i="36"/>
  <c r="G119" i="36"/>
  <c r="G121" i="36"/>
  <c r="G122" i="36"/>
  <c r="G123" i="36"/>
  <c r="G125" i="36"/>
  <c r="G126" i="36"/>
  <c r="G127" i="36"/>
  <c r="G208" i="36"/>
  <c r="G212" i="36"/>
  <c r="G216" i="36"/>
  <c r="G220" i="36"/>
  <c r="G224" i="36"/>
  <c r="G228" i="36"/>
  <c r="G112" i="36"/>
  <c r="G116" i="36"/>
  <c r="G120" i="36"/>
  <c r="G124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9" i="36"/>
  <c r="G210" i="36"/>
  <c r="G211" i="36"/>
  <c r="G213" i="36"/>
  <c r="G214" i="36"/>
  <c r="G215" i="36"/>
  <c r="G217" i="36"/>
  <c r="G218" i="36"/>
  <c r="G219" i="36"/>
  <c r="G221" i="36"/>
  <c r="G222" i="36"/>
  <c r="G223" i="36"/>
  <c r="G225" i="36"/>
  <c r="G226" i="36"/>
  <c r="G227" i="36"/>
  <c r="G229" i="36"/>
  <c r="G230" i="36"/>
  <c r="G231" i="36"/>
  <c r="G232" i="36"/>
  <c r="G236" i="36"/>
  <c r="G240" i="36"/>
  <c r="G244" i="36"/>
  <c r="G259" i="36"/>
  <c r="G263" i="36"/>
  <c r="G267" i="36"/>
  <c r="G271" i="36"/>
  <c r="G275" i="36"/>
  <c r="G279" i="36"/>
  <c r="G282" i="36"/>
  <c r="G283" i="36"/>
  <c r="G284" i="36"/>
  <c r="G285" i="36"/>
  <c r="G286" i="36"/>
  <c r="G287" i="36"/>
  <c r="G288" i="36"/>
  <c r="G289" i="36"/>
  <c r="G290" i="36"/>
  <c r="G291" i="36"/>
  <c r="G292" i="36"/>
  <c r="G293" i="36"/>
  <c r="G294" i="36"/>
  <c r="G295" i="36"/>
  <c r="G296" i="36"/>
  <c r="G297" i="36"/>
  <c r="G298" i="36"/>
  <c r="G299" i="36"/>
  <c r="G300" i="36"/>
  <c r="G301" i="36"/>
  <c r="G302" i="36"/>
  <c r="G303" i="36"/>
  <c r="G304" i="36"/>
  <c r="G305" i="36"/>
  <c r="G306" i="36"/>
  <c r="G307" i="36"/>
  <c r="G308" i="36"/>
  <c r="G309" i="36"/>
  <c r="G310" i="36"/>
  <c r="G311" i="36"/>
  <c r="G312" i="36"/>
  <c r="G313" i="36"/>
  <c r="G314" i="36"/>
  <c r="G315" i="36"/>
  <c r="G316" i="36"/>
  <c r="G233" i="36"/>
  <c r="G234" i="36"/>
  <c r="G235" i="36"/>
  <c r="G237" i="36"/>
  <c r="G238" i="36"/>
  <c r="G239" i="36"/>
  <c r="G241" i="36"/>
  <c r="G242" i="36"/>
  <c r="G243" i="36"/>
  <c r="G245" i="36"/>
  <c r="G246" i="36"/>
  <c r="G247" i="36"/>
  <c r="G249" i="36"/>
  <c r="G250" i="36"/>
  <c r="G251" i="36"/>
  <c r="G252" i="36"/>
  <c r="G253" i="36"/>
  <c r="G254" i="36"/>
  <c r="G255" i="36"/>
  <c r="G256" i="36"/>
  <c r="G257" i="36"/>
  <c r="G258" i="36"/>
  <c r="G260" i="36"/>
  <c r="G261" i="36"/>
  <c r="G262" i="36"/>
  <c r="G264" i="36"/>
  <c r="G265" i="36"/>
  <c r="G266" i="36"/>
  <c r="G268" i="36"/>
  <c r="G269" i="36"/>
  <c r="G270" i="36"/>
  <c r="G272" i="36"/>
  <c r="G273" i="36"/>
  <c r="G274" i="36"/>
  <c r="G276" i="36"/>
  <c r="G277" i="36"/>
  <c r="G278" i="36"/>
  <c r="G280" i="36"/>
  <c r="G281" i="36"/>
  <c r="G248" i="36"/>
  <c r="H12" i="32"/>
  <c r="D18" i="9" s="1"/>
  <c r="H24" i="32"/>
  <c r="D30" i="9" s="1"/>
  <c r="H26" i="32"/>
  <c r="D32" i="9" s="1"/>
  <c r="H28" i="32"/>
  <c r="D34" i="9" s="1"/>
  <c r="H30" i="32"/>
  <c r="D36" i="9" s="1"/>
  <c r="H32" i="32"/>
  <c r="D38" i="9" s="1"/>
  <c r="H34" i="32"/>
  <c r="D40" i="9" s="1"/>
  <c r="H36" i="32"/>
  <c r="D42" i="9" s="1"/>
  <c r="H38" i="32"/>
  <c r="D44" i="9" s="1"/>
  <c r="H40" i="32"/>
  <c r="D46" i="9" s="1"/>
  <c r="H42" i="32"/>
  <c r="D48" i="9" s="1"/>
  <c r="H44" i="32"/>
  <c r="D50" i="9" s="1"/>
  <c r="H46" i="32"/>
  <c r="D52" i="9" s="1"/>
  <c r="H48" i="32"/>
  <c r="D54" i="9" s="1"/>
  <c r="H50" i="32"/>
  <c r="D56" i="9" s="1"/>
  <c r="H52" i="32"/>
  <c r="D58" i="9" s="1"/>
  <c r="H54" i="32"/>
  <c r="D60" i="9" s="1"/>
  <c r="H65" i="32"/>
  <c r="D71" i="9" s="1"/>
  <c r="H67" i="32"/>
  <c r="D73" i="9" s="1"/>
  <c r="H69" i="32"/>
  <c r="D75" i="9" s="1"/>
  <c r="H71" i="32"/>
  <c r="D77" i="9" s="1"/>
  <c r="H73" i="32"/>
  <c r="D79" i="9" s="1"/>
  <c r="H75" i="32"/>
  <c r="D81" i="9" s="1"/>
  <c r="H77" i="32"/>
  <c r="D83" i="9" s="1"/>
  <c r="H79" i="32"/>
  <c r="D85" i="9" s="1"/>
  <c r="H7" i="32"/>
  <c r="D13" i="9" s="1"/>
  <c r="H9" i="32"/>
  <c r="D15" i="9" s="1"/>
  <c r="H11" i="32"/>
  <c r="D17" i="9" s="1"/>
  <c r="H15" i="32"/>
  <c r="D21" i="9" s="1"/>
  <c r="H17" i="32"/>
  <c r="D23" i="9" s="1"/>
  <c r="H19" i="32"/>
  <c r="D25" i="9" s="1"/>
  <c r="H21" i="32"/>
  <c r="D27" i="9" s="1"/>
  <c r="H57" i="32"/>
  <c r="D63" i="9" s="1"/>
  <c r="H60" i="32"/>
  <c r="D66" i="9" s="1"/>
  <c r="H62" i="32"/>
  <c r="D68" i="9" s="1"/>
  <c r="H64" i="32"/>
  <c r="D70" i="9" s="1"/>
  <c r="H81" i="32"/>
  <c r="D87" i="9" s="1"/>
  <c r="H83" i="32"/>
  <c r="D89" i="9" s="1"/>
  <c r="H85" i="32"/>
  <c r="D91" i="9" s="1"/>
  <c r="H87" i="32"/>
  <c r="D93" i="9" s="1"/>
  <c r="H89" i="32"/>
  <c r="D95" i="9" s="1"/>
  <c r="H91" i="32"/>
  <c r="D97" i="9" s="1"/>
  <c r="H93" i="32"/>
  <c r="D99" i="9" s="1"/>
  <c r="H95" i="32"/>
  <c r="D101" i="9" s="1"/>
  <c r="H310" i="32"/>
  <c r="D316" i="9" s="1"/>
  <c r="H302" i="32"/>
  <c r="D308" i="9" s="1"/>
  <c r="H294" i="32"/>
  <c r="D300" i="9" s="1"/>
  <c r="H286" i="32"/>
  <c r="D292" i="9" s="1"/>
  <c r="H278" i="32"/>
  <c r="D284" i="9" s="1"/>
  <c r="H270" i="32"/>
  <c r="D276" i="9" s="1"/>
  <c r="H262" i="32"/>
  <c r="D268" i="9" s="1"/>
  <c r="H254" i="32"/>
  <c r="D260" i="9" s="1"/>
  <c r="H246" i="32"/>
  <c r="D252" i="9" s="1"/>
  <c r="H238" i="32"/>
  <c r="D244" i="9" s="1"/>
  <c r="H230" i="32"/>
  <c r="D236" i="9" s="1"/>
  <c r="H222" i="32"/>
  <c r="D228" i="9" s="1"/>
  <c r="H214" i="32"/>
  <c r="D220" i="9" s="1"/>
  <c r="H206" i="32"/>
  <c r="D212" i="9" s="1"/>
  <c r="H198" i="32"/>
  <c r="D204" i="9" s="1"/>
  <c r="H190" i="32"/>
  <c r="D196" i="9" s="1"/>
  <c r="H182" i="32"/>
  <c r="D188" i="9" s="1"/>
  <c r="H174" i="32"/>
  <c r="D180" i="9" s="1"/>
  <c r="H166" i="32"/>
  <c r="D172" i="9" s="1"/>
  <c r="H158" i="32"/>
  <c r="D164" i="9" s="1"/>
  <c r="H150" i="32"/>
  <c r="D156" i="9" s="1"/>
  <c r="H141" i="32"/>
  <c r="D147" i="9" s="1"/>
  <c r="H133" i="32"/>
  <c r="D139" i="9" s="1"/>
  <c r="H124" i="32"/>
  <c r="D130" i="9" s="1"/>
  <c r="H116" i="32"/>
  <c r="D122" i="9" s="1"/>
  <c r="H108" i="32"/>
  <c r="D114" i="9" s="1"/>
  <c r="H100" i="32"/>
  <c r="D106" i="9" s="1"/>
  <c r="H311" i="32"/>
  <c r="D317" i="9" s="1"/>
  <c r="H303" i="32"/>
  <c r="D309" i="9" s="1"/>
  <c r="H295" i="32"/>
  <c r="D301" i="9" s="1"/>
  <c r="H287" i="32"/>
  <c r="D293" i="9" s="1"/>
  <c r="H279" i="32"/>
  <c r="D285" i="9" s="1"/>
  <c r="H271" i="32"/>
  <c r="D277" i="9" s="1"/>
  <c r="H263" i="32"/>
  <c r="D269" i="9" s="1"/>
  <c r="H255" i="32"/>
  <c r="D261" i="9" s="1"/>
  <c r="H247" i="32"/>
  <c r="D253" i="9" s="1"/>
  <c r="H239" i="32"/>
  <c r="D245" i="9" s="1"/>
  <c r="H231" i="32"/>
  <c r="D237" i="9" s="1"/>
  <c r="H223" i="32"/>
  <c r="D229" i="9" s="1"/>
  <c r="H215" i="32"/>
  <c r="D221" i="9" s="1"/>
  <c r="H207" i="32"/>
  <c r="D213" i="9" s="1"/>
  <c r="H199" i="32"/>
  <c r="D205" i="9" s="1"/>
  <c r="H191" i="32"/>
  <c r="D197" i="9" s="1"/>
  <c r="H183" i="32"/>
  <c r="D189" i="9" s="1"/>
  <c r="H175" i="32"/>
  <c r="D181" i="9" s="1"/>
  <c r="H167" i="32"/>
  <c r="D173" i="9" s="1"/>
  <c r="H159" i="32"/>
  <c r="D165" i="9" s="1"/>
  <c r="H151" i="32"/>
  <c r="D157" i="9" s="1"/>
  <c r="H142" i="32"/>
  <c r="D148" i="9" s="1"/>
  <c r="H134" i="32"/>
  <c r="D140" i="9" s="1"/>
  <c r="H125" i="32"/>
  <c r="D131" i="9" s="1"/>
  <c r="H117" i="32"/>
  <c r="D123" i="9" s="1"/>
  <c r="H109" i="32"/>
  <c r="D115" i="9" s="1"/>
  <c r="H101" i="32"/>
  <c r="D107" i="9" s="1"/>
  <c r="H149" i="32"/>
  <c r="D155" i="9" s="1"/>
  <c r="H308" i="32"/>
  <c r="D314" i="9" s="1"/>
  <c r="H300" i="32"/>
  <c r="D306" i="9" s="1"/>
  <c r="H292" i="32"/>
  <c r="D298" i="9" s="1"/>
  <c r="H284" i="32"/>
  <c r="D290" i="9" s="1"/>
  <c r="H276" i="32"/>
  <c r="D282" i="9" s="1"/>
  <c r="H268" i="32"/>
  <c r="D274" i="9" s="1"/>
  <c r="H260" i="32"/>
  <c r="D266" i="9" s="1"/>
  <c r="H252" i="32"/>
  <c r="D258" i="9" s="1"/>
  <c r="H244" i="32"/>
  <c r="D250" i="9" s="1"/>
  <c r="H236" i="32"/>
  <c r="D242" i="9" s="1"/>
  <c r="H228" i="32"/>
  <c r="D234" i="9" s="1"/>
  <c r="H220" i="32"/>
  <c r="D226" i="9" s="1"/>
  <c r="H212" i="32"/>
  <c r="D218" i="9" s="1"/>
  <c r="H204" i="32"/>
  <c r="D210" i="9" s="1"/>
  <c r="H196" i="32"/>
  <c r="D202" i="9" s="1"/>
  <c r="H188" i="32"/>
  <c r="D194" i="9" s="1"/>
  <c r="H180" i="32"/>
  <c r="D186" i="9" s="1"/>
  <c r="H172" i="32"/>
  <c r="D178" i="9" s="1"/>
  <c r="H164" i="32"/>
  <c r="D170" i="9" s="1"/>
  <c r="H156" i="32"/>
  <c r="D162" i="9" s="1"/>
  <c r="H147" i="32"/>
  <c r="D153" i="9" s="1"/>
  <c r="H139" i="32"/>
  <c r="D145" i="9" s="1"/>
  <c r="H131" i="32"/>
  <c r="D137" i="9" s="1"/>
  <c r="H122" i="32"/>
  <c r="D128" i="9" s="1"/>
  <c r="H114" i="32"/>
  <c r="D120" i="9" s="1"/>
  <c r="H106" i="32"/>
  <c r="D112" i="9" s="1"/>
  <c r="H98" i="32"/>
  <c r="D104" i="9" s="1"/>
  <c r="H309" i="32"/>
  <c r="D315" i="9" s="1"/>
  <c r="H301" i="32"/>
  <c r="D307" i="9" s="1"/>
  <c r="H293" i="32"/>
  <c r="D299" i="9" s="1"/>
  <c r="H285" i="32"/>
  <c r="D291" i="9" s="1"/>
  <c r="H277" i="32"/>
  <c r="D283" i="9" s="1"/>
  <c r="H269" i="32"/>
  <c r="D275" i="9" s="1"/>
  <c r="H261" i="32"/>
  <c r="D267" i="9" s="1"/>
  <c r="H253" i="32"/>
  <c r="D259" i="9" s="1"/>
  <c r="H245" i="32"/>
  <c r="D251" i="9" s="1"/>
  <c r="H237" i="32"/>
  <c r="D243" i="9" s="1"/>
  <c r="H229" i="32"/>
  <c r="D235" i="9" s="1"/>
  <c r="H221" i="32"/>
  <c r="D227" i="9" s="1"/>
  <c r="H213" i="32"/>
  <c r="D219" i="9" s="1"/>
  <c r="H205" i="32"/>
  <c r="D211" i="9" s="1"/>
  <c r="H197" i="32"/>
  <c r="D203" i="9" s="1"/>
  <c r="H189" i="32"/>
  <c r="D195" i="9" s="1"/>
  <c r="H181" i="32"/>
  <c r="D187" i="9" s="1"/>
  <c r="H173" i="32"/>
  <c r="D179" i="9" s="1"/>
  <c r="H165" i="32"/>
  <c r="D171" i="9" s="1"/>
  <c r="H157" i="32"/>
  <c r="D163" i="9" s="1"/>
  <c r="H148" i="32"/>
  <c r="D154" i="9" s="1"/>
  <c r="H140" i="32"/>
  <c r="D146" i="9" s="1"/>
  <c r="H132" i="32"/>
  <c r="D138" i="9" s="1"/>
  <c r="H123" i="32"/>
  <c r="D129" i="9" s="1"/>
  <c r="H115" i="32"/>
  <c r="D121" i="9" s="1"/>
  <c r="H107" i="32"/>
  <c r="D113" i="9" s="1"/>
  <c r="H96" i="32"/>
  <c r="D102" i="9" s="1"/>
  <c r="H23" i="32"/>
  <c r="D29" i="9" s="1"/>
  <c r="H25" i="32"/>
  <c r="D31" i="9" s="1"/>
  <c r="H27" i="32"/>
  <c r="D33" i="9" s="1"/>
  <c r="H29" i="32"/>
  <c r="D35" i="9" s="1"/>
  <c r="H31" i="32"/>
  <c r="D37" i="9" s="1"/>
  <c r="H33" i="32"/>
  <c r="D39" i="9" s="1"/>
  <c r="H35" i="32"/>
  <c r="D41" i="9" s="1"/>
  <c r="H37" i="32"/>
  <c r="D43" i="9" s="1"/>
  <c r="H39" i="32"/>
  <c r="D45" i="9" s="1"/>
  <c r="H41" i="32"/>
  <c r="D47" i="9" s="1"/>
  <c r="H43" i="32"/>
  <c r="D49" i="9" s="1"/>
  <c r="H45" i="32"/>
  <c r="D51" i="9" s="1"/>
  <c r="H47" i="32"/>
  <c r="D53" i="9" s="1"/>
  <c r="H49" i="32"/>
  <c r="D55" i="9" s="1"/>
  <c r="H51" i="32"/>
  <c r="D57" i="9" s="1"/>
  <c r="H53" i="32"/>
  <c r="D59" i="9" s="1"/>
  <c r="H55" i="32"/>
  <c r="D61" i="9" s="1"/>
  <c r="H66" i="32"/>
  <c r="D72" i="9" s="1"/>
  <c r="H68" i="32"/>
  <c r="D74" i="9" s="1"/>
  <c r="H70" i="32"/>
  <c r="D76" i="9" s="1"/>
  <c r="H72" i="32"/>
  <c r="D78" i="9" s="1"/>
  <c r="H74" i="32"/>
  <c r="D80" i="9" s="1"/>
  <c r="H76" i="32"/>
  <c r="D82" i="9" s="1"/>
  <c r="H78" i="32"/>
  <c r="D84" i="9" s="1"/>
  <c r="H6" i="32"/>
  <c r="D12" i="9" s="1"/>
  <c r="H8" i="32"/>
  <c r="D14" i="9" s="1"/>
  <c r="H10" i="32"/>
  <c r="D16" i="9" s="1"/>
  <c r="H14" i="32"/>
  <c r="D20" i="9" s="1"/>
  <c r="H16" i="32"/>
  <c r="D22" i="9" s="1"/>
  <c r="H18" i="32"/>
  <c r="D24" i="9" s="1"/>
  <c r="H20" i="32"/>
  <c r="D26" i="9" s="1"/>
  <c r="H56" i="32"/>
  <c r="D62" i="9" s="1"/>
  <c r="H58" i="32"/>
  <c r="D64" i="9" s="1"/>
  <c r="H61" i="32"/>
  <c r="D67" i="9" s="1"/>
  <c r="H63" i="32"/>
  <c r="D69" i="9" s="1"/>
  <c r="H80" i="32"/>
  <c r="D86" i="9" s="1"/>
  <c r="H82" i="32"/>
  <c r="D88" i="9" s="1"/>
  <c r="H84" i="32"/>
  <c r="D90" i="9" s="1"/>
  <c r="H86" i="32"/>
  <c r="D92" i="9" s="1"/>
  <c r="H88" i="32"/>
  <c r="D94" i="9" s="1"/>
  <c r="H90" i="32"/>
  <c r="D96" i="9" s="1"/>
  <c r="H92" i="32"/>
  <c r="D98" i="9" s="1"/>
  <c r="H94" i="32"/>
  <c r="D100" i="9" s="1"/>
  <c r="H13" i="32"/>
  <c r="D19" i="9" s="1"/>
  <c r="H306" i="32"/>
  <c r="D312" i="9" s="1"/>
  <c r="H298" i="32"/>
  <c r="D304" i="9" s="1"/>
  <c r="H290" i="32"/>
  <c r="D296" i="9" s="1"/>
  <c r="H282" i="32"/>
  <c r="D288" i="9" s="1"/>
  <c r="H274" i="32"/>
  <c r="D280" i="9" s="1"/>
  <c r="H266" i="32"/>
  <c r="D272" i="9" s="1"/>
  <c r="H258" i="32"/>
  <c r="D264" i="9" s="1"/>
  <c r="H250" i="32"/>
  <c r="D256" i="9" s="1"/>
  <c r="H242" i="32"/>
  <c r="D248" i="9" s="1"/>
  <c r="H234" i="32"/>
  <c r="D240" i="9" s="1"/>
  <c r="H226" i="32"/>
  <c r="D232" i="9" s="1"/>
  <c r="H218" i="32"/>
  <c r="D224" i="9" s="1"/>
  <c r="H210" i="32"/>
  <c r="D216" i="9" s="1"/>
  <c r="H202" i="32"/>
  <c r="D208" i="9" s="1"/>
  <c r="H194" i="32"/>
  <c r="D200" i="9" s="1"/>
  <c r="H186" i="32"/>
  <c r="D192" i="9" s="1"/>
  <c r="H178" i="32"/>
  <c r="D184" i="9" s="1"/>
  <c r="H170" i="32"/>
  <c r="D176" i="9" s="1"/>
  <c r="H162" i="32"/>
  <c r="D168" i="9" s="1"/>
  <c r="H154" i="32"/>
  <c r="D160" i="9" s="1"/>
  <c r="H145" i="32"/>
  <c r="D151" i="9" s="1"/>
  <c r="H137" i="32"/>
  <c r="D143" i="9" s="1"/>
  <c r="H128" i="32"/>
  <c r="D134" i="9" s="1"/>
  <c r="H120" i="32"/>
  <c r="D126" i="9" s="1"/>
  <c r="H112" i="32"/>
  <c r="D118" i="9" s="1"/>
  <c r="H104" i="32"/>
  <c r="D110" i="9" s="1"/>
  <c r="H22" i="32"/>
  <c r="D28" i="9" s="1"/>
  <c r="H307" i="32"/>
  <c r="D313" i="9" s="1"/>
  <c r="H299" i="32"/>
  <c r="D305" i="9" s="1"/>
  <c r="H291" i="32"/>
  <c r="D297" i="9" s="1"/>
  <c r="H283" i="32"/>
  <c r="D289" i="9" s="1"/>
  <c r="H275" i="32"/>
  <c r="D281" i="9" s="1"/>
  <c r="H267" i="32"/>
  <c r="D273" i="9" s="1"/>
  <c r="H259" i="32"/>
  <c r="D265" i="9" s="1"/>
  <c r="H251" i="32"/>
  <c r="D257" i="9" s="1"/>
  <c r="H243" i="32"/>
  <c r="D249" i="9" s="1"/>
  <c r="H235" i="32"/>
  <c r="D241" i="9" s="1"/>
  <c r="H227" i="32"/>
  <c r="D233" i="9" s="1"/>
  <c r="H219" i="32"/>
  <c r="D225" i="9" s="1"/>
  <c r="H211" i="32"/>
  <c r="D217" i="9" s="1"/>
  <c r="H203" i="32"/>
  <c r="D209" i="9" s="1"/>
  <c r="H195" i="32"/>
  <c r="D201" i="9" s="1"/>
  <c r="H187" i="32"/>
  <c r="D193" i="9" s="1"/>
  <c r="H179" i="32"/>
  <c r="D185" i="9" s="1"/>
  <c r="H171" i="32"/>
  <c r="D177" i="9" s="1"/>
  <c r="H163" i="32"/>
  <c r="D169" i="9" s="1"/>
  <c r="H155" i="32"/>
  <c r="D161" i="9" s="1"/>
  <c r="H146" i="32"/>
  <c r="D152" i="9" s="1"/>
  <c r="H138" i="32"/>
  <c r="D144" i="9" s="1"/>
  <c r="H129" i="32"/>
  <c r="D135" i="9" s="1"/>
  <c r="H121" i="32"/>
  <c r="D127" i="9" s="1"/>
  <c r="H113" i="32"/>
  <c r="D119" i="9" s="1"/>
  <c r="H105" i="32"/>
  <c r="D111" i="9" s="1"/>
  <c r="H97" i="32"/>
  <c r="D103" i="9" s="1"/>
  <c r="H312" i="32"/>
  <c r="D318" i="9" s="1"/>
  <c r="H304" i="32"/>
  <c r="D310" i="9" s="1"/>
  <c r="H296" i="32"/>
  <c r="D302" i="9" s="1"/>
  <c r="H288" i="32"/>
  <c r="D294" i="9" s="1"/>
  <c r="H280" i="32"/>
  <c r="D286" i="9" s="1"/>
  <c r="H272" i="32"/>
  <c r="D278" i="9" s="1"/>
  <c r="H264" i="32"/>
  <c r="D270" i="9" s="1"/>
  <c r="H256" i="32"/>
  <c r="D262" i="9" s="1"/>
  <c r="H248" i="32"/>
  <c r="D254" i="9" s="1"/>
  <c r="H240" i="32"/>
  <c r="D246" i="9" s="1"/>
  <c r="H232" i="32"/>
  <c r="D238" i="9" s="1"/>
  <c r="H224" i="32"/>
  <c r="D230" i="9" s="1"/>
  <c r="H216" i="32"/>
  <c r="D222" i="9" s="1"/>
  <c r="H208" i="32"/>
  <c r="D214" i="9" s="1"/>
  <c r="H200" i="32"/>
  <c r="D206" i="9" s="1"/>
  <c r="H192" i="32"/>
  <c r="D198" i="9" s="1"/>
  <c r="H184" i="32"/>
  <c r="D190" i="9" s="1"/>
  <c r="H176" i="32"/>
  <c r="D182" i="9" s="1"/>
  <c r="H168" i="32"/>
  <c r="D174" i="9" s="1"/>
  <c r="H160" i="32"/>
  <c r="D166" i="9" s="1"/>
  <c r="H152" i="32"/>
  <c r="D158" i="9" s="1"/>
  <c r="H143" i="32"/>
  <c r="D149" i="9" s="1"/>
  <c r="H135" i="32"/>
  <c r="D141" i="9" s="1"/>
  <c r="H126" i="32"/>
  <c r="D132" i="9" s="1"/>
  <c r="H118" i="32"/>
  <c r="D124" i="9" s="1"/>
  <c r="H110" i="32"/>
  <c r="D116" i="9" s="1"/>
  <c r="H102" i="32"/>
  <c r="D108" i="9" s="1"/>
  <c r="H313" i="32"/>
  <c r="D319" i="9" s="1"/>
  <c r="H305" i="32"/>
  <c r="D311" i="9" s="1"/>
  <c r="H297" i="32"/>
  <c r="D303" i="9" s="1"/>
  <c r="H289" i="32"/>
  <c r="D295" i="9" s="1"/>
  <c r="H281" i="32"/>
  <c r="D287" i="9" s="1"/>
  <c r="H273" i="32"/>
  <c r="D279" i="9" s="1"/>
  <c r="H265" i="32"/>
  <c r="D271" i="9" s="1"/>
  <c r="H257" i="32"/>
  <c r="D263" i="9" s="1"/>
  <c r="H249" i="32"/>
  <c r="D255" i="9" s="1"/>
  <c r="H241" i="32"/>
  <c r="D247" i="9" s="1"/>
  <c r="H233" i="32"/>
  <c r="D239" i="9" s="1"/>
  <c r="H225" i="32"/>
  <c r="D231" i="9" s="1"/>
  <c r="H217" i="32"/>
  <c r="D223" i="9" s="1"/>
  <c r="H209" i="32"/>
  <c r="D215" i="9" s="1"/>
  <c r="H201" i="32"/>
  <c r="D207" i="9" s="1"/>
  <c r="H193" i="32"/>
  <c r="D199" i="9" s="1"/>
  <c r="H185" i="32"/>
  <c r="D191" i="9" s="1"/>
  <c r="H177" i="32"/>
  <c r="D183" i="9" s="1"/>
  <c r="H169" i="32"/>
  <c r="D175" i="9" s="1"/>
  <c r="H161" i="32"/>
  <c r="D167" i="9" s="1"/>
  <c r="H153" i="32"/>
  <c r="D159" i="9" s="1"/>
  <c r="H144" i="32"/>
  <c r="D150" i="9" s="1"/>
  <c r="H136" i="32"/>
  <c r="D142" i="9" s="1"/>
  <c r="H127" i="32"/>
  <c r="D133" i="9" s="1"/>
  <c r="H119" i="32"/>
  <c r="D125" i="9" s="1"/>
  <c r="H111" i="32"/>
  <c r="D117" i="9" s="1"/>
  <c r="H103" i="32"/>
  <c r="D109" i="9" s="1"/>
  <c r="H130" i="32"/>
  <c r="D136" i="9" s="1"/>
  <c r="H59" i="32"/>
  <c r="D65" i="9" s="1"/>
  <c r="H99" i="32"/>
  <c r="D105" i="9" s="1"/>
  <c r="J10" i="36"/>
  <c r="J12" i="36"/>
  <c r="J14" i="36"/>
  <c r="J16" i="36"/>
  <c r="J18" i="36"/>
  <c r="J20" i="36"/>
  <c r="J22" i="36"/>
  <c r="J24" i="36"/>
  <c r="J26" i="36"/>
  <c r="J28" i="36"/>
  <c r="J30" i="36"/>
  <c r="J32" i="36"/>
  <c r="J34" i="36"/>
  <c r="J40" i="36"/>
  <c r="J42" i="36"/>
  <c r="J44" i="36"/>
  <c r="J46" i="36"/>
  <c r="J48" i="36"/>
  <c r="J50" i="36"/>
  <c r="J52" i="36"/>
  <c r="J54" i="36"/>
  <c r="J56" i="36"/>
  <c r="J58" i="36"/>
  <c r="J60" i="36"/>
  <c r="J64" i="36"/>
  <c r="J66" i="36"/>
  <c r="J67" i="36"/>
  <c r="J69" i="36"/>
  <c r="J71" i="36"/>
  <c r="J73" i="36"/>
  <c r="J75" i="36"/>
  <c r="J77" i="36"/>
  <c r="J79" i="36"/>
  <c r="J81" i="36"/>
  <c r="J83" i="36"/>
  <c r="J85" i="36"/>
  <c r="J87" i="36"/>
  <c r="J89" i="36"/>
  <c r="J91" i="36"/>
  <c r="J93" i="36"/>
  <c r="J95" i="36"/>
  <c r="J97" i="36"/>
  <c r="J99" i="36"/>
  <c r="J101" i="36"/>
  <c r="J36" i="36"/>
  <c r="J38" i="36"/>
  <c r="J62" i="36"/>
  <c r="J103" i="36"/>
  <c r="J105" i="36"/>
  <c r="J129" i="36"/>
  <c r="J131" i="36"/>
  <c r="J133" i="36"/>
  <c r="J135" i="36"/>
  <c r="J137" i="36"/>
  <c r="J139" i="36"/>
  <c r="J141" i="36"/>
  <c r="J143" i="36"/>
  <c r="J145" i="36"/>
  <c r="J147" i="36"/>
  <c r="J149" i="36"/>
  <c r="J151" i="36"/>
  <c r="J153" i="36"/>
  <c r="J155" i="36"/>
  <c r="J157" i="36"/>
  <c r="J159" i="36"/>
  <c r="J161" i="36"/>
  <c r="J163" i="36"/>
  <c r="J165" i="36"/>
  <c r="J167" i="36"/>
  <c r="J169" i="36"/>
  <c r="J171" i="36"/>
  <c r="J173" i="36"/>
  <c r="J175" i="36"/>
  <c r="J177" i="36"/>
  <c r="J179" i="36"/>
  <c r="J181" i="36"/>
  <c r="J183" i="36"/>
  <c r="J185" i="36"/>
  <c r="J187" i="36"/>
  <c r="J189" i="36"/>
  <c r="J191" i="36"/>
  <c r="J193" i="36"/>
  <c r="J195" i="36"/>
  <c r="J197" i="36"/>
  <c r="J199" i="36"/>
  <c r="J201" i="36"/>
  <c r="J203" i="36"/>
  <c r="J205" i="36"/>
  <c r="J207" i="36"/>
  <c r="J209" i="36"/>
  <c r="J211" i="36"/>
  <c r="J213" i="36"/>
  <c r="J215" i="36"/>
  <c r="J217" i="36"/>
  <c r="J219" i="36"/>
  <c r="J221" i="36"/>
  <c r="J223" i="36"/>
  <c r="J225" i="36"/>
  <c r="J227" i="36"/>
  <c r="J107" i="36"/>
  <c r="J109" i="36"/>
  <c r="J111" i="36"/>
  <c r="J113" i="36"/>
  <c r="J115" i="36"/>
  <c r="J117" i="36"/>
  <c r="J119" i="36"/>
  <c r="J121" i="36"/>
  <c r="J123" i="36"/>
  <c r="J125" i="36"/>
  <c r="J127" i="36"/>
  <c r="J229" i="36"/>
  <c r="J231" i="36"/>
  <c r="J233" i="36"/>
  <c r="J235" i="36"/>
  <c r="J237" i="36"/>
  <c r="J239" i="36"/>
  <c r="J241" i="36"/>
  <c r="J243" i="36"/>
  <c r="J245" i="36"/>
  <c r="J247" i="36"/>
  <c r="J248" i="36"/>
  <c r="J250" i="36"/>
  <c r="J252" i="36"/>
  <c r="J254" i="36"/>
  <c r="J256" i="36"/>
  <c r="J258" i="36"/>
  <c r="J260" i="36"/>
  <c r="J262" i="36"/>
  <c r="J264" i="36"/>
  <c r="J266" i="36"/>
  <c r="J268" i="36"/>
  <c r="J270" i="36"/>
  <c r="J272" i="36"/>
  <c r="J274" i="36"/>
  <c r="J276" i="36"/>
  <c r="J278" i="36"/>
  <c r="J280" i="36"/>
  <c r="J281" i="36"/>
  <c r="J282" i="36"/>
  <c r="J284" i="36"/>
  <c r="J286" i="36"/>
  <c r="J288" i="36"/>
  <c r="J290" i="36"/>
  <c r="J292" i="36"/>
  <c r="J294" i="36"/>
  <c r="J296" i="36"/>
  <c r="J298" i="36"/>
  <c r="J300" i="36"/>
  <c r="J302" i="36"/>
  <c r="J304" i="36"/>
  <c r="J306" i="36"/>
  <c r="J308" i="36"/>
  <c r="J310" i="36"/>
  <c r="J312" i="36"/>
  <c r="J314" i="36"/>
  <c r="J316" i="36"/>
  <c r="J279" i="36"/>
  <c r="J271" i="36"/>
  <c r="J263" i="36"/>
  <c r="J315" i="36"/>
  <c r="J311" i="36"/>
  <c r="J307" i="36"/>
  <c r="J303" i="36"/>
  <c r="J299" i="36"/>
  <c r="J295" i="36"/>
  <c r="J291" i="36"/>
  <c r="J287" i="36"/>
  <c r="J283" i="36"/>
  <c r="J277" i="36"/>
  <c r="J269" i="36"/>
  <c r="J261" i="36"/>
  <c r="J257" i="36"/>
  <c r="J253" i="36"/>
  <c r="J249" i="36"/>
  <c r="J246" i="36"/>
  <c r="J242" i="36"/>
  <c r="J238" i="36"/>
  <c r="J234" i="36"/>
  <c r="J230" i="36"/>
  <c r="J226" i="36"/>
  <c r="J222" i="36"/>
  <c r="J218" i="36"/>
  <c r="J214" i="36"/>
  <c r="J210" i="36"/>
  <c r="J240" i="36"/>
  <c r="J232" i="36"/>
  <c r="J224" i="36"/>
  <c r="J216" i="36"/>
  <c r="J208" i="36"/>
  <c r="J120" i="36"/>
  <c r="J112" i="36"/>
  <c r="J206" i="36"/>
  <c r="J202" i="36"/>
  <c r="J198" i="36"/>
  <c r="J194" i="36"/>
  <c r="J190" i="36"/>
  <c r="J186" i="36"/>
  <c r="J182" i="36"/>
  <c r="J178" i="36"/>
  <c r="J174" i="36"/>
  <c r="J170" i="36"/>
  <c r="J166" i="36"/>
  <c r="J162" i="36"/>
  <c r="J158" i="36"/>
  <c r="J154" i="36"/>
  <c r="J150" i="36"/>
  <c r="J146" i="36"/>
  <c r="J142" i="36"/>
  <c r="J138" i="36"/>
  <c r="J134" i="36"/>
  <c r="J130" i="36"/>
  <c r="J126" i="36"/>
  <c r="J118" i="36"/>
  <c r="J110" i="36"/>
  <c r="J61" i="36"/>
  <c r="J108" i="36"/>
  <c r="J104" i="36"/>
  <c r="J100" i="36"/>
  <c r="J96" i="36"/>
  <c r="J92" i="36"/>
  <c r="J88" i="36"/>
  <c r="J84" i="36"/>
  <c r="J80" i="36"/>
  <c r="J76" i="36"/>
  <c r="J72" i="36"/>
  <c r="J68" i="36"/>
  <c r="J59" i="36"/>
  <c r="J35" i="36"/>
  <c r="J55" i="36"/>
  <c r="J51" i="36"/>
  <c r="J47" i="36"/>
  <c r="J43" i="36"/>
  <c r="J37" i="36"/>
  <c r="J33" i="36"/>
  <c r="J29" i="36"/>
  <c r="J25" i="36"/>
  <c r="J21" i="36"/>
  <c r="J17" i="36"/>
  <c r="J13" i="36"/>
  <c r="J275" i="36"/>
  <c r="J267" i="36"/>
  <c r="J259" i="36"/>
  <c r="J313" i="36"/>
  <c r="J309" i="36"/>
  <c r="J305" i="36"/>
  <c r="J301" i="36"/>
  <c r="J297" i="36"/>
  <c r="J293" i="36"/>
  <c r="J289" i="36"/>
  <c r="J285" i="36"/>
  <c r="J273" i="36"/>
  <c r="J265" i="36"/>
  <c r="J255" i="36"/>
  <c r="J251" i="36"/>
  <c r="J244" i="36"/>
  <c r="J236" i="36"/>
  <c r="J228" i="36"/>
  <c r="J220" i="36"/>
  <c r="J212" i="36"/>
  <c r="J124" i="36"/>
  <c r="J116" i="36"/>
  <c r="J204" i="36"/>
  <c r="J200" i="36"/>
  <c r="J196" i="36"/>
  <c r="J192" i="36"/>
  <c r="J188" i="36"/>
  <c r="J184" i="36"/>
  <c r="J180" i="36"/>
  <c r="J176" i="36"/>
  <c r="J172" i="36"/>
  <c r="J168" i="36"/>
  <c r="J164" i="36"/>
  <c r="J160" i="36"/>
  <c r="J156" i="36"/>
  <c r="J152" i="36"/>
  <c r="J148" i="36"/>
  <c r="J144" i="36"/>
  <c r="J140" i="36"/>
  <c r="J136" i="36"/>
  <c r="J132" i="36"/>
  <c r="J128" i="36"/>
  <c r="J122" i="36"/>
  <c r="J114" i="36"/>
  <c r="J65" i="36"/>
  <c r="J106" i="36"/>
  <c r="J102" i="36"/>
  <c r="J98" i="36"/>
  <c r="J94" i="36"/>
  <c r="J90" i="36"/>
  <c r="J86" i="36"/>
  <c r="J82" i="36"/>
  <c r="J78" i="36"/>
  <c r="J74" i="36"/>
  <c r="J70" i="36"/>
  <c r="J63" i="36"/>
  <c r="J39" i="36"/>
  <c r="J57" i="36"/>
  <c r="J53" i="36"/>
  <c r="J49" i="36"/>
  <c r="J45" i="36"/>
  <c r="J41" i="36"/>
  <c r="J31" i="36"/>
  <c r="J27" i="36"/>
  <c r="J23" i="36"/>
  <c r="J19" i="36"/>
  <c r="J15" i="36"/>
  <c r="J11" i="36"/>
  <c r="J9" i="36"/>
  <c r="D10" i="36"/>
  <c r="D12" i="36"/>
  <c r="D14" i="36"/>
  <c r="D16" i="36"/>
  <c r="D18" i="36"/>
  <c r="D36" i="36"/>
  <c r="D38" i="36"/>
  <c r="D62" i="36"/>
  <c r="D64" i="36"/>
  <c r="D66" i="36"/>
  <c r="D69" i="36"/>
  <c r="K69" i="36" s="1"/>
  <c r="F77" i="34" s="1"/>
  <c r="D71" i="36"/>
  <c r="D73" i="36"/>
  <c r="K73" i="36" s="1"/>
  <c r="F81" i="34" s="1"/>
  <c r="D75" i="36"/>
  <c r="D77" i="36"/>
  <c r="K77" i="36" s="1"/>
  <c r="F85" i="34" s="1"/>
  <c r="D79" i="36"/>
  <c r="D81" i="36"/>
  <c r="K81" i="36" s="1"/>
  <c r="F89" i="34" s="1"/>
  <c r="D83" i="36"/>
  <c r="D85" i="36"/>
  <c r="K85" i="36" s="1"/>
  <c r="F93" i="34" s="1"/>
  <c r="D87" i="36"/>
  <c r="D89" i="36"/>
  <c r="K89" i="36" s="1"/>
  <c r="F97" i="34" s="1"/>
  <c r="D91" i="36"/>
  <c r="D93" i="36"/>
  <c r="K93" i="36" s="1"/>
  <c r="F101" i="34" s="1"/>
  <c r="D95" i="36"/>
  <c r="D97" i="36"/>
  <c r="K97" i="36" s="1"/>
  <c r="F105" i="34" s="1"/>
  <c r="D99" i="36"/>
  <c r="D101" i="36"/>
  <c r="K101" i="36" s="1"/>
  <c r="F109" i="34" s="1"/>
  <c r="D103" i="36"/>
  <c r="D20" i="36"/>
  <c r="K20" i="36" s="1"/>
  <c r="F28" i="34" s="1"/>
  <c r="D22" i="36"/>
  <c r="D24" i="36"/>
  <c r="K24" i="36" s="1"/>
  <c r="F32" i="34" s="1"/>
  <c r="D26" i="36"/>
  <c r="D28" i="36"/>
  <c r="K28" i="36" s="1"/>
  <c r="F36" i="34" s="1"/>
  <c r="D30" i="36"/>
  <c r="D32" i="36"/>
  <c r="K32" i="36" s="1"/>
  <c r="F40" i="34" s="1"/>
  <c r="D34" i="36"/>
  <c r="D40" i="36"/>
  <c r="K40" i="36" s="1"/>
  <c r="F48" i="34" s="1"/>
  <c r="D42" i="36"/>
  <c r="D44" i="36"/>
  <c r="K44" i="36" s="1"/>
  <c r="F52" i="34" s="1"/>
  <c r="D46" i="36"/>
  <c r="D48" i="36"/>
  <c r="K48" i="36" s="1"/>
  <c r="F56" i="34" s="1"/>
  <c r="D50" i="36"/>
  <c r="D52" i="36"/>
  <c r="K52" i="36" s="1"/>
  <c r="F60" i="34" s="1"/>
  <c r="D54" i="36"/>
  <c r="D56" i="36"/>
  <c r="K56" i="36" s="1"/>
  <c r="F64" i="34" s="1"/>
  <c r="D58" i="36"/>
  <c r="D60" i="36"/>
  <c r="K60" i="36" s="1"/>
  <c r="F68" i="34" s="1"/>
  <c r="D129" i="36"/>
  <c r="D131" i="36"/>
  <c r="D133" i="36"/>
  <c r="D135" i="36"/>
  <c r="D137" i="36"/>
  <c r="D139" i="36"/>
  <c r="D141" i="36"/>
  <c r="D143" i="36"/>
  <c r="D145" i="36"/>
  <c r="D147" i="36"/>
  <c r="D149" i="36"/>
  <c r="D151" i="36"/>
  <c r="D153" i="36"/>
  <c r="D155" i="36"/>
  <c r="D157" i="36"/>
  <c r="D159" i="36"/>
  <c r="D161" i="36"/>
  <c r="D163" i="36"/>
  <c r="D165" i="36"/>
  <c r="D167" i="36"/>
  <c r="D169" i="36"/>
  <c r="D171" i="36"/>
  <c r="D173" i="36"/>
  <c r="D175" i="36"/>
  <c r="D177" i="36"/>
  <c r="D179" i="36"/>
  <c r="D181" i="36"/>
  <c r="D183" i="36"/>
  <c r="D185" i="36"/>
  <c r="D187" i="36"/>
  <c r="D189" i="36"/>
  <c r="D191" i="36"/>
  <c r="D193" i="36"/>
  <c r="D195" i="36"/>
  <c r="D197" i="36"/>
  <c r="D199" i="36"/>
  <c r="D201" i="36"/>
  <c r="D203" i="36"/>
  <c r="D205" i="36"/>
  <c r="D207" i="36"/>
  <c r="D209" i="36"/>
  <c r="D211" i="36"/>
  <c r="D213" i="36"/>
  <c r="D215" i="36"/>
  <c r="D217" i="36"/>
  <c r="D219" i="36"/>
  <c r="D221" i="36"/>
  <c r="D223" i="36"/>
  <c r="D225" i="36"/>
  <c r="D227" i="36"/>
  <c r="D229" i="36"/>
  <c r="D105" i="36"/>
  <c r="K105" i="36" s="1"/>
  <c r="F113" i="34" s="1"/>
  <c r="D107" i="36"/>
  <c r="D109" i="36"/>
  <c r="K109" i="36" s="1"/>
  <c r="F117" i="34" s="1"/>
  <c r="D111" i="36"/>
  <c r="D113" i="36"/>
  <c r="K113" i="36" s="1"/>
  <c r="F121" i="34" s="1"/>
  <c r="D115" i="36"/>
  <c r="D117" i="36"/>
  <c r="K117" i="36" s="1"/>
  <c r="F125" i="34" s="1"/>
  <c r="D119" i="36"/>
  <c r="D121" i="36"/>
  <c r="K121" i="36" s="1"/>
  <c r="F129" i="34" s="1"/>
  <c r="D123" i="36"/>
  <c r="D125" i="36"/>
  <c r="K125" i="36" s="1"/>
  <c r="F133" i="34" s="1"/>
  <c r="D127" i="36"/>
  <c r="D233" i="36"/>
  <c r="D235" i="36"/>
  <c r="D237" i="36"/>
  <c r="D239" i="36"/>
  <c r="D241" i="36"/>
  <c r="D243" i="36"/>
  <c r="D245" i="36"/>
  <c r="D247" i="36"/>
  <c r="D250" i="36"/>
  <c r="D252" i="36"/>
  <c r="D254" i="36"/>
  <c r="D256" i="36"/>
  <c r="D258" i="36"/>
  <c r="D260" i="36"/>
  <c r="D262" i="36"/>
  <c r="D264" i="36"/>
  <c r="D266" i="36"/>
  <c r="D268" i="36"/>
  <c r="D270" i="36"/>
  <c r="D272" i="36"/>
  <c r="D274" i="36"/>
  <c r="D276" i="36"/>
  <c r="D278" i="36"/>
  <c r="D280" i="36"/>
  <c r="D231" i="36"/>
  <c r="D282" i="36"/>
  <c r="D284" i="36"/>
  <c r="D286" i="36"/>
  <c r="D288" i="36"/>
  <c r="D290" i="36"/>
  <c r="D292" i="36"/>
  <c r="D294" i="36"/>
  <c r="D296" i="36"/>
  <c r="D298" i="36"/>
  <c r="D300" i="36"/>
  <c r="D302" i="36"/>
  <c r="D304" i="36"/>
  <c r="D306" i="36"/>
  <c r="D308" i="36"/>
  <c r="D310" i="36"/>
  <c r="D312" i="36"/>
  <c r="D314" i="36"/>
  <c r="D316" i="36"/>
  <c r="D257" i="36"/>
  <c r="D253" i="36"/>
  <c r="D249" i="36"/>
  <c r="D313" i="36"/>
  <c r="D309" i="36"/>
  <c r="D305" i="36"/>
  <c r="D301" i="36"/>
  <c r="D297" i="36"/>
  <c r="D293" i="36"/>
  <c r="D289" i="36"/>
  <c r="D285" i="36"/>
  <c r="D206" i="36"/>
  <c r="D202" i="36"/>
  <c r="D198" i="36"/>
  <c r="D194" i="36"/>
  <c r="D190" i="36"/>
  <c r="D186" i="36"/>
  <c r="D182" i="36"/>
  <c r="D178" i="36"/>
  <c r="D174" i="36"/>
  <c r="D170" i="36"/>
  <c r="D166" i="36"/>
  <c r="D162" i="36"/>
  <c r="D158" i="36"/>
  <c r="D154" i="36"/>
  <c r="D150" i="36"/>
  <c r="D146" i="36"/>
  <c r="D142" i="36"/>
  <c r="D138" i="36"/>
  <c r="D134" i="36"/>
  <c r="D130" i="36"/>
  <c r="D106" i="36"/>
  <c r="D102" i="36"/>
  <c r="D98" i="36"/>
  <c r="D94" i="36"/>
  <c r="D90" i="36"/>
  <c r="D86" i="36"/>
  <c r="D82" i="36"/>
  <c r="D78" i="36"/>
  <c r="D74" i="36"/>
  <c r="D70" i="36"/>
  <c r="D57" i="36"/>
  <c r="D53" i="36"/>
  <c r="D49" i="36"/>
  <c r="D45" i="36"/>
  <c r="D33" i="36"/>
  <c r="D29" i="36"/>
  <c r="D25" i="36"/>
  <c r="D21" i="36"/>
  <c r="D17" i="36"/>
  <c r="D13" i="36"/>
  <c r="D9" i="36"/>
  <c r="D275" i="36"/>
  <c r="D267" i="36"/>
  <c r="D259" i="36"/>
  <c r="D273" i="36"/>
  <c r="D265" i="36"/>
  <c r="D244" i="36"/>
  <c r="D236" i="36"/>
  <c r="D228" i="36"/>
  <c r="D220" i="36"/>
  <c r="D212" i="36"/>
  <c r="D124" i="36"/>
  <c r="D116" i="36"/>
  <c r="K116" i="36" s="1"/>
  <c r="F124" i="34" s="1"/>
  <c r="D122" i="36"/>
  <c r="D114" i="36"/>
  <c r="D65" i="36"/>
  <c r="D63" i="36"/>
  <c r="D39" i="36"/>
  <c r="D41" i="36"/>
  <c r="D255" i="36"/>
  <c r="D251" i="36"/>
  <c r="D248" i="36"/>
  <c r="D315" i="36"/>
  <c r="D311" i="36"/>
  <c r="D307" i="36"/>
  <c r="D303" i="36"/>
  <c r="D299" i="36"/>
  <c r="D295" i="36"/>
  <c r="D291" i="36"/>
  <c r="D287" i="36"/>
  <c r="D283" i="36"/>
  <c r="D204" i="36"/>
  <c r="D200" i="36"/>
  <c r="D196" i="36"/>
  <c r="D192" i="36"/>
  <c r="D188" i="36"/>
  <c r="D184" i="36"/>
  <c r="D180" i="36"/>
  <c r="D176" i="36"/>
  <c r="D172" i="36"/>
  <c r="D168" i="36"/>
  <c r="D164" i="36"/>
  <c r="D160" i="36"/>
  <c r="D156" i="36"/>
  <c r="D152" i="36"/>
  <c r="D148" i="36"/>
  <c r="D144" i="36"/>
  <c r="D140" i="36"/>
  <c r="D136" i="36"/>
  <c r="D132" i="36"/>
  <c r="D108" i="36"/>
  <c r="D104" i="36"/>
  <c r="D100" i="36"/>
  <c r="D96" i="36"/>
  <c r="D92" i="36"/>
  <c r="D88" i="36"/>
  <c r="D84" i="36"/>
  <c r="D80" i="36"/>
  <c r="D76" i="36"/>
  <c r="D72" i="36"/>
  <c r="D68" i="36"/>
  <c r="D55" i="36"/>
  <c r="D51" i="36"/>
  <c r="D47" i="36"/>
  <c r="D43" i="36"/>
  <c r="D31" i="36"/>
  <c r="D27" i="36"/>
  <c r="D23" i="36"/>
  <c r="D19" i="36"/>
  <c r="D15" i="36"/>
  <c r="D11" i="36"/>
  <c r="D279" i="36"/>
  <c r="D271" i="36"/>
  <c r="D263" i="36"/>
  <c r="D281" i="36"/>
  <c r="D277" i="36"/>
  <c r="D269" i="36"/>
  <c r="K269" i="36" s="1"/>
  <c r="F277" i="34" s="1"/>
  <c r="D261" i="36"/>
  <c r="D246" i="36"/>
  <c r="D242" i="36"/>
  <c r="D238" i="36"/>
  <c r="K238" i="36" s="1"/>
  <c r="F246" i="34" s="1"/>
  <c r="D234" i="36"/>
  <c r="D230" i="36"/>
  <c r="K230" i="36" s="1"/>
  <c r="F238" i="34" s="1"/>
  <c r="D226" i="36"/>
  <c r="D222" i="36"/>
  <c r="D218" i="36"/>
  <c r="D214" i="36"/>
  <c r="D210" i="36"/>
  <c r="D240" i="36"/>
  <c r="D232" i="36"/>
  <c r="D224" i="36"/>
  <c r="D216" i="36"/>
  <c r="D208" i="36"/>
  <c r="D128" i="36"/>
  <c r="D120" i="36"/>
  <c r="D112" i="36"/>
  <c r="D126" i="36"/>
  <c r="D118" i="36"/>
  <c r="D110" i="36"/>
  <c r="D61" i="36"/>
  <c r="D67" i="36"/>
  <c r="D59" i="36"/>
  <c r="D35" i="36"/>
  <c r="K35" i="36" s="1"/>
  <c r="F43" i="34" s="1"/>
  <c r="D37" i="36"/>
  <c r="I9" i="36"/>
  <c r="I11" i="36"/>
  <c r="I13" i="36"/>
  <c r="I15" i="36"/>
  <c r="I17" i="36"/>
  <c r="I19" i="36"/>
  <c r="I10" i="36"/>
  <c r="I12" i="36"/>
  <c r="I14" i="36"/>
  <c r="I16" i="36"/>
  <c r="I18" i="36"/>
  <c r="I20" i="36"/>
  <c r="I22" i="36"/>
  <c r="I24" i="36"/>
  <c r="I26" i="36"/>
  <c r="I28" i="36"/>
  <c r="I30" i="36"/>
  <c r="I32" i="36"/>
  <c r="I34" i="36"/>
  <c r="I36" i="36"/>
  <c r="I38" i="36"/>
  <c r="I40" i="36"/>
  <c r="I42" i="36"/>
  <c r="I44" i="36"/>
  <c r="I46" i="36"/>
  <c r="I48" i="36"/>
  <c r="I50" i="36"/>
  <c r="I52" i="36"/>
  <c r="I54" i="36"/>
  <c r="I56" i="36"/>
  <c r="I58" i="36"/>
  <c r="I60" i="36"/>
  <c r="I62" i="36"/>
  <c r="I37" i="36"/>
  <c r="I63" i="36"/>
  <c r="I68" i="36"/>
  <c r="I70" i="36"/>
  <c r="I72" i="36"/>
  <c r="I74" i="36"/>
  <c r="I76" i="36"/>
  <c r="I78" i="36"/>
  <c r="I80" i="36"/>
  <c r="I82" i="36"/>
  <c r="I84" i="36"/>
  <c r="I86" i="36"/>
  <c r="I88" i="36"/>
  <c r="I90" i="36"/>
  <c r="I92" i="36"/>
  <c r="I94" i="36"/>
  <c r="I96" i="36"/>
  <c r="I98" i="36"/>
  <c r="I100" i="36"/>
  <c r="I102" i="36"/>
  <c r="I21" i="36"/>
  <c r="I23" i="36"/>
  <c r="I25" i="36"/>
  <c r="I27" i="36"/>
  <c r="I29" i="36"/>
  <c r="I31" i="36"/>
  <c r="I33" i="36"/>
  <c r="I41" i="36"/>
  <c r="I43" i="36"/>
  <c r="I45" i="36"/>
  <c r="I47" i="36"/>
  <c r="I49" i="36"/>
  <c r="I51" i="36"/>
  <c r="I53" i="36"/>
  <c r="I55" i="36"/>
  <c r="I57" i="36"/>
  <c r="I59" i="36"/>
  <c r="I64" i="36"/>
  <c r="I66" i="36"/>
  <c r="I67" i="36"/>
  <c r="I69" i="36"/>
  <c r="I71" i="36"/>
  <c r="I73" i="36"/>
  <c r="I75" i="36"/>
  <c r="I77" i="36"/>
  <c r="I79" i="36"/>
  <c r="I81" i="36"/>
  <c r="I83" i="36"/>
  <c r="I85" i="36"/>
  <c r="I87" i="36"/>
  <c r="I89" i="36"/>
  <c r="I91" i="36"/>
  <c r="I93" i="36"/>
  <c r="I95" i="36"/>
  <c r="I97" i="36"/>
  <c r="I99" i="36"/>
  <c r="I101" i="36"/>
  <c r="I103" i="36"/>
  <c r="I105" i="36"/>
  <c r="I107" i="36"/>
  <c r="I109" i="36"/>
  <c r="I111" i="36"/>
  <c r="I113" i="36"/>
  <c r="I115" i="36"/>
  <c r="I117" i="36"/>
  <c r="I119" i="36"/>
  <c r="I121" i="36"/>
  <c r="I123" i="36"/>
  <c r="I125" i="36"/>
  <c r="I127" i="36"/>
  <c r="I128" i="36"/>
  <c r="I130" i="36"/>
  <c r="I132" i="36"/>
  <c r="I134" i="36"/>
  <c r="I136" i="36"/>
  <c r="I138" i="36"/>
  <c r="I140" i="36"/>
  <c r="I142" i="36"/>
  <c r="I144" i="36"/>
  <c r="I146" i="36"/>
  <c r="I148" i="36"/>
  <c r="I150" i="36"/>
  <c r="I152" i="36"/>
  <c r="I154" i="36"/>
  <c r="I156" i="36"/>
  <c r="I158" i="36"/>
  <c r="I160" i="36"/>
  <c r="I162" i="36"/>
  <c r="I164" i="36"/>
  <c r="I166" i="36"/>
  <c r="I168" i="36"/>
  <c r="I170" i="36"/>
  <c r="I172" i="36"/>
  <c r="I174" i="36"/>
  <c r="I176" i="36"/>
  <c r="I178" i="36"/>
  <c r="I180" i="36"/>
  <c r="I182" i="36"/>
  <c r="I184" i="36"/>
  <c r="I186" i="36"/>
  <c r="I188" i="36"/>
  <c r="I190" i="36"/>
  <c r="I192" i="36"/>
  <c r="I194" i="36"/>
  <c r="I196" i="36"/>
  <c r="I198" i="36"/>
  <c r="I200" i="36"/>
  <c r="I202" i="36"/>
  <c r="I204" i="36"/>
  <c r="I206" i="36"/>
  <c r="I210" i="36"/>
  <c r="I214" i="36"/>
  <c r="I218" i="36"/>
  <c r="I222" i="36"/>
  <c r="I226" i="36"/>
  <c r="I104" i="36"/>
  <c r="I106" i="36"/>
  <c r="I108" i="36"/>
  <c r="I110" i="36"/>
  <c r="I114" i="36"/>
  <c r="I118" i="36"/>
  <c r="I122" i="36"/>
  <c r="I126" i="36"/>
  <c r="I129" i="36"/>
  <c r="I131" i="36"/>
  <c r="I133" i="36"/>
  <c r="I135" i="36"/>
  <c r="I137" i="36"/>
  <c r="I139" i="36"/>
  <c r="I141" i="36"/>
  <c r="I143" i="36"/>
  <c r="I145" i="36"/>
  <c r="I147" i="36"/>
  <c r="I149" i="36"/>
  <c r="I151" i="36"/>
  <c r="I153" i="36"/>
  <c r="I155" i="36"/>
  <c r="I157" i="36"/>
  <c r="I159" i="36"/>
  <c r="I161" i="36"/>
  <c r="I163" i="36"/>
  <c r="I165" i="36"/>
  <c r="I167" i="36"/>
  <c r="I169" i="36"/>
  <c r="I171" i="36"/>
  <c r="I173" i="36"/>
  <c r="I175" i="36"/>
  <c r="I177" i="36"/>
  <c r="I179" i="36"/>
  <c r="I181" i="36"/>
  <c r="I183" i="36"/>
  <c r="I185" i="36"/>
  <c r="I187" i="36"/>
  <c r="I189" i="36"/>
  <c r="I191" i="36"/>
  <c r="I193" i="36"/>
  <c r="I195" i="36"/>
  <c r="I197" i="36"/>
  <c r="I199" i="36"/>
  <c r="I201" i="36"/>
  <c r="I203" i="36"/>
  <c r="I205" i="36"/>
  <c r="I207" i="36"/>
  <c r="I209" i="36"/>
  <c r="I211" i="36"/>
  <c r="I213" i="36"/>
  <c r="I215" i="36"/>
  <c r="I217" i="36"/>
  <c r="I219" i="36"/>
  <c r="I221" i="36"/>
  <c r="I223" i="36"/>
  <c r="I225" i="36"/>
  <c r="I227" i="36"/>
  <c r="I229" i="36"/>
  <c r="I231" i="36"/>
  <c r="I234" i="36"/>
  <c r="I238" i="36"/>
  <c r="I242" i="36"/>
  <c r="I246" i="36"/>
  <c r="I249" i="36"/>
  <c r="I251" i="36"/>
  <c r="I253" i="36"/>
  <c r="I255" i="36"/>
  <c r="I257" i="36"/>
  <c r="I261" i="36"/>
  <c r="I265" i="36"/>
  <c r="I269" i="36"/>
  <c r="I273" i="36"/>
  <c r="I277" i="36"/>
  <c r="I281" i="36"/>
  <c r="I282" i="36"/>
  <c r="I284" i="36"/>
  <c r="I286" i="36"/>
  <c r="I288" i="36"/>
  <c r="I290" i="36"/>
  <c r="I292" i="36"/>
  <c r="I294" i="36"/>
  <c r="I296" i="36"/>
  <c r="I298" i="36"/>
  <c r="I300" i="36"/>
  <c r="I302" i="36"/>
  <c r="I304" i="36"/>
  <c r="I306" i="36"/>
  <c r="I308" i="36"/>
  <c r="I310" i="36"/>
  <c r="I312" i="36"/>
  <c r="I314" i="36"/>
  <c r="I316" i="36"/>
  <c r="I230" i="36"/>
  <c r="I233" i="36"/>
  <c r="I235" i="36"/>
  <c r="I237" i="36"/>
  <c r="I239" i="36"/>
  <c r="I241" i="36"/>
  <c r="I243" i="36"/>
  <c r="I245" i="36"/>
  <c r="I247" i="36"/>
  <c r="I250" i="36"/>
  <c r="I252" i="36"/>
  <c r="I254" i="36"/>
  <c r="I256" i="36"/>
  <c r="I258" i="36"/>
  <c r="I260" i="36"/>
  <c r="I262" i="36"/>
  <c r="I264" i="36"/>
  <c r="I266" i="36"/>
  <c r="I268" i="36"/>
  <c r="I270" i="36"/>
  <c r="I272" i="36"/>
  <c r="I274" i="36"/>
  <c r="I276" i="36"/>
  <c r="I278" i="36"/>
  <c r="I280" i="36"/>
  <c r="I283" i="36"/>
  <c r="I285" i="36"/>
  <c r="I287" i="36"/>
  <c r="I289" i="36"/>
  <c r="I291" i="36"/>
  <c r="I293" i="36"/>
  <c r="I295" i="36"/>
  <c r="I297" i="36"/>
  <c r="I299" i="36"/>
  <c r="I301" i="36"/>
  <c r="I303" i="36"/>
  <c r="I305" i="36"/>
  <c r="I307" i="36"/>
  <c r="I309" i="36"/>
  <c r="I311" i="36"/>
  <c r="I313" i="36"/>
  <c r="I315" i="36"/>
  <c r="I279" i="36"/>
  <c r="I271" i="36"/>
  <c r="I263" i="36"/>
  <c r="I120" i="36"/>
  <c r="I112" i="36"/>
  <c r="I61" i="36"/>
  <c r="I39" i="36"/>
  <c r="I275" i="36"/>
  <c r="I267" i="36"/>
  <c r="I259" i="36"/>
  <c r="I248" i="36"/>
  <c r="I244" i="36"/>
  <c r="I240" i="36"/>
  <c r="I236" i="36"/>
  <c r="I232" i="36"/>
  <c r="I228" i="36"/>
  <c r="I224" i="36"/>
  <c r="I220" i="36"/>
  <c r="I216" i="36"/>
  <c r="I212" i="36"/>
  <c r="I208" i="36"/>
  <c r="I124" i="36"/>
  <c r="I116" i="36"/>
  <c r="I65" i="36"/>
  <c r="I35" i="36"/>
  <c r="E9" i="36"/>
  <c r="E11" i="36"/>
  <c r="E13" i="36"/>
  <c r="E15" i="36"/>
  <c r="E17" i="36"/>
  <c r="E19" i="36"/>
  <c r="E10" i="36"/>
  <c r="E12" i="36"/>
  <c r="E14" i="36"/>
  <c r="E16" i="36"/>
  <c r="E18" i="36"/>
  <c r="E20" i="36"/>
  <c r="E22" i="36"/>
  <c r="E24" i="36"/>
  <c r="E26" i="36"/>
  <c r="E28" i="36"/>
  <c r="E30" i="36"/>
  <c r="E32" i="36"/>
  <c r="E34" i="36"/>
  <c r="E36" i="36"/>
  <c r="E38" i="36"/>
  <c r="E40" i="36"/>
  <c r="E42" i="36"/>
  <c r="E44" i="36"/>
  <c r="E46" i="36"/>
  <c r="E48" i="36"/>
  <c r="E50" i="36"/>
  <c r="E52" i="36"/>
  <c r="E54" i="36"/>
  <c r="E56" i="36"/>
  <c r="E58" i="36"/>
  <c r="E60" i="36"/>
  <c r="E62" i="36"/>
  <c r="E64" i="36"/>
  <c r="E21" i="36"/>
  <c r="E23" i="36"/>
  <c r="E25" i="36"/>
  <c r="E27" i="36"/>
  <c r="E29" i="36"/>
  <c r="E31" i="36"/>
  <c r="E33" i="36"/>
  <c r="E41" i="36"/>
  <c r="E43" i="36"/>
  <c r="E45" i="36"/>
  <c r="E47" i="36"/>
  <c r="E49" i="36"/>
  <c r="E51" i="36"/>
  <c r="E53" i="36"/>
  <c r="E55" i="36"/>
  <c r="E57" i="36"/>
  <c r="E59" i="36"/>
  <c r="E67" i="36"/>
  <c r="E68" i="36"/>
  <c r="E70" i="36"/>
  <c r="E72" i="36"/>
  <c r="E74" i="36"/>
  <c r="E76" i="36"/>
  <c r="E78" i="36"/>
  <c r="E80" i="36"/>
  <c r="E82" i="36"/>
  <c r="E84" i="36"/>
  <c r="E86" i="36"/>
  <c r="E88" i="36"/>
  <c r="E90" i="36"/>
  <c r="E92" i="36"/>
  <c r="E94" i="36"/>
  <c r="E96" i="36"/>
  <c r="E98" i="36"/>
  <c r="E100" i="36"/>
  <c r="E102" i="36"/>
  <c r="E37" i="36"/>
  <c r="E63" i="36"/>
  <c r="E66" i="36"/>
  <c r="E69" i="36"/>
  <c r="E71" i="36"/>
  <c r="E73" i="36"/>
  <c r="E75" i="36"/>
  <c r="E77" i="36"/>
  <c r="E79" i="36"/>
  <c r="E81" i="36"/>
  <c r="E83" i="36"/>
  <c r="E85" i="36"/>
  <c r="E87" i="36"/>
  <c r="E89" i="36"/>
  <c r="E91" i="36"/>
  <c r="E93" i="36"/>
  <c r="E95" i="36"/>
  <c r="E97" i="36"/>
  <c r="E99" i="36"/>
  <c r="E101" i="36"/>
  <c r="E103" i="36"/>
  <c r="E105" i="36"/>
  <c r="E107" i="36"/>
  <c r="E104" i="36"/>
  <c r="E106" i="36"/>
  <c r="E109" i="36"/>
  <c r="E111" i="36"/>
  <c r="E113" i="36"/>
  <c r="E115" i="36"/>
  <c r="E117" i="36"/>
  <c r="E119" i="36"/>
  <c r="E121" i="36"/>
  <c r="E123" i="36"/>
  <c r="E125" i="36"/>
  <c r="E127" i="36"/>
  <c r="E130" i="36"/>
  <c r="E132" i="36"/>
  <c r="E134" i="36"/>
  <c r="E136" i="36"/>
  <c r="E138" i="36"/>
  <c r="E140" i="36"/>
  <c r="E142" i="36"/>
  <c r="E144" i="36"/>
  <c r="E146" i="36"/>
  <c r="E148" i="36"/>
  <c r="E150" i="36"/>
  <c r="E152" i="36"/>
  <c r="E154" i="36"/>
  <c r="E156" i="36"/>
  <c r="E158" i="36"/>
  <c r="E160" i="36"/>
  <c r="E162" i="36"/>
  <c r="E164" i="36"/>
  <c r="E166" i="36"/>
  <c r="E168" i="36"/>
  <c r="E170" i="36"/>
  <c r="E172" i="36"/>
  <c r="E174" i="36"/>
  <c r="E176" i="36"/>
  <c r="E178" i="36"/>
  <c r="E180" i="36"/>
  <c r="E182" i="36"/>
  <c r="E184" i="36"/>
  <c r="E186" i="36"/>
  <c r="E188" i="36"/>
  <c r="E190" i="36"/>
  <c r="E192" i="36"/>
  <c r="E194" i="36"/>
  <c r="E196" i="36"/>
  <c r="E198" i="36"/>
  <c r="E200" i="36"/>
  <c r="E202" i="36"/>
  <c r="E204" i="36"/>
  <c r="E206" i="36"/>
  <c r="E210" i="36"/>
  <c r="E214" i="36"/>
  <c r="E218" i="36"/>
  <c r="E222" i="36"/>
  <c r="E226" i="36"/>
  <c r="E108" i="36"/>
  <c r="E110" i="36"/>
  <c r="E114" i="36"/>
  <c r="E118" i="36"/>
  <c r="E122" i="36"/>
  <c r="E126" i="36"/>
  <c r="E129" i="36"/>
  <c r="E131" i="36"/>
  <c r="E133" i="36"/>
  <c r="E135" i="36"/>
  <c r="E137" i="36"/>
  <c r="E139" i="36"/>
  <c r="E141" i="36"/>
  <c r="E143" i="36"/>
  <c r="E145" i="36"/>
  <c r="E147" i="36"/>
  <c r="E149" i="36"/>
  <c r="E151" i="36"/>
  <c r="E153" i="36"/>
  <c r="E155" i="36"/>
  <c r="E157" i="36"/>
  <c r="E159" i="36"/>
  <c r="E161" i="36"/>
  <c r="E163" i="36"/>
  <c r="E165" i="36"/>
  <c r="E167" i="36"/>
  <c r="E169" i="36"/>
  <c r="E171" i="36"/>
  <c r="E173" i="36"/>
  <c r="E175" i="36"/>
  <c r="E177" i="36"/>
  <c r="E179" i="36"/>
  <c r="E181" i="36"/>
  <c r="E183" i="36"/>
  <c r="E185" i="36"/>
  <c r="E187" i="36"/>
  <c r="E189" i="36"/>
  <c r="E191" i="36"/>
  <c r="E193" i="36"/>
  <c r="E195" i="36"/>
  <c r="E197" i="36"/>
  <c r="E199" i="36"/>
  <c r="E201" i="36"/>
  <c r="E203" i="36"/>
  <c r="E205" i="36"/>
  <c r="E207" i="36"/>
  <c r="E209" i="36"/>
  <c r="E211" i="36"/>
  <c r="E213" i="36"/>
  <c r="E215" i="36"/>
  <c r="E217" i="36"/>
  <c r="E219" i="36"/>
  <c r="E221" i="36"/>
  <c r="E223" i="36"/>
  <c r="E225" i="36"/>
  <c r="E227" i="36"/>
  <c r="E229" i="36"/>
  <c r="E231" i="36"/>
  <c r="E230" i="36"/>
  <c r="E234" i="36"/>
  <c r="E238" i="36"/>
  <c r="E242" i="36"/>
  <c r="E246" i="36"/>
  <c r="E249" i="36"/>
  <c r="E251" i="36"/>
  <c r="E253" i="36"/>
  <c r="E255" i="36"/>
  <c r="E257" i="36"/>
  <c r="E261" i="36"/>
  <c r="E265" i="36"/>
  <c r="E269" i="36"/>
  <c r="E273" i="36"/>
  <c r="E277" i="36"/>
  <c r="E281" i="36"/>
  <c r="E282" i="36"/>
  <c r="E284" i="36"/>
  <c r="E286" i="36"/>
  <c r="E288" i="36"/>
  <c r="E290" i="36"/>
  <c r="E292" i="36"/>
  <c r="E294" i="36"/>
  <c r="E296" i="36"/>
  <c r="E298" i="36"/>
  <c r="E300" i="36"/>
  <c r="E302" i="36"/>
  <c r="E304" i="36"/>
  <c r="E306" i="36"/>
  <c r="E308" i="36"/>
  <c r="E310" i="36"/>
  <c r="E312" i="36"/>
  <c r="E314" i="36"/>
  <c r="E316" i="36"/>
  <c r="E233" i="36"/>
  <c r="E235" i="36"/>
  <c r="E237" i="36"/>
  <c r="E239" i="36"/>
  <c r="E241" i="36"/>
  <c r="E243" i="36"/>
  <c r="E245" i="36"/>
  <c r="E247" i="36"/>
  <c r="E250" i="36"/>
  <c r="E252" i="36"/>
  <c r="E254" i="36"/>
  <c r="E256" i="36"/>
  <c r="E258" i="36"/>
  <c r="E260" i="36"/>
  <c r="E262" i="36"/>
  <c r="E264" i="36"/>
  <c r="E266" i="36"/>
  <c r="E268" i="36"/>
  <c r="E270" i="36"/>
  <c r="E272" i="36"/>
  <c r="E274" i="36"/>
  <c r="E276" i="36"/>
  <c r="E278" i="36"/>
  <c r="E280" i="36"/>
  <c r="E283" i="36"/>
  <c r="E285" i="36"/>
  <c r="E287" i="36"/>
  <c r="E289" i="36"/>
  <c r="E291" i="36"/>
  <c r="E293" i="36"/>
  <c r="E295" i="36"/>
  <c r="E297" i="36"/>
  <c r="E299" i="36"/>
  <c r="E301" i="36"/>
  <c r="E303" i="36"/>
  <c r="E305" i="36"/>
  <c r="E307" i="36"/>
  <c r="E309" i="36"/>
  <c r="E311" i="36"/>
  <c r="E313" i="36"/>
  <c r="E315" i="36"/>
  <c r="E244" i="36"/>
  <c r="E236" i="36"/>
  <c r="E228" i="36"/>
  <c r="E220" i="36"/>
  <c r="E212" i="36"/>
  <c r="E275" i="36"/>
  <c r="E267" i="36"/>
  <c r="E259" i="36"/>
  <c r="E124" i="36"/>
  <c r="E116" i="36"/>
  <c r="E65" i="36"/>
  <c r="E35" i="36"/>
  <c r="E240" i="36"/>
  <c r="E232" i="36"/>
  <c r="E224" i="36"/>
  <c r="E216" i="36"/>
  <c r="E208" i="36"/>
  <c r="E279" i="36"/>
  <c r="E271" i="36"/>
  <c r="E263" i="36"/>
  <c r="E248" i="36"/>
  <c r="K248" i="36" s="1"/>
  <c r="F256" i="34" s="1"/>
  <c r="E128" i="36"/>
  <c r="E120" i="36"/>
  <c r="E112" i="36"/>
  <c r="E61" i="36"/>
  <c r="E39" i="36"/>
  <c r="K7" i="13"/>
  <c r="H315" i="13"/>
  <c r="K315" i="13" s="1"/>
  <c r="G314" i="11"/>
  <c r="C314" i="25"/>
  <c r="E314" i="49"/>
  <c r="C307" i="25"/>
  <c r="E307" i="49"/>
  <c r="C303" i="25"/>
  <c r="E303" i="49"/>
  <c r="C292" i="25"/>
  <c r="E292" i="49"/>
  <c r="C284" i="25"/>
  <c r="E284" i="49"/>
  <c r="C268" i="25"/>
  <c r="E268" i="49"/>
  <c r="C260" i="25"/>
  <c r="E260" i="49"/>
  <c r="C252" i="25"/>
  <c r="E252" i="49"/>
  <c r="C230" i="25"/>
  <c r="E230" i="49"/>
  <c r="C226" i="25"/>
  <c r="E226" i="49"/>
  <c r="C207" i="25"/>
  <c r="E207" i="49"/>
  <c r="C187" i="25"/>
  <c r="E187" i="49"/>
  <c r="C179" i="25"/>
  <c r="E179" i="49"/>
  <c r="C160" i="25"/>
  <c r="E160" i="49"/>
  <c r="C156" i="25"/>
  <c r="E156" i="49"/>
  <c r="C148" i="25"/>
  <c r="E148" i="49"/>
  <c r="C140" i="25"/>
  <c r="E140" i="49"/>
  <c r="C124" i="25"/>
  <c r="E124" i="49"/>
  <c r="C116" i="25"/>
  <c r="E116" i="49"/>
  <c r="C112" i="25"/>
  <c r="E112" i="49"/>
  <c r="C104" i="25"/>
  <c r="E104" i="49"/>
  <c r="C100" i="25"/>
  <c r="E100" i="49"/>
  <c r="C92" i="25"/>
  <c r="E92" i="49"/>
  <c r="C84" i="25"/>
  <c r="E84" i="49"/>
  <c r="C76" i="25"/>
  <c r="E76" i="49"/>
  <c r="C68" i="25"/>
  <c r="E68" i="49"/>
  <c r="C60" i="25"/>
  <c r="E60" i="49"/>
  <c r="C52" i="25"/>
  <c r="E52" i="49"/>
  <c r="C44" i="25"/>
  <c r="E44" i="49"/>
  <c r="C36" i="25"/>
  <c r="E36" i="49"/>
  <c r="C20" i="25"/>
  <c r="E20" i="49"/>
  <c r="C16" i="25"/>
  <c r="E16" i="49"/>
  <c r="C8" i="25"/>
  <c r="E8" i="49"/>
  <c r="C306" i="25"/>
  <c r="E306" i="49"/>
  <c r="C291" i="25"/>
  <c r="E291" i="49"/>
  <c r="C283" i="25"/>
  <c r="E283" i="49"/>
  <c r="C279" i="25"/>
  <c r="E279" i="49"/>
  <c r="C271" i="25"/>
  <c r="E271" i="49"/>
  <c r="C263" i="25"/>
  <c r="E263" i="49"/>
  <c r="C255" i="25"/>
  <c r="E255" i="49"/>
  <c r="C251" i="25"/>
  <c r="E251" i="49"/>
  <c r="C236" i="25"/>
  <c r="E236" i="49"/>
  <c r="C233" i="25"/>
  <c r="E233" i="49"/>
  <c r="C214" i="25"/>
  <c r="E214" i="49"/>
  <c r="C206" i="25"/>
  <c r="E206" i="49"/>
  <c r="C198" i="25"/>
  <c r="E198" i="49"/>
  <c r="C186" i="25"/>
  <c r="E186" i="49"/>
  <c r="C178" i="25"/>
  <c r="E178" i="49"/>
  <c r="C159" i="25"/>
  <c r="E159" i="49"/>
  <c r="C151" i="25"/>
  <c r="E151" i="49"/>
  <c r="C59" i="25"/>
  <c r="E59" i="49"/>
  <c r="C51" i="25"/>
  <c r="E51" i="49"/>
  <c r="C7" i="25"/>
  <c r="E7" i="49"/>
  <c r="C309" i="25"/>
  <c r="E309" i="49"/>
  <c r="C305" i="25"/>
  <c r="E305" i="49"/>
  <c r="C294" i="25"/>
  <c r="E294" i="49"/>
  <c r="C290" i="25"/>
  <c r="E290" i="49"/>
  <c r="C286" i="25"/>
  <c r="E286" i="49"/>
  <c r="C282" i="25"/>
  <c r="E282" i="49"/>
  <c r="C278" i="25"/>
  <c r="E278" i="49"/>
  <c r="C274" i="25"/>
  <c r="E274" i="49"/>
  <c r="C266" i="25"/>
  <c r="E266" i="49"/>
  <c r="C262" i="25"/>
  <c r="E262" i="49"/>
  <c r="C258" i="25"/>
  <c r="E258" i="49"/>
  <c r="C254" i="25"/>
  <c r="E254" i="49"/>
  <c r="C250" i="25"/>
  <c r="E250" i="49"/>
  <c r="C241" i="25"/>
  <c r="E241" i="49"/>
  <c r="C235" i="25"/>
  <c r="E235" i="49"/>
  <c r="C232" i="25"/>
  <c r="E232" i="49"/>
  <c r="C228" i="25"/>
  <c r="E228" i="49"/>
  <c r="C224" i="25"/>
  <c r="E224" i="49"/>
  <c r="C217" i="25"/>
  <c r="E217" i="49"/>
  <c r="C213" i="25"/>
  <c r="E213" i="49"/>
  <c r="C209" i="25"/>
  <c r="E209" i="49"/>
  <c r="C205" i="25"/>
  <c r="E205" i="49"/>
  <c r="C201" i="25"/>
  <c r="E201" i="49"/>
  <c r="C193" i="25"/>
  <c r="E193" i="49"/>
  <c r="C189" i="25"/>
  <c r="E189" i="49"/>
  <c r="C185" i="25"/>
  <c r="E185" i="49"/>
  <c r="C181" i="25"/>
  <c r="E181" i="49"/>
  <c r="C177" i="25"/>
  <c r="E177" i="49"/>
  <c r="C174" i="25"/>
  <c r="E174" i="49"/>
  <c r="C167" i="25"/>
  <c r="E167" i="49"/>
  <c r="C165" i="25"/>
  <c r="E165" i="49"/>
  <c r="C162" i="25"/>
  <c r="E162" i="49"/>
  <c r="C158" i="25"/>
  <c r="E158" i="49"/>
  <c r="C154" i="25"/>
  <c r="E154" i="49"/>
  <c r="C150" i="25"/>
  <c r="E150" i="49"/>
  <c r="C138" i="25"/>
  <c r="E138" i="49"/>
  <c r="C130" i="25"/>
  <c r="E130" i="49"/>
  <c r="C126" i="25"/>
  <c r="E126" i="49"/>
  <c r="C122" i="25"/>
  <c r="E122" i="49"/>
  <c r="C114" i="25"/>
  <c r="E114" i="49"/>
  <c r="C110" i="25"/>
  <c r="E110" i="49"/>
  <c r="C106" i="25"/>
  <c r="E106" i="49"/>
  <c r="C102" i="25"/>
  <c r="E102" i="49"/>
  <c r="C98" i="25"/>
  <c r="E98" i="49"/>
  <c r="C94" i="25"/>
  <c r="E94" i="49"/>
  <c r="C90" i="25"/>
  <c r="E90" i="49"/>
  <c r="C82" i="25"/>
  <c r="E82" i="49"/>
  <c r="C78" i="25"/>
  <c r="E78" i="49"/>
  <c r="C74" i="25"/>
  <c r="E74" i="49"/>
  <c r="C70" i="25"/>
  <c r="E70" i="49"/>
  <c r="C66" i="25"/>
  <c r="E66" i="49"/>
  <c r="C62" i="25"/>
  <c r="E62" i="49"/>
  <c r="C58" i="25"/>
  <c r="E58" i="49"/>
  <c r="C54" i="25"/>
  <c r="E54" i="49"/>
  <c r="C50" i="25"/>
  <c r="E50" i="49"/>
  <c r="C46" i="25"/>
  <c r="E46" i="49"/>
  <c r="C42" i="25"/>
  <c r="E42" i="49"/>
  <c r="C38" i="25"/>
  <c r="E38" i="49"/>
  <c r="C34" i="25"/>
  <c r="E34" i="49"/>
  <c r="C30" i="25"/>
  <c r="E30" i="49"/>
  <c r="C26" i="25"/>
  <c r="E26" i="49"/>
  <c r="C22" i="25"/>
  <c r="E22" i="49"/>
  <c r="C18" i="25"/>
  <c r="E18" i="49"/>
  <c r="C14" i="25"/>
  <c r="E14" i="49"/>
  <c r="C10" i="25"/>
  <c r="E10" i="49"/>
  <c r="C6" i="25"/>
  <c r="E6" i="49"/>
  <c r="C311" i="25"/>
  <c r="E311" i="49"/>
  <c r="C299" i="25"/>
  <c r="E299" i="49"/>
  <c r="C280" i="25"/>
  <c r="E280" i="49"/>
  <c r="C272" i="25"/>
  <c r="E272" i="49"/>
  <c r="C264" i="25"/>
  <c r="E264" i="49"/>
  <c r="C248" i="25"/>
  <c r="E248" i="49"/>
  <c r="C211" i="25"/>
  <c r="E211" i="49"/>
  <c r="C203" i="25"/>
  <c r="E203" i="49"/>
  <c r="C191" i="25"/>
  <c r="E191" i="49"/>
  <c r="C175" i="25"/>
  <c r="E175" i="49"/>
  <c r="C172" i="25"/>
  <c r="E172" i="49"/>
  <c r="C144" i="25"/>
  <c r="E144" i="49"/>
  <c r="C108" i="25"/>
  <c r="E108" i="49"/>
  <c r="C88" i="25"/>
  <c r="E88" i="49"/>
  <c r="C80" i="25"/>
  <c r="E80" i="49"/>
  <c r="C72" i="25"/>
  <c r="E72" i="49"/>
  <c r="C64" i="25"/>
  <c r="E64" i="49"/>
  <c r="C56" i="25"/>
  <c r="E56" i="49"/>
  <c r="C48" i="25"/>
  <c r="E48" i="49"/>
  <c r="C40" i="25"/>
  <c r="E40" i="49"/>
  <c r="C32" i="25"/>
  <c r="E32" i="49"/>
  <c r="C12" i="25"/>
  <c r="E12" i="49"/>
  <c r="C310" i="25"/>
  <c r="E310" i="49"/>
  <c r="C302" i="25"/>
  <c r="E302" i="49"/>
  <c r="C298" i="25"/>
  <c r="E298" i="49"/>
  <c r="C295" i="25"/>
  <c r="E295" i="49"/>
  <c r="C287" i="25"/>
  <c r="E287" i="49"/>
  <c r="C275" i="25"/>
  <c r="E275" i="49"/>
  <c r="C267" i="25"/>
  <c r="E267" i="49"/>
  <c r="C259" i="25"/>
  <c r="E259" i="49"/>
  <c r="C247" i="25"/>
  <c r="E247" i="49"/>
  <c r="C238" i="25"/>
  <c r="E238" i="49"/>
  <c r="C225" i="25"/>
  <c r="E225" i="49"/>
  <c r="C218" i="25"/>
  <c r="E218" i="49"/>
  <c r="C210" i="25"/>
  <c r="E210" i="49"/>
  <c r="C202" i="25"/>
  <c r="E202" i="49"/>
  <c r="C194" i="25"/>
  <c r="E194" i="49"/>
  <c r="C190" i="25"/>
  <c r="E190" i="49"/>
  <c r="C182" i="25"/>
  <c r="E182" i="49"/>
  <c r="C163" i="25"/>
  <c r="E163" i="49"/>
  <c r="C155" i="25"/>
  <c r="E155" i="49"/>
  <c r="C147" i="25"/>
  <c r="E147" i="49"/>
  <c r="C135" i="25"/>
  <c r="E135" i="49"/>
  <c r="C47" i="25"/>
  <c r="E47" i="49"/>
  <c r="D315" i="49"/>
  <c r="C308" i="25"/>
  <c r="E308" i="49"/>
  <c r="C300" i="25"/>
  <c r="E300" i="49"/>
  <c r="C285" i="25"/>
  <c r="E285" i="49"/>
  <c r="C281" i="25"/>
  <c r="E281" i="49"/>
  <c r="C277" i="25"/>
  <c r="E277" i="49"/>
  <c r="C273" i="25"/>
  <c r="E273" i="49"/>
  <c r="C265" i="25"/>
  <c r="E265" i="49"/>
  <c r="C253" i="25"/>
  <c r="E253" i="49"/>
  <c r="C249" i="25"/>
  <c r="E249" i="49"/>
  <c r="C240" i="25"/>
  <c r="E240" i="49"/>
  <c r="C237" i="25"/>
  <c r="E237" i="49"/>
  <c r="C231" i="25"/>
  <c r="E231" i="49"/>
  <c r="C223" i="25"/>
  <c r="E223" i="49"/>
  <c r="C216" i="25"/>
  <c r="E216" i="49"/>
  <c r="C212" i="25"/>
  <c r="E212" i="49"/>
  <c r="C208" i="25"/>
  <c r="E208" i="49"/>
  <c r="C204" i="25"/>
  <c r="E204" i="49"/>
  <c r="C200" i="25"/>
  <c r="E200" i="49"/>
  <c r="C192" i="25"/>
  <c r="E192" i="49"/>
  <c r="C188" i="25"/>
  <c r="E188" i="49"/>
  <c r="C184" i="25"/>
  <c r="E184" i="49"/>
  <c r="C176" i="25"/>
  <c r="E176" i="49"/>
  <c r="C169" i="25"/>
  <c r="E169" i="49"/>
  <c r="C166" i="25"/>
  <c r="E166" i="49"/>
  <c r="C164" i="25"/>
  <c r="E164" i="49"/>
  <c r="C161" i="25"/>
  <c r="E161" i="49"/>
  <c r="C157" i="25"/>
  <c r="E157" i="49"/>
  <c r="C153" i="25"/>
  <c r="E153" i="49"/>
  <c r="C145" i="25"/>
  <c r="E145" i="49"/>
  <c r="C141" i="25"/>
  <c r="E141" i="49"/>
  <c r="C137" i="25"/>
  <c r="E137" i="49"/>
  <c r="C133" i="25"/>
  <c r="E133" i="49"/>
  <c r="C129" i="25"/>
  <c r="E129" i="49"/>
  <c r="C125" i="25"/>
  <c r="E125" i="49"/>
  <c r="C117" i="25"/>
  <c r="E117" i="49"/>
  <c r="C113" i="25"/>
  <c r="E113" i="49"/>
  <c r="C109" i="25"/>
  <c r="E109" i="49"/>
  <c r="C105" i="25"/>
  <c r="E105" i="49"/>
  <c r="C101" i="25"/>
  <c r="E101" i="49"/>
  <c r="C97" i="25"/>
  <c r="E97" i="49"/>
  <c r="C93" i="25"/>
  <c r="E93" i="49"/>
  <c r="C89" i="25"/>
  <c r="E89" i="49"/>
  <c r="C85" i="25"/>
  <c r="E85" i="49"/>
  <c r="C81" i="25"/>
  <c r="E81" i="49"/>
  <c r="C77" i="25"/>
  <c r="E77" i="49"/>
  <c r="C73" i="25"/>
  <c r="E73" i="49"/>
  <c r="C69" i="25"/>
  <c r="E69" i="49"/>
  <c r="C65" i="25"/>
  <c r="E65" i="49"/>
  <c r="C61" i="25"/>
  <c r="E61" i="49"/>
  <c r="C57" i="25"/>
  <c r="E57" i="49"/>
  <c r="C53" i="25"/>
  <c r="E53" i="49"/>
  <c r="C49" i="25"/>
  <c r="E49" i="49"/>
  <c r="C45" i="25"/>
  <c r="E45" i="49"/>
  <c r="C41" i="25"/>
  <c r="E41" i="49"/>
  <c r="C37" i="25"/>
  <c r="E37" i="49"/>
  <c r="C33" i="25"/>
  <c r="E33" i="49"/>
  <c r="C29" i="25"/>
  <c r="E29" i="49"/>
  <c r="C25" i="25"/>
  <c r="E25" i="49"/>
  <c r="C21" i="25"/>
  <c r="E21" i="49"/>
  <c r="C17" i="25"/>
  <c r="E17" i="49"/>
  <c r="C13" i="25"/>
  <c r="E13" i="49"/>
  <c r="C9" i="25"/>
  <c r="E9" i="49"/>
  <c r="D313" i="25"/>
  <c r="D309" i="25"/>
  <c r="D305" i="25"/>
  <c r="D301" i="25"/>
  <c r="D297" i="25"/>
  <c r="D294" i="25"/>
  <c r="D290" i="25"/>
  <c r="D286" i="25"/>
  <c r="D282" i="25"/>
  <c r="D278" i="25"/>
  <c r="D274" i="25"/>
  <c r="D270" i="25"/>
  <c r="D266" i="25"/>
  <c r="D262" i="25"/>
  <c r="D258" i="25"/>
  <c r="D254" i="25"/>
  <c r="D250" i="25"/>
  <c r="D246" i="25"/>
  <c r="D241" i="25"/>
  <c r="D235" i="25"/>
  <c r="D232" i="25"/>
  <c r="D228" i="25"/>
  <c r="D224" i="25"/>
  <c r="D217" i="25"/>
  <c r="D213" i="25"/>
  <c r="D209" i="25"/>
  <c r="D205" i="25"/>
  <c r="D201" i="25"/>
  <c r="D197" i="25"/>
  <c r="D193" i="25"/>
  <c r="D189" i="25"/>
  <c r="D185" i="25"/>
  <c r="D181" i="25"/>
  <c r="D177" i="25"/>
  <c r="D174" i="25"/>
  <c r="D167" i="25"/>
  <c r="D165" i="25"/>
  <c r="D162" i="25"/>
  <c r="D158" i="25"/>
  <c r="D154" i="25"/>
  <c r="D150" i="25"/>
  <c r="D146" i="25"/>
  <c r="D142" i="25"/>
  <c r="D138" i="25"/>
  <c r="D134" i="25"/>
  <c r="D130" i="25"/>
  <c r="D126" i="25"/>
  <c r="D122" i="25"/>
  <c r="D118" i="25"/>
  <c r="D114" i="25"/>
  <c r="D110" i="25"/>
  <c r="D106" i="25"/>
  <c r="D102" i="25"/>
  <c r="D98" i="25"/>
  <c r="D94" i="25"/>
  <c r="D90" i="25"/>
  <c r="D86" i="25"/>
  <c r="D82" i="25"/>
  <c r="D78" i="25"/>
  <c r="D74" i="25"/>
  <c r="D70" i="25"/>
  <c r="D66" i="25"/>
  <c r="D62" i="25"/>
  <c r="D58" i="25"/>
  <c r="D54" i="25"/>
  <c r="D50" i="25"/>
  <c r="D46" i="25"/>
  <c r="D42" i="25"/>
  <c r="D38" i="25"/>
  <c r="D34" i="25"/>
  <c r="D30" i="25"/>
  <c r="D26" i="25"/>
  <c r="D22" i="25"/>
  <c r="D18" i="25"/>
  <c r="D14" i="25"/>
  <c r="D10" i="25"/>
  <c r="D6" i="25"/>
  <c r="D5" i="33"/>
  <c r="C312" i="25"/>
  <c r="C304" i="25"/>
  <c r="C293" i="25"/>
  <c r="L289" i="13"/>
  <c r="M289" i="13" s="1"/>
  <c r="C289" i="25"/>
  <c r="C269" i="25"/>
  <c r="C261" i="25"/>
  <c r="L257" i="13"/>
  <c r="M257" i="13" s="1"/>
  <c r="C257" i="25"/>
  <c r="L245" i="13"/>
  <c r="M245" i="13" s="1"/>
  <c r="C245" i="25"/>
  <c r="C227" i="25"/>
  <c r="C220" i="25"/>
  <c r="L196" i="13"/>
  <c r="M196" i="13" s="1"/>
  <c r="C196" i="25"/>
  <c r="L180" i="13"/>
  <c r="M180" i="13" s="1"/>
  <c r="C180" i="25"/>
  <c r="C173" i="25"/>
  <c r="L149" i="13"/>
  <c r="M149" i="13" s="1"/>
  <c r="C149" i="25"/>
  <c r="L121" i="13"/>
  <c r="M121" i="13" s="1"/>
  <c r="C121" i="25"/>
  <c r="D312" i="25"/>
  <c r="D308" i="25"/>
  <c r="D304" i="25"/>
  <c r="D300" i="25"/>
  <c r="D293" i="25"/>
  <c r="D289" i="25"/>
  <c r="D285" i="25"/>
  <c r="D281" i="25"/>
  <c r="D277" i="25"/>
  <c r="D273" i="25"/>
  <c r="D269" i="25"/>
  <c r="D265" i="25"/>
  <c r="D261" i="25"/>
  <c r="D257" i="25"/>
  <c r="D253" i="25"/>
  <c r="D249" i="25"/>
  <c r="D245" i="25"/>
  <c r="D240" i="25"/>
  <c r="D237" i="25"/>
  <c r="D231" i="25"/>
  <c r="D227" i="25"/>
  <c r="D223" i="25"/>
  <c r="D220" i="25"/>
  <c r="D216" i="25"/>
  <c r="D212" i="25"/>
  <c r="D208" i="25"/>
  <c r="D204" i="25"/>
  <c r="D200" i="25"/>
  <c r="D196" i="25"/>
  <c r="D192" i="25"/>
  <c r="D188" i="25"/>
  <c r="D184" i="25"/>
  <c r="D180" i="25"/>
  <c r="D176" i="25"/>
  <c r="D173" i="25"/>
  <c r="D169" i="25"/>
  <c r="D166" i="25"/>
  <c r="D164" i="25"/>
  <c r="D161" i="25"/>
  <c r="D157" i="25"/>
  <c r="D153" i="25"/>
  <c r="D149" i="25"/>
  <c r="D145" i="25"/>
  <c r="D141" i="25"/>
  <c r="D137" i="25"/>
  <c r="D133" i="25"/>
  <c r="D129" i="25"/>
  <c r="D125" i="25"/>
  <c r="D121" i="25"/>
  <c r="D117" i="25"/>
  <c r="D113" i="25"/>
  <c r="D109" i="25"/>
  <c r="D105" i="25"/>
  <c r="D101" i="25"/>
  <c r="D97" i="25"/>
  <c r="D93" i="25"/>
  <c r="D89" i="25"/>
  <c r="D85" i="25"/>
  <c r="D81" i="25"/>
  <c r="D77" i="25"/>
  <c r="D73" i="25"/>
  <c r="D69" i="25"/>
  <c r="D65" i="25"/>
  <c r="D61" i="25"/>
  <c r="D57" i="25"/>
  <c r="D53" i="25"/>
  <c r="D49" i="25"/>
  <c r="D45" i="25"/>
  <c r="D41" i="25"/>
  <c r="D37" i="25"/>
  <c r="D33" i="25"/>
  <c r="D29" i="25"/>
  <c r="D25" i="25"/>
  <c r="D21" i="25"/>
  <c r="D17" i="25"/>
  <c r="D13" i="25"/>
  <c r="D9" i="25"/>
  <c r="L296" i="13"/>
  <c r="M296" i="13" s="1"/>
  <c r="C296" i="25"/>
  <c r="C288" i="25"/>
  <c r="L276" i="13"/>
  <c r="M276" i="13" s="1"/>
  <c r="C276" i="25"/>
  <c r="L256" i="13"/>
  <c r="M256" i="13" s="1"/>
  <c r="C256" i="25"/>
  <c r="L243" i="13"/>
  <c r="M243" i="13" s="1"/>
  <c r="C243" i="25"/>
  <c r="C239" i="25"/>
  <c r="L234" i="13"/>
  <c r="M234" i="13" s="1"/>
  <c r="C234" i="25"/>
  <c r="L222" i="13"/>
  <c r="M222" i="13" s="1"/>
  <c r="C222" i="25"/>
  <c r="L215" i="13"/>
  <c r="M215" i="13" s="1"/>
  <c r="C215" i="25"/>
  <c r="L199" i="13"/>
  <c r="M199" i="13" s="1"/>
  <c r="C199" i="25"/>
  <c r="C195" i="25"/>
  <c r="C183" i="25"/>
  <c r="L168" i="13"/>
  <c r="M168" i="13" s="1"/>
  <c r="C168" i="25"/>
  <c r="L152" i="13"/>
  <c r="M152" i="13" s="1"/>
  <c r="C152" i="25"/>
  <c r="C136" i="25"/>
  <c r="L132" i="13"/>
  <c r="M132" i="13" s="1"/>
  <c r="C132" i="25"/>
  <c r="L128" i="13"/>
  <c r="M128" i="13" s="1"/>
  <c r="C128" i="25"/>
  <c r="L120" i="13"/>
  <c r="M120" i="13" s="1"/>
  <c r="C120" i="25"/>
  <c r="L96" i="13"/>
  <c r="C96" i="25"/>
  <c r="C28" i="25"/>
  <c r="C24" i="25"/>
  <c r="D311" i="25"/>
  <c r="D307" i="25"/>
  <c r="D303" i="25"/>
  <c r="D299" i="25"/>
  <c r="D296" i="25"/>
  <c r="D292" i="25"/>
  <c r="D288" i="25"/>
  <c r="D284" i="25"/>
  <c r="D280" i="25"/>
  <c r="D276" i="25"/>
  <c r="D272" i="25"/>
  <c r="D268" i="25"/>
  <c r="D264" i="25"/>
  <c r="D260" i="25"/>
  <c r="D256" i="25"/>
  <c r="D252" i="25"/>
  <c r="D248" i="25"/>
  <c r="D243" i="25"/>
  <c r="D239" i="25"/>
  <c r="D234" i="25"/>
  <c r="D230" i="25"/>
  <c r="D226" i="25"/>
  <c r="D222" i="25"/>
  <c r="D215" i="25"/>
  <c r="D211" i="25"/>
  <c r="D207" i="25"/>
  <c r="D203" i="25"/>
  <c r="D199" i="25"/>
  <c r="D195" i="25"/>
  <c r="D191" i="25"/>
  <c r="D187" i="25"/>
  <c r="D183" i="25"/>
  <c r="D179" i="25"/>
  <c r="D175" i="25"/>
  <c r="D172" i="25"/>
  <c r="D168" i="25"/>
  <c r="D160" i="25"/>
  <c r="D156" i="25"/>
  <c r="D152" i="25"/>
  <c r="D148" i="25"/>
  <c r="D144" i="25"/>
  <c r="D140" i="25"/>
  <c r="D136" i="25"/>
  <c r="D132" i="25"/>
  <c r="D128" i="25"/>
  <c r="D124" i="25"/>
  <c r="D120" i="25"/>
  <c r="D116" i="25"/>
  <c r="D112" i="25"/>
  <c r="D108" i="25"/>
  <c r="D104" i="25"/>
  <c r="D100" i="25"/>
  <c r="D96" i="25"/>
  <c r="D92" i="25"/>
  <c r="D88" i="25"/>
  <c r="D84" i="25"/>
  <c r="D80" i="25"/>
  <c r="D76" i="25"/>
  <c r="D72" i="25"/>
  <c r="D68" i="25"/>
  <c r="D64" i="25"/>
  <c r="D60" i="25"/>
  <c r="D56" i="25"/>
  <c r="D52" i="25"/>
  <c r="D48" i="25"/>
  <c r="D44" i="25"/>
  <c r="D40" i="25"/>
  <c r="D36" i="25"/>
  <c r="D32" i="25"/>
  <c r="D28" i="25"/>
  <c r="D24" i="25"/>
  <c r="D20" i="25"/>
  <c r="D16" i="25"/>
  <c r="D12" i="25"/>
  <c r="D8" i="25"/>
  <c r="L242" i="13"/>
  <c r="M242" i="13" s="1"/>
  <c r="C242" i="25"/>
  <c r="L229" i="13"/>
  <c r="M229" i="13" s="1"/>
  <c r="C229" i="25"/>
  <c r="L221" i="13"/>
  <c r="M221" i="13" s="1"/>
  <c r="C221" i="25"/>
  <c r="L171" i="13"/>
  <c r="M171" i="13" s="1"/>
  <c r="C171" i="25"/>
  <c r="C143" i="25"/>
  <c r="L139" i="13"/>
  <c r="M139" i="13" s="1"/>
  <c r="C139" i="25"/>
  <c r="C131" i="25"/>
  <c r="L127" i="13"/>
  <c r="M127" i="13" s="1"/>
  <c r="C127" i="25"/>
  <c r="C123" i="25"/>
  <c r="L119" i="13"/>
  <c r="M119" i="13" s="1"/>
  <c r="C119" i="25"/>
  <c r="C115" i="25"/>
  <c r="L111" i="13"/>
  <c r="M111" i="13" s="1"/>
  <c r="C111" i="25"/>
  <c r="C107" i="25"/>
  <c r="L103" i="13"/>
  <c r="M103" i="13" s="1"/>
  <c r="C103" i="25"/>
  <c r="C99" i="25"/>
  <c r="L95" i="13"/>
  <c r="M95" i="13" s="1"/>
  <c r="C95" i="25"/>
  <c r="C91" i="25"/>
  <c r="L87" i="13"/>
  <c r="M87" i="13" s="1"/>
  <c r="C87" i="25"/>
  <c r="L83" i="13"/>
  <c r="M83" i="13" s="1"/>
  <c r="C83" i="25"/>
  <c r="C79" i="25"/>
  <c r="L75" i="13"/>
  <c r="M75" i="13" s="1"/>
  <c r="C75" i="25"/>
  <c r="C71" i="25"/>
  <c r="L67" i="13"/>
  <c r="M67" i="13" s="1"/>
  <c r="C67" i="25"/>
  <c r="L63" i="13"/>
  <c r="M63" i="13" s="1"/>
  <c r="C63" i="25"/>
  <c r="L55" i="13"/>
  <c r="M55" i="13" s="1"/>
  <c r="C55" i="25"/>
  <c r="C43" i="25"/>
  <c r="L39" i="13"/>
  <c r="M39" i="13" s="1"/>
  <c r="C39" i="25"/>
  <c r="C35" i="25"/>
  <c r="L31" i="13"/>
  <c r="M31" i="13" s="1"/>
  <c r="C31" i="25"/>
  <c r="L27" i="13"/>
  <c r="M27" i="13" s="1"/>
  <c r="C27" i="25"/>
  <c r="L23" i="13"/>
  <c r="M23" i="13" s="1"/>
  <c r="C23" i="25"/>
  <c r="L19" i="13"/>
  <c r="M19" i="13" s="1"/>
  <c r="C19" i="25"/>
  <c r="C15" i="25"/>
  <c r="C11" i="25"/>
  <c r="D314" i="25"/>
  <c r="D310" i="25"/>
  <c r="D306" i="25"/>
  <c r="D302" i="25"/>
  <c r="D298" i="25"/>
  <c r="D295" i="25"/>
  <c r="D291" i="25"/>
  <c r="D287" i="25"/>
  <c r="D283" i="25"/>
  <c r="D279" i="25"/>
  <c r="D275" i="25"/>
  <c r="D271" i="25"/>
  <c r="D267" i="25"/>
  <c r="D263" i="25"/>
  <c r="D259" i="25"/>
  <c r="D255" i="25"/>
  <c r="D251" i="25"/>
  <c r="D247" i="25"/>
  <c r="D242" i="25"/>
  <c r="D238" i="25"/>
  <c r="D236" i="25"/>
  <c r="D233" i="25"/>
  <c r="D229" i="25"/>
  <c r="D225" i="25"/>
  <c r="D221" i="25"/>
  <c r="D218" i="25"/>
  <c r="D214" i="25"/>
  <c r="D210" i="25"/>
  <c r="D206" i="25"/>
  <c r="D202" i="25"/>
  <c r="D198" i="25"/>
  <c r="D194" i="25"/>
  <c r="D190" i="25"/>
  <c r="D186" i="25"/>
  <c r="D182" i="25"/>
  <c r="D178" i="25"/>
  <c r="D171" i="25"/>
  <c r="D163" i="25"/>
  <c r="D159" i="25"/>
  <c r="D155" i="25"/>
  <c r="D151" i="25"/>
  <c r="D147" i="25"/>
  <c r="D143" i="25"/>
  <c r="D139" i="25"/>
  <c r="D135" i="25"/>
  <c r="D131" i="25"/>
  <c r="D127" i="25"/>
  <c r="D123" i="25"/>
  <c r="D119" i="25"/>
  <c r="D115" i="25"/>
  <c r="D111" i="25"/>
  <c r="D107" i="25"/>
  <c r="D103" i="25"/>
  <c r="D99" i="25"/>
  <c r="D95" i="25"/>
  <c r="D91" i="25"/>
  <c r="D87" i="25"/>
  <c r="D83" i="25"/>
  <c r="D79" i="25"/>
  <c r="D75" i="25"/>
  <c r="D71" i="25"/>
  <c r="D67" i="25"/>
  <c r="D63" i="25"/>
  <c r="D59" i="25"/>
  <c r="D55" i="25"/>
  <c r="D51" i="25"/>
  <c r="D47" i="25"/>
  <c r="D43" i="25"/>
  <c r="D39" i="25"/>
  <c r="D35" i="25"/>
  <c r="D31" i="25"/>
  <c r="D27" i="25"/>
  <c r="D23" i="25"/>
  <c r="D19" i="25"/>
  <c r="D15" i="25"/>
  <c r="D11" i="25"/>
  <c r="D7" i="25"/>
  <c r="C313" i="25"/>
  <c r="C301" i="25"/>
  <c r="C297" i="25"/>
  <c r="C270" i="25"/>
  <c r="C246" i="25"/>
  <c r="C197" i="25"/>
  <c r="C146" i="25"/>
  <c r="C142" i="25"/>
  <c r="C134" i="25"/>
  <c r="L118" i="13"/>
  <c r="M118" i="13" s="1"/>
  <c r="C118" i="25"/>
  <c r="L86" i="13"/>
  <c r="M86" i="13" s="1"/>
  <c r="C86" i="25"/>
  <c r="AL316" i="42"/>
  <c r="B314" i="11"/>
  <c r="L135" i="13"/>
  <c r="M135" i="13" s="1"/>
  <c r="L59" i="13"/>
  <c r="M59" i="13" s="1"/>
  <c r="L51" i="13"/>
  <c r="M51" i="13" s="1"/>
  <c r="L8" i="13"/>
  <c r="M8" i="13" s="1"/>
  <c r="L143" i="13"/>
  <c r="M143" i="13" s="1"/>
  <c r="L131" i="13"/>
  <c r="M131" i="13" s="1"/>
  <c r="L123" i="13"/>
  <c r="M123" i="13" s="1"/>
  <c r="L115" i="13"/>
  <c r="M115" i="13" s="1"/>
  <c r="L107" i="13"/>
  <c r="M107" i="13" s="1"/>
  <c r="L99" i="13"/>
  <c r="M99" i="13" s="1"/>
  <c r="L91" i="13"/>
  <c r="M91" i="13" s="1"/>
  <c r="L79" i="13"/>
  <c r="M79" i="13" s="1"/>
  <c r="L71" i="13"/>
  <c r="M71" i="13" s="1"/>
  <c r="L47" i="13"/>
  <c r="M47" i="13" s="1"/>
  <c r="L43" i="13"/>
  <c r="M43" i="13" s="1"/>
  <c r="L35" i="13"/>
  <c r="M35" i="13" s="1"/>
  <c r="L15" i="13"/>
  <c r="M15" i="13" s="1"/>
  <c r="L11" i="13"/>
  <c r="M11" i="13" s="1"/>
  <c r="Y7" i="19"/>
  <c r="L175" i="13"/>
  <c r="M175" i="13" s="1"/>
  <c r="L272" i="13"/>
  <c r="M272" i="13" s="1"/>
  <c r="L299" i="13"/>
  <c r="M299" i="13" s="1"/>
  <c r="L191" i="13"/>
  <c r="M191" i="13" s="1"/>
  <c r="L68" i="13"/>
  <c r="M68" i="13" s="1"/>
  <c r="L36" i="13"/>
  <c r="M36" i="13" s="1"/>
  <c r="L277" i="13"/>
  <c r="M277" i="13" s="1"/>
  <c r="L249" i="13"/>
  <c r="M249" i="13" s="1"/>
  <c r="L240" i="13"/>
  <c r="M240" i="13" s="1"/>
  <c r="L314" i="13"/>
  <c r="M314" i="13" s="1"/>
  <c r="L307" i="13"/>
  <c r="M307" i="13" s="1"/>
  <c r="L303" i="13"/>
  <c r="M303" i="13" s="1"/>
  <c r="L284" i="13"/>
  <c r="M284" i="13" s="1"/>
  <c r="L260" i="13"/>
  <c r="M260" i="13" s="1"/>
  <c r="L252" i="13"/>
  <c r="M252" i="13" s="1"/>
  <c r="L239" i="13"/>
  <c r="M239" i="13" s="1"/>
  <c r="L226" i="13"/>
  <c r="M226" i="13" s="1"/>
  <c r="L207" i="13"/>
  <c r="M207" i="13" s="1"/>
  <c r="L183" i="13"/>
  <c r="M183" i="13" s="1"/>
  <c r="L172" i="13"/>
  <c r="M172" i="13" s="1"/>
  <c r="L60" i="13"/>
  <c r="M60" i="13" s="1"/>
  <c r="L56" i="13"/>
  <c r="M56" i="13" s="1"/>
  <c r="L48" i="13"/>
  <c r="M48" i="13" s="1"/>
  <c r="L28" i="13"/>
  <c r="M28" i="13" s="1"/>
  <c r="L16" i="13"/>
  <c r="M16" i="13" s="1"/>
  <c r="L248" i="13"/>
  <c r="M248" i="13" s="1"/>
  <c r="L230" i="13"/>
  <c r="M230" i="13" s="1"/>
  <c r="L264" i="13"/>
  <c r="M264" i="13" s="1"/>
  <c r="L311" i="13"/>
  <c r="M311" i="13" s="1"/>
  <c r="L292" i="13"/>
  <c r="M292" i="13" s="1"/>
  <c r="L288" i="13"/>
  <c r="M288" i="13" s="1"/>
  <c r="L280" i="13"/>
  <c r="M280" i="13" s="1"/>
  <c r="L268" i="13"/>
  <c r="M268" i="13" s="1"/>
  <c r="L211" i="13"/>
  <c r="M211" i="13" s="1"/>
  <c r="L203" i="13"/>
  <c r="M203" i="13" s="1"/>
  <c r="L195" i="13"/>
  <c r="M195" i="13" s="1"/>
  <c r="L187" i="13"/>
  <c r="M187" i="13" s="1"/>
  <c r="L44" i="13"/>
  <c r="M44" i="13" s="1"/>
  <c r="L24" i="13"/>
  <c r="M24" i="13" s="1"/>
  <c r="L179" i="13"/>
  <c r="M179" i="13" s="1"/>
  <c r="L162" i="13"/>
  <c r="M162" i="13" s="1"/>
  <c r="L154" i="13"/>
  <c r="M154" i="13" s="1"/>
  <c r="L146" i="13"/>
  <c r="M146" i="13" s="1"/>
  <c r="L138" i="13"/>
  <c r="M138" i="13" s="1"/>
  <c r="L130" i="13"/>
  <c r="M130" i="13" s="1"/>
  <c r="L114" i="13"/>
  <c r="M114" i="13" s="1"/>
  <c r="L106" i="13"/>
  <c r="M106" i="13" s="1"/>
  <c r="L98" i="13"/>
  <c r="M98" i="13" s="1"/>
  <c r="L90" i="13"/>
  <c r="M90" i="13" s="1"/>
  <c r="L82" i="13"/>
  <c r="M82" i="13" s="1"/>
  <c r="L122" i="13"/>
  <c r="M122" i="13" s="1"/>
  <c r="L304" i="13"/>
  <c r="M304" i="13" s="1"/>
  <c r="L158" i="13"/>
  <c r="M158" i="13" s="1"/>
  <c r="L150" i="13"/>
  <c r="M150" i="13" s="1"/>
  <c r="L142" i="13"/>
  <c r="M142" i="13" s="1"/>
  <c r="L134" i="13"/>
  <c r="M134" i="13" s="1"/>
  <c r="L102" i="13"/>
  <c r="M102" i="13" s="1"/>
  <c r="L94" i="13"/>
  <c r="M94" i="13" s="1"/>
  <c r="L78" i="13"/>
  <c r="M78" i="13" s="1"/>
  <c r="L110" i="13"/>
  <c r="M110" i="13" s="1"/>
  <c r="L312" i="13"/>
  <c r="M312" i="13" s="1"/>
  <c r="L308" i="13"/>
  <c r="M308" i="13" s="1"/>
  <c r="L300" i="13"/>
  <c r="M300" i="13" s="1"/>
  <c r="L126" i="13"/>
  <c r="M126" i="13" s="1"/>
  <c r="L285" i="13"/>
  <c r="M285" i="13" s="1"/>
  <c r="L269" i="13"/>
  <c r="M269" i="13" s="1"/>
  <c r="L261" i="13"/>
  <c r="M261" i="13" s="1"/>
  <c r="L253" i="13"/>
  <c r="M253" i="13" s="1"/>
  <c r="L216" i="13"/>
  <c r="M216" i="13" s="1"/>
  <c r="L208" i="13"/>
  <c r="M208" i="13" s="1"/>
  <c r="L192" i="13"/>
  <c r="M192" i="13" s="1"/>
  <c r="L173" i="13"/>
  <c r="M173" i="13" s="1"/>
  <c r="L169" i="13"/>
  <c r="M169" i="13" s="1"/>
  <c r="L164" i="13"/>
  <c r="M164" i="13" s="1"/>
  <c r="L161" i="13"/>
  <c r="M161" i="13" s="1"/>
  <c r="L176" i="13"/>
  <c r="M176" i="13" s="1"/>
  <c r="L293" i="13"/>
  <c r="M293" i="13" s="1"/>
  <c r="L281" i="13"/>
  <c r="M281" i="13" s="1"/>
  <c r="L273" i="13"/>
  <c r="M273" i="13" s="1"/>
  <c r="L265" i="13"/>
  <c r="M265" i="13" s="1"/>
  <c r="L237" i="13"/>
  <c r="M237" i="13" s="1"/>
  <c r="L227" i="13"/>
  <c r="M227" i="13" s="1"/>
  <c r="L220" i="13"/>
  <c r="M220" i="13" s="1"/>
  <c r="L212" i="13"/>
  <c r="M212" i="13" s="1"/>
  <c r="L204" i="13"/>
  <c r="M204" i="13" s="1"/>
  <c r="L188" i="13"/>
  <c r="M188" i="13" s="1"/>
  <c r="L166" i="13"/>
  <c r="M166" i="13" s="1"/>
  <c r="L157" i="13"/>
  <c r="M157" i="13" s="1"/>
  <c r="L200" i="13"/>
  <c r="M200" i="13" s="1"/>
  <c r="L231" i="13"/>
  <c r="M231" i="13" s="1"/>
  <c r="L223" i="13"/>
  <c r="M223" i="13" s="1"/>
  <c r="L184" i="13"/>
  <c r="M184" i="13" s="1"/>
  <c r="L153" i="13"/>
  <c r="M153" i="13" s="1"/>
  <c r="AB316" i="19"/>
  <c r="L13" i="13"/>
  <c r="M13" i="13" s="1"/>
  <c r="L20" i="13"/>
  <c r="M20" i="13" s="1"/>
  <c r="L72" i="13"/>
  <c r="M72" i="13" s="1"/>
  <c r="L64" i="13"/>
  <c r="M64" i="13" s="1"/>
  <c r="L52" i="13"/>
  <c r="M52" i="13" s="1"/>
  <c r="K316" i="19"/>
  <c r="E316" i="19"/>
  <c r="H195" i="49"/>
  <c r="I195" i="49" s="1"/>
  <c r="L12" i="13"/>
  <c r="M12" i="13" s="1"/>
  <c r="L40" i="13"/>
  <c r="M40" i="13" s="1"/>
  <c r="L32" i="13"/>
  <c r="M32" i="13" s="1"/>
  <c r="H165" i="49"/>
  <c r="H164" i="49"/>
  <c r="AI316" i="19"/>
  <c r="L38" i="13"/>
  <c r="M38" i="13" s="1"/>
  <c r="F316" i="19"/>
  <c r="AA316" i="19"/>
  <c r="M316" i="19"/>
  <c r="P316" i="19"/>
  <c r="V316" i="19"/>
  <c r="C316" i="19"/>
  <c r="L270" i="13"/>
  <c r="M270" i="13" s="1"/>
  <c r="J316" i="19"/>
  <c r="AH316" i="19"/>
  <c r="AK316" i="19"/>
  <c r="AP316" i="19"/>
  <c r="AQ316" i="19"/>
  <c r="AO316" i="19"/>
  <c r="AJ316" i="19"/>
  <c r="D5" i="32"/>
  <c r="D314" i="32" s="1"/>
  <c r="Z316" i="19"/>
  <c r="L310" i="13"/>
  <c r="M310" i="13" s="1"/>
  <c r="L302" i="13"/>
  <c r="M302" i="13" s="1"/>
  <c r="L298" i="13"/>
  <c r="M298" i="13" s="1"/>
  <c r="L291" i="13"/>
  <c r="M291" i="13" s="1"/>
  <c r="L287" i="13"/>
  <c r="M287" i="13" s="1"/>
  <c r="L283" i="13"/>
  <c r="M283" i="13" s="1"/>
  <c r="L275" i="13"/>
  <c r="M275" i="13" s="1"/>
  <c r="L271" i="13"/>
  <c r="M271" i="13" s="1"/>
  <c r="L267" i="13"/>
  <c r="M267" i="13" s="1"/>
  <c r="L263" i="13"/>
  <c r="M263" i="13" s="1"/>
  <c r="L255" i="13"/>
  <c r="M255" i="13" s="1"/>
  <c r="L247" i="13"/>
  <c r="M247" i="13" s="1"/>
  <c r="L238" i="13"/>
  <c r="M238" i="13" s="1"/>
  <c r="L233" i="13"/>
  <c r="M233" i="13" s="1"/>
  <c r="L225" i="13"/>
  <c r="M225" i="13" s="1"/>
  <c r="L218" i="13"/>
  <c r="M218" i="13" s="1"/>
  <c r="L202" i="13"/>
  <c r="M202" i="13" s="1"/>
  <c r="L198" i="13"/>
  <c r="M198" i="13" s="1"/>
  <c r="L194" i="13"/>
  <c r="M194" i="13" s="1"/>
  <c r="L186" i="13"/>
  <c r="M186" i="13" s="1"/>
  <c r="L182" i="13"/>
  <c r="M182" i="13" s="1"/>
  <c r="L178" i="13"/>
  <c r="M178" i="13" s="1"/>
  <c r="L160" i="13"/>
  <c r="M160" i="13" s="1"/>
  <c r="L156" i="13"/>
  <c r="M156" i="13" s="1"/>
  <c r="L148" i="13"/>
  <c r="M148" i="13" s="1"/>
  <c r="L145" i="13"/>
  <c r="M145" i="13" s="1"/>
  <c r="L137" i="13"/>
  <c r="M137" i="13" s="1"/>
  <c r="L133" i="13"/>
  <c r="M133" i="13" s="1"/>
  <c r="L129" i="13"/>
  <c r="M129" i="13" s="1"/>
  <c r="L125" i="13"/>
  <c r="M125" i="13" s="1"/>
  <c r="L113" i="13"/>
  <c r="M113" i="13" s="1"/>
  <c r="L109" i="13"/>
  <c r="M109" i="13" s="1"/>
  <c r="L105" i="13"/>
  <c r="M105" i="13" s="1"/>
  <c r="L101" i="13"/>
  <c r="M101" i="13" s="1"/>
  <c r="L97" i="13"/>
  <c r="M97" i="13" s="1"/>
  <c r="L89" i="13"/>
  <c r="M89" i="13" s="1"/>
  <c r="L81" i="13"/>
  <c r="M81" i="13" s="1"/>
  <c r="L70" i="13"/>
  <c r="M70" i="13" s="1"/>
  <c r="L66" i="13"/>
  <c r="M66" i="13" s="1"/>
  <c r="L62" i="13"/>
  <c r="M62" i="13" s="1"/>
  <c r="L58" i="13"/>
  <c r="M58" i="13" s="1"/>
  <c r="L54" i="13"/>
  <c r="M54" i="13" s="1"/>
  <c r="L50" i="13"/>
  <c r="M50" i="13" s="1"/>
  <c r="L46" i="13"/>
  <c r="M46" i="13" s="1"/>
  <c r="L42" i="13"/>
  <c r="M42" i="13" s="1"/>
  <c r="L34" i="13"/>
  <c r="M34" i="13" s="1"/>
  <c r="L30" i="13"/>
  <c r="M30" i="13" s="1"/>
  <c r="L26" i="13"/>
  <c r="M26" i="13" s="1"/>
  <c r="L22" i="13"/>
  <c r="M22" i="13" s="1"/>
  <c r="L18" i="13"/>
  <c r="M18" i="13" s="1"/>
  <c r="L10" i="13"/>
  <c r="M10" i="13" s="1"/>
  <c r="L7" i="13"/>
  <c r="M7" i="13" s="1"/>
  <c r="H316" i="19"/>
  <c r="I316" i="19"/>
  <c r="AE316" i="19"/>
  <c r="L206" i="13"/>
  <c r="M206" i="13" s="1"/>
  <c r="L85" i="13"/>
  <c r="M85" i="13" s="1"/>
  <c r="AR316" i="19"/>
  <c r="L309" i="13"/>
  <c r="M309" i="13" s="1"/>
  <c r="L301" i="13"/>
  <c r="M301" i="13" s="1"/>
  <c r="L294" i="13"/>
  <c r="M294" i="13" s="1"/>
  <c r="L286" i="13"/>
  <c r="M286" i="13" s="1"/>
  <c r="L278" i="13"/>
  <c r="M278" i="13" s="1"/>
  <c r="L274" i="13"/>
  <c r="M274" i="13" s="1"/>
  <c r="L266" i="13"/>
  <c r="M266" i="13" s="1"/>
  <c r="L258" i="13"/>
  <c r="M258" i="13" s="1"/>
  <c r="L250" i="13"/>
  <c r="M250" i="13" s="1"/>
  <c r="L241" i="13"/>
  <c r="M241" i="13" s="1"/>
  <c r="L235" i="13"/>
  <c r="M235" i="13" s="1"/>
  <c r="L228" i="13"/>
  <c r="M228" i="13" s="1"/>
  <c r="L209" i="13"/>
  <c r="M209" i="13" s="1"/>
  <c r="L197" i="13"/>
  <c r="M197" i="13" s="1"/>
  <c r="L189" i="13"/>
  <c r="M189" i="13" s="1"/>
  <c r="L181" i="13"/>
  <c r="M181" i="13" s="1"/>
  <c r="L177" i="13"/>
  <c r="M177" i="13" s="1"/>
  <c r="L165" i="13"/>
  <c r="M165" i="13" s="1"/>
  <c r="L163" i="13"/>
  <c r="M163" i="13" s="1"/>
  <c r="L155" i="13"/>
  <c r="M155" i="13" s="1"/>
  <c r="L124" i="13"/>
  <c r="M124" i="13" s="1"/>
  <c r="L116" i="13"/>
  <c r="M116" i="13" s="1"/>
  <c r="L108" i="13"/>
  <c r="M108" i="13" s="1"/>
  <c r="L100" i="13"/>
  <c r="M100" i="13" s="1"/>
  <c r="L92" i="13"/>
  <c r="M92" i="13" s="1"/>
  <c r="L76" i="13"/>
  <c r="M76" i="13" s="1"/>
  <c r="L69" i="13"/>
  <c r="M69" i="13" s="1"/>
  <c r="L65" i="13"/>
  <c r="M65" i="13" s="1"/>
  <c r="L57" i="13"/>
  <c r="M57" i="13" s="1"/>
  <c r="L49" i="13"/>
  <c r="M49" i="13" s="1"/>
  <c r="L41" i="13"/>
  <c r="M41" i="13" s="1"/>
  <c r="L37" i="13"/>
  <c r="M37" i="13" s="1"/>
  <c r="L29" i="13"/>
  <c r="M29" i="13" s="1"/>
  <c r="L21" i="13"/>
  <c r="M21" i="13" s="1"/>
  <c r="L9" i="13"/>
  <c r="M9" i="13" s="1"/>
  <c r="D316" i="19"/>
  <c r="H150" i="49"/>
  <c r="H19" i="49"/>
  <c r="I19" i="49" s="1"/>
  <c r="L316" i="19"/>
  <c r="AC316" i="19"/>
  <c r="L201" i="13"/>
  <c r="M201" i="13" s="1"/>
  <c r="L213" i="13"/>
  <c r="M213" i="13" s="1"/>
  <c r="L93" i="13"/>
  <c r="M93" i="13" s="1"/>
  <c r="L141" i="13"/>
  <c r="M141" i="13" s="1"/>
  <c r="L77" i="13"/>
  <c r="M77" i="13" s="1"/>
  <c r="L74" i="13"/>
  <c r="M74" i="13" s="1"/>
  <c r="L14" i="13"/>
  <c r="M14" i="13" s="1"/>
  <c r="AL316" i="19"/>
  <c r="AM316" i="19"/>
  <c r="AG316" i="19"/>
  <c r="AN316" i="19"/>
  <c r="AF316" i="19"/>
  <c r="L306" i="13"/>
  <c r="M306" i="13" s="1"/>
  <c r="L295" i="13"/>
  <c r="M295" i="13" s="1"/>
  <c r="L279" i="13"/>
  <c r="M279" i="13" s="1"/>
  <c r="L251" i="13"/>
  <c r="M251" i="13" s="1"/>
  <c r="L236" i="13"/>
  <c r="M236" i="13" s="1"/>
  <c r="L214" i="13"/>
  <c r="M214" i="13" s="1"/>
  <c r="L210" i="13"/>
  <c r="M210" i="13" s="1"/>
  <c r="L190" i="13"/>
  <c r="M190" i="13" s="1"/>
  <c r="L117" i="13"/>
  <c r="M117" i="13" s="1"/>
  <c r="AD316" i="19"/>
  <c r="W316" i="19"/>
  <c r="X316" i="19"/>
  <c r="L313" i="13"/>
  <c r="M313" i="13" s="1"/>
  <c r="L305" i="13"/>
  <c r="M305" i="13" s="1"/>
  <c r="L297" i="13"/>
  <c r="M297" i="13" s="1"/>
  <c r="L290" i="13"/>
  <c r="M290" i="13" s="1"/>
  <c r="L282" i="13"/>
  <c r="M282" i="13" s="1"/>
  <c r="L262" i="13"/>
  <c r="M262" i="13" s="1"/>
  <c r="L254" i="13"/>
  <c r="M254" i="13" s="1"/>
  <c r="L246" i="13"/>
  <c r="M246" i="13" s="1"/>
  <c r="L232" i="13"/>
  <c r="M232" i="13" s="1"/>
  <c r="L224" i="13"/>
  <c r="M224" i="13" s="1"/>
  <c r="L217" i="13"/>
  <c r="M217" i="13" s="1"/>
  <c r="L205" i="13"/>
  <c r="M205" i="13" s="1"/>
  <c r="L193" i="13"/>
  <c r="M193" i="13" s="1"/>
  <c r="L185" i="13"/>
  <c r="M185" i="13" s="1"/>
  <c r="L151" i="13"/>
  <c r="M151" i="13" s="1"/>
  <c r="L144" i="13"/>
  <c r="M144" i="13" s="1"/>
  <c r="L136" i="13"/>
  <c r="M136" i="13" s="1"/>
  <c r="L112" i="13"/>
  <c r="M112" i="13" s="1"/>
  <c r="L104" i="13"/>
  <c r="M104" i="13" s="1"/>
  <c r="L88" i="13"/>
  <c r="M88" i="13" s="1"/>
  <c r="L84" i="13"/>
  <c r="M84" i="13" s="1"/>
  <c r="L73" i="13"/>
  <c r="M73" i="13" s="1"/>
  <c r="L61" i="13"/>
  <c r="M61" i="13" s="1"/>
  <c r="L53" i="13"/>
  <c r="M53" i="13" s="1"/>
  <c r="L45" i="13"/>
  <c r="M45" i="13" s="1"/>
  <c r="L33" i="13"/>
  <c r="M33" i="13" s="1"/>
  <c r="L25" i="13"/>
  <c r="M25" i="13" s="1"/>
  <c r="L259" i="13"/>
  <c r="M259" i="13" s="1"/>
  <c r="L167" i="13"/>
  <c r="M167" i="13" s="1"/>
  <c r="L80" i="13"/>
  <c r="M80" i="13" s="1"/>
  <c r="L17" i="13"/>
  <c r="M17" i="13" s="1"/>
  <c r="L140" i="13"/>
  <c r="M140" i="13" s="1"/>
  <c r="L159" i="13"/>
  <c r="M159" i="13" s="1"/>
  <c r="L174" i="13"/>
  <c r="M174" i="13" s="1"/>
  <c r="L147" i="13"/>
  <c r="M147" i="13" s="1"/>
  <c r="G7" i="19"/>
  <c r="R7" i="19" s="1"/>
  <c r="H107" i="49"/>
  <c r="I107" i="49" s="1"/>
  <c r="H55" i="49"/>
  <c r="I55" i="49" s="1"/>
  <c r="H8" i="49"/>
  <c r="I8" i="49" s="1"/>
  <c r="H106" i="49"/>
  <c r="H130" i="49"/>
  <c r="I130" i="49" s="1"/>
  <c r="H172" i="49"/>
  <c r="H39" i="49"/>
  <c r="I39" i="49" s="1"/>
  <c r="H288" i="49"/>
  <c r="I288" i="49" s="1"/>
  <c r="H207" i="49"/>
  <c r="H191" i="49"/>
  <c r="H143" i="49"/>
  <c r="I143" i="49" s="1"/>
  <c r="H59" i="49"/>
  <c r="H47" i="49"/>
  <c r="H296" i="49"/>
  <c r="I296" i="49" s="1"/>
  <c r="H231" i="49"/>
  <c r="H230" i="49"/>
  <c r="H226" i="49"/>
  <c r="I226" i="49" s="1"/>
  <c r="H206" i="49"/>
  <c r="I206" i="49" s="1"/>
  <c r="H163" i="49"/>
  <c r="H126" i="49"/>
  <c r="H114" i="49"/>
  <c r="H90" i="49"/>
  <c r="I90" i="49" s="1"/>
  <c r="H87" i="49"/>
  <c r="I87" i="49" s="1"/>
  <c r="H80" i="49"/>
  <c r="H72" i="49"/>
  <c r="H68" i="49"/>
  <c r="H63" i="49"/>
  <c r="I63" i="49" s="1"/>
  <c r="H36" i="49"/>
  <c r="I36" i="49" s="1"/>
  <c r="H28" i="49"/>
  <c r="I28" i="49" s="1"/>
  <c r="H13" i="49"/>
  <c r="H11" i="49"/>
  <c r="I11" i="49" s="1"/>
  <c r="H67" i="49"/>
  <c r="I67" i="49" s="1"/>
  <c r="H266" i="49"/>
  <c r="I266" i="49" s="1"/>
  <c r="H240" i="49"/>
  <c r="H176" i="49"/>
  <c r="H175" i="49"/>
  <c r="H125" i="49"/>
  <c r="I125" i="49" s="1"/>
  <c r="H95" i="49"/>
  <c r="I95" i="49" s="1"/>
  <c r="H85" i="49"/>
  <c r="I85" i="49" s="1"/>
  <c r="H84" i="49"/>
  <c r="I84" i="49" s="1"/>
  <c r="H83" i="49"/>
  <c r="I83" i="49" s="1"/>
  <c r="H79" i="49"/>
  <c r="I79" i="49" s="1"/>
  <c r="H75" i="49"/>
  <c r="I75" i="49" s="1"/>
  <c r="H71" i="49"/>
  <c r="I71" i="49" s="1"/>
  <c r="H56" i="49"/>
  <c r="H52" i="49"/>
  <c r="H51" i="49"/>
  <c r="H31" i="49"/>
  <c r="I31" i="49" s="1"/>
  <c r="H14" i="49"/>
  <c r="H303" i="49"/>
  <c r="I303" i="49" s="1"/>
  <c r="H299" i="49"/>
  <c r="H289" i="49"/>
  <c r="I289" i="49" s="1"/>
  <c r="H273" i="49"/>
  <c r="H265" i="49"/>
  <c r="H248" i="49"/>
  <c r="H239" i="49"/>
  <c r="I239" i="49" s="1"/>
  <c r="H220" i="49"/>
  <c r="I220" i="49" s="1"/>
  <c r="H196" i="49"/>
  <c r="I196" i="49" s="1"/>
  <c r="H157" i="49"/>
  <c r="I157" i="49" s="1"/>
  <c r="H139" i="49"/>
  <c r="I139" i="49" s="1"/>
  <c r="H135" i="49"/>
  <c r="H60" i="49"/>
  <c r="I60" i="49" s="1"/>
  <c r="H48" i="49"/>
  <c r="H32" i="49"/>
  <c r="I32" i="49" s="1"/>
  <c r="H15" i="49"/>
  <c r="I15" i="49" s="1"/>
  <c r="H280" i="49"/>
  <c r="H276" i="49"/>
  <c r="I276" i="49" s="1"/>
  <c r="H259" i="49"/>
  <c r="H235" i="49"/>
  <c r="H223" i="49"/>
  <c r="H183" i="49"/>
  <c r="I183" i="49" s="1"/>
  <c r="H127" i="49"/>
  <c r="I127" i="49" s="1"/>
  <c r="H123" i="49"/>
  <c r="I123" i="49" s="1"/>
  <c r="H119" i="49"/>
  <c r="I119" i="49" s="1"/>
  <c r="H115" i="49"/>
  <c r="I115" i="49" s="1"/>
  <c r="H103" i="49"/>
  <c r="I103" i="49" s="1"/>
  <c r="H91" i="49"/>
  <c r="I91" i="49" s="1"/>
  <c r="H77" i="49"/>
  <c r="H35" i="49"/>
  <c r="I35" i="49" s="1"/>
  <c r="H16" i="49"/>
  <c r="I16" i="49" s="1"/>
  <c r="B315" i="25"/>
  <c r="L6" i="13"/>
  <c r="M6" i="13" s="1"/>
  <c r="D8" i="36"/>
  <c r="J8" i="36"/>
  <c r="M96" i="13"/>
  <c r="M316" i="42"/>
  <c r="I8" i="36"/>
  <c r="F8" i="36"/>
  <c r="H8" i="36"/>
  <c r="E8" i="36"/>
  <c r="G8" i="36"/>
  <c r="K246" i="36" l="1"/>
  <c r="F254" i="34" s="1"/>
  <c r="K67" i="36"/>
  <c r="F75" i="34" s="1"/>
  <c r="K110" i="36"/>
  <c r="F118" i="34" s="1"/>
  <c r="K126" i="36"/>
  <c r="F134" i="34" s="1"/>
  <c r="K120" i="36"/>
  <c r="F128" i="34" s="1"/>
  <c r="K208" i="36"/>
  <c r="F216" i="34" s="1"/>
  <c r="K224" i="36"/>
  <c r="F232" i="34" s="1"/>
  <c r="K240" i="36"/>
  <c r="F248" i="34" s="1"/>
  <c r="K214" i="36"/>
  <c r="F222" i="34" s="1"/>
  <c r="K222" i="36"/>
  <c r="F230" i="34" s="1"/>
  <c r="K281" i="36"/>
  <c r="F289" i="34" s="1"/>
  <c r="K271" i="36"/>
  <c r="F279" i="34" s="1"/>
  <c r="K41" i="36"/>
  <c r="F49" i="34" s="1"/>
  <c r="K63" i="36"/>
  <c r="F71" i="34" s="1"/>
  <c r="K114" i="36"/>
  <c r="F122" i="34" s="1"/>
  <c r="K212" i="36"/>
  <c r="F220" i="34" s="1"/>
  <c r="K228" i="36"/>
  <c r="F236" i="34" s="1"/>
  <c r="K244" i="36"/>
  <c r="F252" i="34" s="1"/>
  <c r="K273" i="36"/>
  <c r="F281" i="34" s="1"/>
  <c r="K267" i="36"/>
  <c r="F275" i="34" s="1"/>
  <c r="K33" i="36"/>
  <c r="F41" i="34" s="1"/>
  <c r="K316" i="36"/>
  <c r="F324" i="34" s="1"/>
  <c r="K312" i="36"/>
  <c r="F320" i="34" s="1"/>
  <c r="K308" i="36"/>
  <c r="F316" i="34" s="1"/>
  <c r="K304" i="36"/>
  <c r="F312" i="34" s="1"/>
  <c r="K300" i="36"/>
  <c r="F308" i="34" s="1"/>
  <c r="K296" i="36"/>
  <c r="F304" i="34" s="1"/>
  <c r="K292" i="36"/>
  <c r="F300" i="34" s="1"/>
  <c r="K288" i="36"/>
  <c r="F296" i="34" s="1"/>
  <c r="K284" i="36"/>
  <c r="F292" i="34" s="1"/>
  <c r="K231" i="36"/>
  <c r="F239" i="34" s="1"/>
  <c r="K278" i="36"/>
  <c r="F286" i="34" s="1"/>
  <c r="K274" i="36"/>
  <c r="F282" i="34" s="1"/>
  <c r="K270" i="36"/>
  <c r="F278" i="34" s="1"/>
  <c r="K266" i="36"/>
  <c r="F274" i="34" s="1"/>
  <c r="K262" i="36"/>
  <c r="F270" i="34" s="1"/>
  <c r="K258" i="36"/>
  <c r="F266" i="34" s="1"/>
  <c r="K254" i="36"/>
  <c r="F262" i="34" s="1"/>
  <c r="K250" i="36"/>
  <c r="F258" i="34" s="1"/>
  <c r="K245" i="36"/>
  <c r="F253" i="34" s="1"/>
  <c r="K241" i="36"/>
  <c r="F249" i="34" s="1"/>
  <c r="K237" i="36"/>
  <c r="F245" i="34" s="1"/>
  <c r="K233" i="36"/>
  <c r="F241" i="34" s="1"/>
  <c r="K227" i="36"/>
  <c r="F235" i="34" s="1"/>
  <c r="K223" i="36"/>
  <c r="F231" i="34" s="1"/>
  <c r="K219" i="36"/>
  <c r="F227" i="34" s="1"/>
  <c r="K215" i="36"/>
  <c r="F223" i="34" s="1"/>
  <c r="K211" i="36"/>
  <c r="F219" i="34" s="1"/>
  <c r="K207" i="36"/>
  <c r="F215" i="34" s="1"/>
  <c r="K203" i="36"/>
  <c r="F211" i="34" s="1"/>
  <c r="K199" i="36"/>
  <c r="F207" i="34" s="1"/>
  <c r="K195" i="36"/>
  <c r="F203" i="34" s="1"/>
  <c r="K191" i="36"/>
  <c r="F199" i="34" s="1"/>
  <c r="K187" i="36"/>
  <c r="F195" i="34" s="1"/>
  <c r="K183" i="36"/>
  <c r="F191" i="34" s="1"/>
  <c r="K179" i="36"/>
  <c r="F187" i="34" s="1"/>
  <c r="K175" i="36"/>
  <c r="F183" i="34" s="1"/>
  <c r="K171" i="36"/>
  <c r="F179" i="34" s="1"/>
  <c r="K167" i="36"/>
  <c r="F175" i="34" s="1"/>
  <c r="K163" i="36"/>
  <c r="F171" i="34" s="1"/>
  <c r="K159" i="36"/>
  <c r="F167" i="34" s="1"/>
  <c r="K155" i="36"/>
  <c r="F163" i="34" s="1"/>
  <c r="K151" i="36"/>
  <c r="F159" i="34" s="1"/>
  <c r="K147" i="36"/>
  <c r="F155" i="34" s="1"/>
  <c r="K143" i="36"/>
  <c r="F151" i="34" s="1"/>
  <c r="K139" i="36"/>
  <c r="F147" i="34" s="1"/>
  <c r="K135" i="36"/>
  <c r="F143" i="34" s="1"/>
  <c r="K131" i="36"/>
  <c r="F139" i="34" s="1"/>
  <c r="K64" i="36"/>
  <c r="F72" i="34" s="1"/>
  <c r="K38" i="36"/>
  <c r="F46" i="34" s="1"/>
  <c r="K18" i="36"/>
  <c r="F26" i="34" s="1"/>
  <c r="K14" i="36"/>
  <c r="F22" i="34" s="1"/>
  <c r="K10" i="36"/>
  <c r="F18" i="34" s="1"/>
  <c r="K37" i="36"/>
  <c r="F45" i="34" s="1"/>
  <c r="K59" i="36"/>
  <c r="F67" i="34" s="1"/>
  <c r="K61" i="36"/>
  <c r="F69" i="34" s="1"/>
  <c r="K118" i="36"/>
  <c r="F126" i="34" s="1"/>
  <c r="K112" i="36"/>
  <c r="F120" i="34" s="1"/>
  <c r="K128" i="36"/>
  <c r="F136" i="34" s="1"/>
  <c r="K216" i="36"/>
  <c r="F224" i="34" s="1"/>
  <c r="K232" i="36"/>
  <c r="F240" i="34" s="1"/>
  <c r="K210" i="36"/>
  <c r="F218" i="34" s="1"/>
  <c r="K218" i="36"/>
  <c r="F226" i="34" s="1"/>
  <c r="K226" i="36"/>
  <c r="F234" i="34" s="1"/>
  <c r="K234" i="36"/>
  <c r="F242" i="34" s="1"/>
  <c r="K242" i="36"/>
  <c r="F250" i="34" s="1"/>
  <c r="K261" i="36"/>
  <c r="F269" i="34" s="1"/>
  <c r="K277" i="36"/>
  <c r="F285" i="34" s="1"/>
  <c r="K263" i="36"/>
  <c r="F271" i="34" s="1"/>
  <c r="K279" i="36"/>
  <c r="F287" i="34" s="1"/>
  <c r="K39" i="36"/>
  <c r="F47" i="34" s="1"/>
  <c r="K65" i="36"/>
  <c r="F73" i="34" s="1"/>
  <c r="K122" i="36"/>
  <c r="F130" i="34" s="1"/>
  <c r="K124" i="36"/>
  <c r="F132" i="34" s="1"/>
  <c r="K220" i="36"/>
  <c r="F228" i="34" s="1"/>
  <c r="K236" i="36"/>
  <c r="F244" i="34" s="1"/>
  <c r="K265" i="36"/>
  <c r="F273" i="34" s="1"/>
  <c r="K259" i="36"/>
  <c r="F267" i="34" s="1"/>
  <c r="K275" i="36"/>
  <c r="F283" i="34" s="1"/>
  <c r="K314" i="36"/>
  <c r="F322" i="34" s="1"/>
  <c r="K310" i="36"/>
  <c r="F318" i="34" s="1"/>
  <c r="K306" i="36"/>
  <c r="F314" i="34" s="1"/>
  <c r="K302" i="36"/>
  <c r="F310" i="34" s="1"/>
  <c r="K298" i="36"/>
  <c r="F306" i="34" s="1"/>
  <c r="K294" i="36"/>
  <c r="F302" i="34" s="1"/>
  <c r="K290" i="36"/>
  <c r="F298" i="34" s="1"/>
  <c r="K286" i="36"/>
  <c r="F294" i="34" s="1"/>
  <c r="K282" i="36"/>
  <c r="F290" i="34" s="1"/>
  <c r="K280" i="36"/>
  <c r="F288" i="34" s="1"/>
  <c r="K276" i="36"/>
  <c r="F284" i="34" s="1"/>
  <c r="K272" i="36"/>
  <c r="F280" i="34" s="1"/>
  <c r="K268" i="36"/>
  <c r="F276" i="34" s="1"/>
  <c r="K264" i="36"/>
  <c r="F272" i="34" s="1"/>
  <c r="K260" i="36"/>
  <c r="F268" i="34" s="1"/>
  <c r="K256" i="36"/>
  <c r="F264" i="34" s="1"/>
  <c r="K252" i="36"/>
  <c r="F260" i="34" s="1"/>
  <c r="K247" i="36"/>
  <c r="F255" i="34" s="1"/>
  <c r="K243" i="36"/>
  <c r="F251" i="34" s="1"/>
  <c r="K239" i="36"/>
  <c r="F247" i="34" s="1"/>
  <c r="K235" i="36"/>
  <c r="F243" i="34" s="1"/>
  <c r="K127" i="36"/>
  <c r="F135" i="34" s="1"/>
  <c r="K123" i="36"/>
  <c r="F131" i="34" s="1"/>
  <c r="K119" i="36"/>
  <c r="F127" i="34" s="1"/>
  <c r="K115" i="36"/>
  <c r="F123" i="34" s="1"/>
  <c r="K111" i="36"/>
  <c r="F119" i="34" s="1"/>
  <c r="K107" i="36"/>
  <c r="F115" i="34" s="1"/>
  <c r="K229" i="36"/>
  <c r="F237" i="34" s="1"/>
  <c r="K225" i="36"/>
  <c r="F233" i="34" s="1"/>
  <c r="K221" i="36"/>
  <c r="F229" i="34" s="1"/>
  <c r="K217" i="36"/>
  <c r="F225" i="34" s="1"/>
  <c r="K213" i="36"/>
  <c r="F221" i="34" s="1"/>
  <c r="K209" i="36"/>
  <c r="F217" i="34" s="1"/>
  <c r="K205" i="36"/>
  <c r="F213" i="34" s="1"/>
  <c r="K201" i="36"/>
  <c r="F209" i="34" s="1"/>
  <c r="K197" i="36"/>
  <c r="F205" i="34" s="1"/>
  <c r="K193" i="36"/>
  <c r="F201" i="34" s="1"/>
  <c r="K189" i="36"/>
  <c r="F197" i="34" s="1"/>
  <c r="K185" i="36"/>
  <c r="F193" i="34" s="1"/>
  <c r="K181" i="36"/>
  <c r="F189" i="34" s="1"/>
  <c r="K177" i="36"/>
  <c r="F185" i="34" s="1"/>
  <c r="K173" i="36"/>
  <c r="F181" i="34" s="1"/>
  <c r="K169" i="36"/>
  <c r="F177" i="34" s="1"/>
  <c r="K165" i="36"/>
  <c r="F173" i="34" s="1"/>
  <c r="K161" i="36"/>
  <c r="F169" i="34" s="1"/>
  <c r="K157" i="36"/>
  <c r="F165" i="34" s="1"/>
  <c r="K153" i="36"/>
  <c r="F161" i="34" s="1"/>
  <c r="K149" i="36"/>
  <c r="F157" i="34" s="1"/>
  <c r="K145" i="36"/>
  <c r="F153" i="34" s="1"/>
  <c r="K141" i="36"/>
  <c r="F149" i="34" s="1"/>
  <c r="K137" i="36"/>
  <c r="F145" i="34" s="1"/>
  <c r="K133" i="36"/>
  <c r="F141" i="34" s="1"/>
  <c r="K129" i="36"/>
  <c r="F137" i="34" s="1"/>
  <c r="K58" i="36"/>
  <c r="F66" i="34" s="1"/>
  <c r="K54" i="36"/>
  <c r="F62" i="34" s="1"/>
  <c r="K50" i="36"/>
  <c r="F58" i="34" s="1"/>
  <c r="K46" i="36"/>
  <c r="F54" i="34" s="1"/>
  <c r="K42" i="36"/>
  <c r="F50" i="34" s="1"/>
  <c r="K34" i="36"/>
  <c r="F42" i="34" s="1"/>
  <c r="K30" i="36"/>
  <c r="F38" i="34" s="1"/>
  <c r="K26" i="36"/>
  <c r="F34" i="34" s="1"/>
  <c r="K22" i="36"/>
  <c r="F30" i="34" s="1"/>
  <c r="K103" i="36"/>
  <c r="F111" i="34" s="1"/>
  <c r="K99" i="36"/>
  <c r="F107" i="34" s="1"/>
  <c r="K95" i="36"/>
  <c r="F103" i="34" s="1"/>
  <c r="K91" i="36"/>
  <c r="F99" i="34" s="1"/>
  <c r="K87" i="36"/>
  <c r="F95" i="34" s="1"/>
  <c r="K83" i="36"/>
  <c r="F91" i="34" s="1"/>
  <c r="K79" i="36"/>
  <c r="F87" i="34" s="1"/>
  <c r="K75" i="36"/>
  <c r="F83" i="34" s="1"/>
  <c r="K71" i="36"/>
  <c r="F79" i="34" s="1"/>
  <c r="K66" i="36"/>
  <c r="F74" i="34" s="1"/>
  <c r="K62" i="36"/>
  <c r="F70" i="34" s="1"/>
  <c r="K36" i="36"/>
  <c r="F44" i="34" s="1"/>
  <c r="K16" i="36"/>
  <c r="F24" i="34" s="1"/>
  <c r="K12" i="36"/>
  <c r="F20" i="34" s="1"/>
  <c r="K13" i="36"/>
  <c r="F21" i="34" s="1"/>
  <c r="K21" i="36"/>
  <c r="F29" i="34" s="1"/>
  <c r="K29" i="36"/>
  <c r="F37" i="34" s="1"/>
  <c r="K15" i="36"/>
  <c r="F23" i="34" s="1"/>
  <c r="K23" i="36"/>
  <c r="F31" i="34" s="1"/>
  <c r="K31" i="36"/>
  <c r="F39" i="34" s="1"/>
  <c r="K45" i="36"/>
  <c r="F53" i="34" s="1"/>
  <c r="K53" i="36"/>
  <c r="F61" i="34" s="1"/>
  <c r="K70" i="36"/>
  <c r="F78" i="34" s="1"/>
  <c r="K78" i="36"/>
  <c r="F86" i="34" s="1"/>
  <c r="K86" i="36"/>
  <c r="F94" i="34" s="1"/>
  <c r="K94" i="36"/>
  <c r="F102" i="34" s="1"/>
  <c r="K102" i="36"/>
  <c r="F110" i="34" s="1"/>
  <c r="K136" i="36"/>
  <c r="F144" i="34" s="1"/>
  <c r="K144" i="36"/>
  <c r="F152" i="34" s="1"/>
  <c r="K152" i="36"/>
  <c r="F160" i="34" s="1"/>
  <c r="K160" i="36"/>
  <c r="F168" i="34" s="1"/>
  <c r="K168" i="36"/>
  <c r="F176" i="34" s="1"/>
  <c r="K176" i="36"/>
  <c r="F184" i="34" s="1"/>
  <c r="K184" i="36"/>
  <c r="F192" i="34" s="1"/>
  <c r="K192" i="36"/>
  <c r="F200" i="34" s="1"/>
  <c r="K200" i="36"/>
  <c r="F208" i="34" s="1"/>
  <c r="K255" i="36"/>
  <c r="F263" i="34" s="1"/>
  <c r="K289" i="36"/>
  <c r="F297" i="34" s="1"/>
  <c r="K297" i="36"/>
  <c r="F305" i="34" s="1"/>
  <c r="K305" i="36"/>
  <c r="F313" i="34" s="1"/>
  <c r="K313" i="36"/>
  <c r="F321" i="34" s="1"/>
  <c r="K47" i="36"/>
  <c r="F55" i="34" s="1"/>
  <c r="K55" i="36"/>
  <c r="F63" i="34" s="1"/>
  <c r="K68" i="36"/>
  <c r="F76" i="34" s="1"/>
  <c r="K76" i="36"/>
  <c r="F84" i="34" s="1"/>
  <c r="K84" i="36"/>
  <c r="F92" i="34" s="1"/>
  <c r="K92" i="36"/>
  <c r="F100" i="34" s="1"/>
  <c r="K100" i="36"/>
  <c r="F108" i="34" s="1"/>
  <c r="K108" i="36"/>
  <c r="F116" i="34" s="1"/>
  <c r="K134" i="36"/>
  <c r="F142" i="34" s="1"/>
  <c r="K142" i="36"/>
  <c r="F150" i="34" s="1"/>
  <c r="K150" i="36"/>
  <c r="F158" i="34" s="1"/>
  <c r="K158" i="36"/>
  <c r="F166" i="34" s="1"/>
  <c r="K166" i="36"/>
  <c r="F174" i="34" s="1"/>
  <c r="K174" i="36"/>
  <c r="F182" i="34" s="1"/>
  <c r="K182" i="36"/>
  <c r="F190" i="34" s="1"/>
  <c r="K190" i="36"/>
  <c r="F198" i="34" s="1"/>
  <c r="K198" i="36"/>
  <c r="F206" i="34" s="1"/>
  <c r="K206" i="36"/>
  <c r="F214" i="34" s="1"/>
  <c r="K253" i="36"/>
  <c r="F261" i="34" s="1"/>
  <c r="K283" i="36"/>
  <c r="F291" i="34" s="1"/>
  <c r="K291" i="36"/>
  <c r="F299" i="34" s="1"/>
  <c r="K299" i="36"/>
  <c r="F307" i="34" s="1"/>
  <c r="K307" i="36"/>
  <c r="F315" i="34" s="1"/>
  <c r="K315" i="36"/>
  <c r="F323" i="34" s="1"/>
  <c r="K9" i="36"/>
  <c r="F17" i="34" s="1"/>
  <c r="K17" i="36"/>
  <c r="F25" i="34" s="1"/>
  <c r="K25" i="36"/>
  <c r="F33" i="34" s="1"/>
  <c r="K11" i="36"/>
  <c r="F19" i="34" s="1"/>
  <c r="K19" i="36"/>
  <c r="F27" i="34" s="1"/>
  <c r="K27" i="36"/>
  <c r="F35" i="34" s="1"/>
  <c r="K49" i="36"/>
  <c r="F57" i="34" s="1"/>
  <c r="K57" i="36"/>
  <c r="F65" i="34" s="1"/>
  <c r="K74" i="36"/>
  <c r="F82" i="34" s="1"/>
  <c r="K82" i="36"/>
  <c r="F90" i="34" s="1"/>
  <c r="K90" i="36"/>
  <c r="F98" i="34" s="1"/>
  <c r="K98" i="36"/>
  <c r="F106" i="34" s="1"/>
  <c r="K106" i="36"/>
  <c r="F114" i="34" s="1"/>
  <c r="K132" i="36"/>
  <c r="F140" i="34" s="1"/>
  <c r="K140" i="36"/>
  <c r="F148" i="34" s="1"/>
  <c r="K148" i="36"/>
  <c r="F156" i="34" s="1"/>
  <c r="K156" i="36"/>
  <c r="F164" i="34" s="1"/>
  <c r="K164" i="36"/>
  <c r="F172" i="34" s="1"/>
  <c r="K172" i="36"/>
  <c r="F180" i="34" s="1"/>
  <c r="K180" i="36"/>
  <c r="F188" i="34" s="1"/>
  <c r="K188" i="36"/>
  <c r="F196" i="34" s="1"/>
  <c r="K196" i="36"/>
  <c r="F204" i="34" s="1"/>
  <c r="K204" i="36"/>
  <c r="F212" i="34" s="1"/>
  <c r="K251" i="36"/>
  <c r="F259" i="34" s="1"/>
  <c r="K285" i="36"/>
  <c r="F293" i="34" s="1"/>
  <c r="K293" i="36"/>
  <c r="F301" i="34" s="1"/>
  <c r="K301" i="36"/>
  <c r="F309" i="34" s="1"/>
  <c r="K309" i="36"/>
  <c r="F317" i="34" s="1"/>
  <c r="K43" i="36"/>
  <c r="F51" i="34" s="1"/>
  <c r="K51" i="36"/>
  <c r="F59" i="34" s="1"/>
  <c r="K72" i="36"/>
  <c r="F80" i="34" s="1"/>
  <c r="K80" i="36"/>
  <c r="F88" i="34" s="1"/>
  <c r="K88" i="36"/>
  <c r="F96" i="34" s="1"/>
  <c r="K96" i="36"/>
  <c r="F104" i="34" s="1"/>
  <c r="K104" i="36"/>
  <c r="F112" i="34" s="1"/>
  <c r="K130" i="36"/>
  <c r="F138" i="34" s="1"/>
  <c r="K138" i="36"/>
  <c r="F146" i="34" s="1"/>
  <c r="K146" i="36"/>
  <c r="F154" i="34" s="1"/>
  <c r="K154" i="36"/>
  <c r="F162" i="34" s="1"/>
  <c r="K162" i="36"/>
  <c r="F170" i="34" s="1"/>
  <c r="K170" i="36"/>
  <c r="F178" i="34" s="1"/>
  <c r="K178" i="36"/>
  <c r="F186" i="34" s="1"/>
  <c r="K186" i="36"/>
  <c r="F194" i="34" s="1"/>
  <c r="K194" i="36"/>
  <c r="F202" i="34" s="1"/>
  <c r="K202" i="36"/>
  <c r="F210" i="34" s="1"/>
  <c r="K249" i="36"/>
  <c r="F257" i="34" s="1"/>
  <c r="K257" i="36"/>
  <c r="F265" i="34" s="1"/>
  <c r="K287" i="36"/>
  <c r="F295" i="34" s="1"/>
  <c r="K295" i="36"/>
  <c r="F303" i="34" s="1"/>
  <c r="K303" i="36"/>
  <c r="F311" i="34" s="1"/>
  <c r="K311" i="36"/>
  <c r="F319" i="34" s="1"/>
  <c r="I47" i="49"/>
  <c r="I80" i="49"/>
  <c r="I164" i="49"/>
  <c r="I48" i="49"/>
  <c r="I51" i="49"/>
  <c r="I163" i="49"/>
  <c r="I150" i="49"/>
  <c r="I280" i="49"/>
  <c r="I265" i="49"/>
  <c r="I52" i="49"/>
  <c r="I68" i="49"/>
  <c r="I191" i="49"/>
  <c r="I172" i="49"/>
  <c r="I165" i="49"/>
  <c r="I248" i="49"/>
  <c r="I299" i="49"/>
  <c r="I176" i="49"/>
  <c r="I231" i="49"/>
  <c r="I106" i="49"/>
  <c r="I240" i="49"/>
  <c r="I235" i="49"/>
  <c r="I135" i="49"/>
  <c r="I273" i="49"/>
  <c r="I14" i="49"/>
  <c r="I56" i="49"/>
  <c r="I72" i="49"/>
  <c r="I114" i="49"/>
  <c r="I207" i="49"/>
  <c r="I77" i="49"/>
  <c r="I223" i="49"/>
  <c r="I13" i="49"/>
  <c r="I259" i="49"/>
  <c r="I175" i="49"/>
  <c r="I126" i="49"/>
  <c r="I230" i="49"/>
  <c r="I59" i="49"/>
  <c r="X316" i="42"/>
  <c r="H21" i="49"/>
  <c r="I21" i="49" s="1"/>
  <c r="E15" i="48"/>
  <c r="H12" i="49"/>
  <c r="I12" i="49" s="1"/>
  <c r="H54" i="49"/>
  <c r="I54" i="49" s="1"/>
  <c r="H111" i="49"/>
  <c r="I111" i="49" s="1"/>
  <c r="H227" i="49"/>
  <c r="I227" i="49" s="1"/>
  <c r="H284" i="49"/>
  <c r="I284" i="49" s="1"/>
  <c r="H98" i="49"/>
  <c r="I98" i="49" s="1"/>
  <c r="H128" i="49"/>
  <c r="I128" i="49" s="1"/>
  <c r="H148" i="49"/>
  <c r="I148" i="49" s="1"/>
  <c r="H192" i="49"/>
  <c r="I192" i="49" s="1"/>
  <c r="H208" i="49"/>
  <c r="I208" i="49" s="1"/>
  <c r="H252" i="49"/>
  <c r="I252" i="49" s="1"/>
  <c r="H281" i="49"/>
  <c r="I281" i="49" s="1"/>
  <c r="H297" i="49"/>
  <c r="I297" i="49" s="1"/>
  <c r="H30" i="49"/>
  <c r="I30" i="49" s="1"/>
  <c r="H62" i="49"/>
  <c r="I62" i="49" s="1"/>
  <c r="H86" i="49"/>
  <c r="I86" i="49" s="1"/>
  <c r="H109" i="49"/>
  <c r="I109" i="49" s="1"/>
  <c r="H136" i="49"/>
  <c r="I136" i="49" s="1"/>
  <c r="H154" i="49"/>
  <c r="I154" i="49" s="1"/>
  <c r="H171" i="49"/>
  <c r="I171" i="49" s="1"/>
  <c r="H185" i="49"/>
  <c r="I185" i="49" s="1"/>
  <c r="H205" i="49"/>
  <c r="I205" i="49" s="1"/>
  <c r="H225" i="49"/>
  <c r="I225" i="49" s="1"/>
  <c r="H257" i="49"/>
  <c r="I257" i="49" s="1"/>
  <c r="H274" i="49"/>
  <c r="I274" i="49" s="1"/>
  <c r="H294" i="49"/>
  <c r="I294" i="49" s="1"/>
  <c r="H308" i="49"/>
  <c r="I308" i="49" s="1"/>
  <c r="H102" i="49"/>
  <c r="I102" i="49" s="1"/>
  <c r="H122" i="49"/>
  <c r="I122" i="49" s="1"/>
  <c r="H137" i="49"/>
  <c r="I137" i="49" s="1"/>
  <c r="H186" i="49"/>
  <c r="I186" i="49" s="1"/>
  <c r="H202" i="49"/>
  <c r="I202" i="49" s="1"/>
  <c r="H218" i="49"/>
  <c r="I218" i="49" s="1"/>
  <c r="H246" i="49"/>
  <c r="I246" i="49" s="1"/>
  <c r="H271" i="49"/>
  <c r="I271" i="49" s="1"/>
  <c r="H287" i="49"/>
  <c r="I287" i="49" s="1"/>
  <c r="H305" i="49"/>
  <c r="I305" i="49" s="1"/>
  <c r="H104" i="49"/>
  <c r="I104" i="49" s="1"/>
  <c r="H151" i="49"/>
  <c r="I151" i="49" s="1"/>
  <c r="H33" i="49"/>
  <c r="I33" i="49" s="1"/>
  <c r="H129" i="49"/>
  <c r="I129" i="49" s="1"/>
  <c r="H7" i="49"/>
  <c r="I7" i="49" s="1"/>
  <c r="H177" i="49"/>
  <c r="I177" i="49" s="1"/>
  <c r="H295" i="49"/>
  <c r="I295" i="49" s="1"/>
  <c r="H199" i="49"/>
  <c r="I199" i="49" s="1"/>
  <c r="H41" i="49"/>
  <c r="I41" i="49" s="1"/>
  <c r="H243" i="49"/>
  <c r="I243" i="49" s="1"/>
  <c r="H88" i="49"/>
  <c r="I88" i="49" s="1"/>
  <c r="H251" i="49"/>
  <c r="I251" i="49" s="1"/>
  <c r="H43" i="49"/>
  <c r="I43" i="49" s="1"/>
  <c r="H50" i="49"/>
  <c r="I50" i="49" s="1"/>
  <c r="H82" i="49"/>
  <c r="I82" i="49" s="1"/>
  <c r="H233" i="49"/>
  <c r="I233" i="49" s="1"/>
  <c r="H26" i="49"/>
  <c r="I26" i="49" s="1"/>
  <c r="H73" i="49"/>
  <c r="I73" i="49" s="1"/>
  <c r="H92" i="49"/>
  <c r="I92" i="49" s="1"/>
  <c r="H134" i="49"/>
  <c r="I134" i="49" s="1"/>
  <c r="H215" i="49"/>
  <c r="I215" i="49" s="1"/>
  <c r="H232" i="49"/>
  <c r="I232" i="49" s="1"/>
  <c r="H264" i="49"/>
  <c r="I264" i="49" s="1"/>
  <c r="H314" i="49"/>
  <c r="I314" i="49" s="1"/>
  <c r="H105" i="49"/>
  <c r="I105" i="49" s="1"/>
  <c r="H152" i="49"/>
  <c r="I152" i="49" s="1"/>
  <c r="H180" i="49"/>
  <c r="I180" i="49" s="1"/>
  <c r="H212" i="49"/>
  <c r="I212" i="49" s="1"/>
  <c r="H224" i="49"/>
  <c r="I224" i="49" s="1"/>
  <c r="H256" i="49"/>
  <c r="I256" i="49" s="1"/>
  <c r="H269" i="49"/>
  <c r="I269" i="49" s="1"/>
  <c r="H285" i="49"/>
  <c r="I285" i="49" s="1"/>
  <c r="H66" i="49"/>
  <c r="I66" i="49" s="1"/>
  <c r="H89" i="49"/>
  <c r="I89" i="49" s="1"/>
  <c r="H113" i="49"/>
  <c r="I113" i="49" s="1"/>
  <c r="H140" i="49"/>
  <c r="I140" i="49" s="1"/>
  <c r="H158" i="49"/>
  <c r="I158" i="49" s="1"/>
  <c r="H174" i="49"/>
  <c r="I174" i="49" s="1"/>
  <c r="H193" i="49"/>
  <c r="I193" i="49" s="1"/>
  <c r="H209" i="49"/>
  <c r="I209" i="49" s="1"/>
  <c r="H229" i="49"/>
  <c r="I229" i="49" s="1"/>
  <c r="H245" i="49"/>
  <c r="I245" i="49" s="1"/>
  <c r="H262" i="49"/>
  <c r="I262" i="49" s="1"/>
  <c r="H282" i="49"/>
  <c r="I282" i="49" s="1"/>
  <c r="H298" i="49"/>
  <c r="I298" i="49" s="1"/>
  <c r="H17" i="49"/>
  <c r="I17" i="49" s="1"/>
  <c r="H53" i="49"/>
  <c r="I53" i="49" s="1"/>
  <c r="H110" i="49"/>
  <c r="I110" i="49" s="1"/>
  <c r="H142" i="49"/>
  <c r="I142" i="49" s="1"/>
  <c r="H190" i="49"/>
  <c r="I190" i="49" s="1"/>
  <c r="H222" i="49"/>
  <c r="I222" i="49" s="1"/>
  <c r="H250" i="49"/>
  <c r="I250" i="49" s="1"/>
  <c r="H275" i="49"/>
  <c r="I275" i="49" s="1"/>
  <c r="H291" i="49"/>
  <c r="I291" i="49" s="1"/>
  <c r="H309" i="49"/>
  <c r="I309" i="49" s="1"/>
  <c r="H64" i="49"/>
  <c r="I64" i="49" s="1"/>
  <c r="H138" i="49"/>
  <c r="I138" i="49" s="1"/>
  <c r="H160" i="49"/>
  <c r="I160" i="49" s="1"/>
  <c r="H203" i="49"/>
  <c r="I203" i="49" s="1"/>
  <c r="H34" i="49"/>
  <c r="I34" i="49" s="1"/>
  <c r="H153" i="49"/>
  <c r="I153" i="49" s="1"/>
  <c r="H117" i="49"/>
  <c r="I117" i="49" s="1"/>
  <c r="H181" i="49"/>
  <c r="I181" i="49" s="1"/>
  <c r="H18" i="49"/>
  <c r="I18" i="49" s="1"/>
  <c r="H173" i="49"/>
  <c r="I173" i="49" s="1"/>
  <c r="H236" i="49"/>
  <c r="I236" i="49" s="1"/>
  <c r="H211" i="49"/>
  <c r="I211" i="49" s="1"/>
  <c r="H112" i="49"/>
  <c r="I112" i="49" s="1"/>
  <c r="H247" i="49"/>
  <c r="I247" i="49" s="1"/>
  <c r="H306" i="49"/>
  <c r="I306" i="49" s="1"/>
  <c r="H44" i="49"/>
  <c r="I44" i="49" s="1"/>
  <c r="H93" i="49"/>
  <c r="I93" i="49" s="1"/>
  <c r="H99" i="49"/>
  <c r="I99" i="49" s="1"/>
  <c r="H267" i="49"/>
  <c r="I267" i="49" s="1"/>
  <c r="H23" i="49"/>
  <c r="I23" i="49" s="1"/>
  <c r="H27" i="49"/>
  <c r="I27" i="49" s="1"/>
  <c r="H155" i="49"/>
  <c r="I155" i="49" s="1"/>
  <c r="H166" i="49"/>
  <c r="I166" i="49" s="1"/>
  <c r="H238" i="49"/>
  <c r="I238" i="49" s="1"/>
  <c r="H97" i="49"/>
  <c r="I97" i="49" s="1"/>
  <c r="H156" i="49"/>
  <c r="I156" i="49" s="1"/>
  <c r="H65" i="49"/>
  <c r="I65" i="49" s="1"/>
  <c r="H116" i="49"/>
  <c r="I116" i="49" s="1"/>
  <c r="H184" i="49"/>
  <c r="I184" i="49" s="1"/>
  <c r="H200" i="49"/>
  <c r="I200" i="49" s="1"/>
  <c r="H216" i="49"/>
  <c r="I216" i="49" s="1"/>
  <c r="H260" i="49"/>
  <c r="I260" i="49" s="1"/>
  <c r="H37" i="49"/>
  <c r="I37" i="49" s="1"/>
  <c r="H94" i="49"/>
  <c r="I94" i="49" s="1"/>
  <c r="H121" i="49"/>
  <c r="I121" i="49" s="1"/>
  <c r="H145" i="49"/>
  <c r="I145" i="49" s="1"/>
  <c r="H162" i="49"/>
  <c r="I162" i="49" s="1"/>
  <c r="H197" i="49"/>
  <c r="I197" i="49" s="1"/>
  <c r="H213" i="49"/>
  <c r="I213" i="49" s="1"/>
  <c r="H234" i="49"/>
  <c r="I234" i="49" s="1"/>
  <c r="H249" i="49"/>
  <c r="I249" i="49" s="1"/>
  <c r="H286" i="49"/>
  <c r="I286" i="49" s="1"/>
  <c r="H300" i="49"/>
  <c r="I300" i="49" s="1"/>
  <c r="H9" i="49"/>
  <c r="I9" i="49" s="1"/>
  <c r="H22" i="49"/>
  <c r="I22" i="49" s="1"/>
  <c r="H57" i="49"/>
  <c r="I57" i="49" s="1"/>
  <c r="H132" i="49"/>
  <c r="I132" i="49" s="1"/>
  <c r="H146" i="49"/>
  <c r="I146" i="49" s="1"/>
  <c r="H178" i="49"/>
  <c r="I178" i="49" s="1"/>
  <c r="H194" i="49"/>
  <c r="I194" i="49" s="1"/>
  <c r="H210" i="49"/>
  <c r="I210" i="49" s="1"/>
  <c r="H254" i="49"/>
  <c r="I254" i="49" s="1"/>
  <c r="H279" i="49"/>
  <c r="I279" i="49" s="1"/>
  <c r="H311" i="49"/>
  <c r="I311" i="49" s="1"/>
  <c r="H69" i="49"/>
  <c r="I69" i="49" s="1"/>
  <c r="H179" i="49"/>
  <c r="I179" i="49" s="1"/>
  <c r="H302" i="49"/>
  <c r="I302" i="49" s="1"/>
  <c r="H228" i="49"/>
  <c r="I228" i="49" s="1"/>
  <c r="H131" i="49"/>
  <c r="I131" i="49" s="1"/>
  <c r="H221" i="49"/>
  <c r="I221" i="49" s="1"/>
  <c r="H96" i="49"/>
  <c r="I96" i="49" s="1"/>
  <c r="H307" i="49"/>
  <c r="I307" i="49" s="1"/>
  <c r="H292" i="49"/>
  <c r="I292" i="49" s="1"/>
  <c r="H124" i="49"/>
  <c r="I124" i="49" s="1"/>
  <c r="H272" i="49"/>
  <c r="I272" i="49" s="1"/>
  <c r="H29" i="49"/>
  <c r="I29" i="49" s="1"/>
  <c r="H45" i="49"/>
  <c r="I45" i="49" s="1"/>
  <c r="H74" i="49"/>
  <c r="I74" i="49" s="1"/>
  <c r="H189" i="49"/>
  <c r="I189" i="49" s="1"/>
  <c r="H24" i="49"/>
  <c r="I24" i="49" s="1"/>
  <c r="H46" i="49"/>
  <c r="I46" i="49" s="1"/>
  <c r="H81" i="49"/>
  <c r="I81" i="49" s="1"/>
  <c r="H167" i="49"/>
  <c r="I167" i="49" s="1"/>
  <c r="H242" i="49"/>
  <c r="I242" i="49" s="1"/>
  <c r="H70" i="49"/>
  <c r="I70" i="49" s="1"/>
  <c r="H120" i="49"/>
  <c r="I120" i="49" s="1"/>
  <c r="H144" i="49"/>
  <c r="I144" i="49" s="1"/>
  <c r="H161" i="49"/>
  <c r="I161" i="49" s="1"/>
  <c r="H188" i="49"/>
  <c r="I188" i="49" s="1"/>
  <c r="H204" i="49"/>
  <c r="I204" i="49" s="1"/>
  <c r="H261" i="49"/>
  <c r="I261" i="49" s="1"/>
  <c r="H277" i="49"/>
  <c r="I277" i="49" s="1"/>
  <c r="H293" i="49"/>
  <c r="I293" i="49" s="1"/>
  <c r="H38" i="49"/>
  <c r="I38" i="49" s="1"/>
  <c r="H61" i="49"/>
  <c r="I61" i="49" s="1"/>
  <c r="H149" i="49"/>
  <c r="I149" i="49" s="1"/>
  <c r="H201" i="49"/>
  <c r="I201" i="49" s="1"/>
  <c r="H217" i="49"/>
  <c r="I217" i="49" s="1"/>
  <c r="H237" i="49"/>
  <c r="I237" i="49" s="1"/>
  <c r="H253" i="49"/>
  <c r="I253" i="49" s="1"/>
  <c r="H270" i="49"/>
  <c r="I270" i="49" s="1"/>
  <c r="H290" i="49"/>
  <c r="I290" i="49" s="1"/>
  <c r="H304" i="49"/>
  <c r="I304" i="49" s="1"/>
  <c r="H58" i="49"/>
  <c r="I58" i="49" s="1"/>
  <c r="H76" i="49"/>
  <c r="I76" i="49" s="1"/>
  <c r="H100" i="49"/>
  <c r="I100" i="49" s="1"/>
  <c r="H118" i="49"/>
  <c r="I118" i="49" s="1"/>
  <c r="H133" i="49"/>
  <c r="I133" i="49" s="1"/>
  <c r="H159" i="49"/>
  <c r="I159" i="49" s="1"/>
  <c r="H182" i="49"/>
  <c r="I182" i="49" s="1"/>
  <c r="H198" i="49"/>
  <c r="I198" i="49" s="1"/>
  <c r="H214" i="49"/>
  <c r="I214" i="49" s="1"/>
  <c r="H241" i="49"/>
  <c r="I241" i="49" s="1"/>
  <c r="H258" i="49"/>
  <c r="I258" i="49" s="1"/>
  <c r="H283" i="49"/>
  <c r="I283" i="49" s="1"/>
  <c r="H301" i="49"/>
  <c r="I301" i="49" s="1"/>
  <c r="H101" i="49"/>
  <c r="I101" i="49" s="1"/>
  <c r="H147" i="49"/>
  <c r="I147" i="49" s="1"/>
  <c r="H187" i="49"/>
  <c r="I187" i="49" s="1"/>
  <c r="H268" i="49"/>
  <c r="I268" i="49" s="1"/>
  <c r="H310" i="49"/>
  <c r="I310" i="49" s="1"/>
  <c r="H40" i="49"/>
  <c r="I40" i="49" s="1"/>
  <c r="H313" i="49"/>
  <c r="I313" i="49" s="1"/>
  <c r="H278" i="49"/>
  <c r="I278" i="49" s="1"/>
  <c r="H168" i="49"/>
  <c r="I168" i="49" s="1"/>
  <c r="H263" i="49"/>
  <c r="I263" i="49" s="1"/>
  <c r="H141" i="49"/>
  <c r="I141" i="49" s="1"/>
  <c r="H312" i="49"/>
  <c r="I312" i="49" s="1"/>
  <c r="H42" i="49"/>
  <c r="I42" i="49" s="1"/>
  <c r="H169" i="49"/>
  <c r="I169" i="49" s="1"/>
  <c r="H10" i="49"/>
  <c r="I10" i="49" s="1"/>
  <c r="H49" i="49"/>
  <c r="I49" i="49" s="1"/>
  <c r="H78" i="49"/>
  <c r="I78" i="49" s="1"/>
  <c r="H108" i="49"/>
  <c r="I108" i="49" s="1"/>
  <c r="T7" i="19"/>
  <c r="H6" i="49" s="1"/>
  <c r="I6" i="49" s="1"/>
  <c r="H20" i="49"/>
  <c r="I20" i="49" s="1"/>
  <c r="H25" i="49"/>
  <c r="I25" i="49" s="1"/>
  <c r="H255" i="49"/>
  <c r="I255" i="49" s="1"/>
  <c r="C5" i="32"/>
  <c r="C314" i="32" s="1"/>
  <c r="H314" i="32" s="1"/>
  <c r="Y316" i="19"/>
  <c r="F16" i="49"/>
  <c r="F60" i="49"/>
  <c r="F11" i="49"/>
  <c r="F191" i="49"/>
  <c r="F288" i="49"/>
  <c r="F235" i="49"/>
  <c r="F15" i="49"/>
  <c r="F196" i="49"/>
  <c r="F31" i="49"/>
  <c r="F13" i="49"/>
  <c r="F130" i="49"/>
  <c r="F91" i="49"/>
  <c r="F127" i="49"/>
  <c r="F183" i="49"/>
  <c r="F259" i="49"/>
  <c r="F48" i="49"/>
  <c r="F248" i="49"/>
  <c r="F14" i="49"/>
  <c r="F75" i="49"/>
  <c r="F85" i="49"/>
  <c r="F95" i="49"/>
  <c r="F125" i="49"/>
  <c r="F176" i="49"/>
  <c r="F72" i="49"/>
  <c r="F90" i="49"/>
  <c r="F114" i="49"/>
  <c r="F226" i="49"/>
  <c r="F296" i="49"/>
  <c r="F106" i="49"/>
  <c r="F19" i="49"/>
  <c r="F195" i="49"/>
  <c r="F51" i="49"/>
  <c r="F79" i="49"/>
  <c r="F240" i="49"/>
  <c r="F28" i="49"/>
  <c r="F230" i="49"/>
  <c r="F59" i="49"/>
  <c r="F164" i="49"/>
  <c r="F35" i="49"/>
  <c r="F77" i="49"/>
  <c r="F119" i="49"/>
  <c r="F276" i="49"/>
  <c r="F299" i="49"/>
  <c r="F52" i="49"/>
  <c r="F83" i="49"/>
  <c r="F80" i="49"/>
  <c r="F163" i="49"/>
  <c r="F231" i="49"/>
  <c r="F172" i="49"/>
  <c r="F165" i="49"/>
  <c r="F123" i="49"/>
  <c r="F223" i="49"/>
  <c r="F280" i="49"/>
  <c r="F32" i="49"/>
  <c r="F139" i="49"/>
  <c r="F157" i="49"/>
  <c r="F239" i="49"/>
  <c r="F289" i="49"/>
  <c r="F56" i="49"/>
  <c r="F84" i="49"/>
  <c r="F175" i="49"/>
  <c r="F266" i="49"/>
  <c r="F67" i="49"/>
  <c r="F68" i="49"/>
  <c r="F126" i="49"/>
  <c r="F206" i="49"/>
  <c r="F47" i="49"/>
  <c r="F143" i="49"/>
  <c r="F207" i="49"/>
  <c r="F39" i="49"/>
  <c r="F107" i="49"/>
  <c r="F150" i="49"/>
  <c r="O316" i="19"/>
  <c r="K8" i="36"/>
  <c r="I317" i="36"/>
  <c r="E317" i="36"/>
  <c r="J317" i="36"/>
  <c r="H317" i="36"/>
  <c r="F317" i="36"/>
  <c r="D317" i="36"/>
  <c r="G316" i="19"/>
  <c r="G317" i="36"/>
  <c r="K317" i="36" l="1"/>
  <c r="E5" i="32"/>
  <c r="E314" i="32" s="1"/>
  <c r="I315" i="49"/>
  <c r="E14" i="48"/>
  <c r="F15" i="48" s="1"/>
  <c r="H5" i="32"/>
  <c r="D11" i="9" s="1"/>
  <c r="D320" i="9" s="1"/>
  <c r="U7" i="19"/>
  <c r="G6" i="49" s="1"/>
  <c r="F6" i="49"/>
  <c r="F16" i="34"/>
  <c r="F28" i="48"/>
  <c r="C114" i="39"/>
  <c r="F115" i="49"/>
  <c r="J233" i="13"/>
  <c r="F233" i="49"/>
  <c r="C250" i="12"/>
  <c r="F251" i="49"/>
  <c r="C198" i="39"/>
  <c r="F199" i="49"/>
  <c r="F129" i="49"/>
  <c r="C304" i="39"/>
  <c r="F305" i="49"/>
  <c r="J218" i="13"/>
  <c r="F218" i="49"/>
  <c r="F122" i="49"/>
  <c r="C273" i="39"/>
  <c r="F274" i="49"/>
  <c r="F154" i="49"/>
  <c r="F62" i="49"/>
  <c r="C296" i="39"/>
  <c r="F297" i="49"/>
  <c r="C207" i="39"/>
  <c r="F208" i="49"/>
  <c r="F128" i="49"/>
  <c r="C283" i="12"/>
  <c r="F284" i="49"/>
  <c r="C11" i="12"/>
  <c r="F12" i="49"/>
  <c r="F135" i="49"/>
  <c r="F63" i="49"/>
  <c r="F78" i="49"/>
  <c r="C167" i="12"/>
  <c r="F168" i="49"/>
  <c r="F268" i="49"/>
  <c r="C300" i="12"/>
  <c r="F301" i="49"/>
  <c r="F258" i="49"/>
  <c r="C181" i="12"/>
  <c r="F182" i="49"/>
  <c r="F100" i="49"/>
  <c r="F58" i="49"/>
  <c r="F253" i="49"/>
  <c r="C260" i="12"/>
  <c r="F261" i="49"/>
  <c r="C143" i="12"/>
  <c r="F144" i="49"/>
  <c r="F70" i="49"/>
  <c r="F46" i="49"/>
  <c r="C73" i="12"/>
  <c r="F74" i="49"/>
  <c r="F124" i="49"/>
  <c r="F96" i="49"/>
  <c r="F302" i="49"/>
  <c r="C278" i="12"/>
  <c r="F279" i="49"/>
  <c r="J194" i="13"/>
  <c r="F194" i="49"/>
  <c r="F57" i="49"/>
  <c r="F286" i="49"/>
  <c r="J197" i="13"/>
  <c r="F197" i="49"/>
  <c r="C199" i="39"/>
  <c r="F200" i="49"/>
  <c r="F97" i="49"/>
  <c r="J27" i="13"/>
  <c r="F27" i="49"/>
  <c r="F93" i="49"/>
  <c r="F112" i="49"/>
  <c r="C17" i="12"/>
  <c r="F18" i="49"/>
  <c r="J34" i="13"/>
  <c r="F34" i="49"/>
  <c r="F138" i="49"/>
  <c r="F275" i="49"/>
  <c r="C141" i="12"/>
  <c r="F142" i="49"/>
  <c r="J298" i="13"/>
  <c r="F298" i="49"/>
  <c r="C228" i="39"/>
  <c r="F229" i="49"/>
  <c r="F158" i="49"/>
  <c r="F66" i="49"/>
  <c r="C223" i="39"/>
  <c r="F224" i="49"/>
  <c r="J215" i="13"/>
  <c r="F215" i="49"/>
  <c r="J26" i="13"/>
  <c r="F26" i="49"/>
  <c r="F265" i="49"/>
  <c r="F88" i="49"/>
  <c r="F295" i="49"/>
  <c r="J7" i="13"/>
  <c r="F7" i="49"/>
  <c r="F33" i="49"/>
  <c r="F104" i="49"/>
  <c r="F287" i="49"/>
  <c r="J246" i="13"/>
  <c r="F246" i="49"/>
  <c r="C201" i="12"/>
  <c r="F202" i="49"/>
  <c r="C136" i="12"/>
  <c r="F137" i="49"/>
  <c r="F294" i="49"/>
  <c r="F257" i="49"/>
  <c r="F205" i="49"/>
  <c r="C170" i="39"/>
  <c r="F171" i="49"/>
  <c r="F136" i="49"/>
  <c r="C29" i="12"/>
  <c r="F30" i="49"/>
  <c r="F281" i="49"/>
  <c r="F192" i="49"/>
  <c r="C147" i="12"/>
  <c r="F148" i="49"/>
  <c r="F98" i="49"/>
  <c r="F227" i="49"/>
  <c r="J54" i="13"/>
  <c r="F54" i="49"/>
  <c r="F8" i="49"/>
  <c r="C49" i="39"/>
  <c r="F50" i="49"/>
  <c r="C242" i="12"/>
  <c r="F243" i="49"/>
  <c r="F177" i="49"/>
  <c r="C150" i="39"/>
  <c r="F151" i="49"/>
  <c r="J271" i="13"/>
  <c r="F271" i="49"/>
  <c r="C185" i="12"/>
  <c r="F186" i="49"/>
  <c r="C307" i="12"/>
  <c r="F308" i="49"/>
  <c r="C224" i="39"/>
  <c r="F225" i="49"/>
  <c r="F185" i="49"/>
  <c r="C108" i="12"/>
  <c r="F109" i="49"/>
  <c r="C251" i="39"/>
  <c r="F252" i="49"/>
  <c r="J111" i="13"/>
  <c r="F111" i="49"/>
  <c r="F87" i="49"/>
  <c r="J303" i="13"/>
  <c r="F303" i="49"/>
  <c r="F220" i="49"/>
  <c r="C24" i="12"/>
  <c r="F25" i="49"/>
  <c r="J10" i="13"/>
  <c r="F10" i="49"/>
  <c r="J141" i="13"/>
  <c r="F141" i="49"/>
  <c r="F40" i="49"/>
  <c r="C146" i="39"/>
  <c r="F147" i="49"/>
  <c r="F214" i="49"/>
  <c r="C132" i="39"/>
  <c r="F133" i="49"/>
  <c r="C289" i="12"/>
  <c r="F290" i="49"/>
  <c r="J217" i="13"/>
  <c r="F217" i="49"/>
  <c r="F61" i="49"/>
  <c r="C292" i="12"/>
  <c r="F293" i="49"/>
  <c r="F188" i="49"/>
  <c r="J167" i="13"/>
  <c r="F167" i="49"/>
  <c r="J24" i="13"/>
  <c r="F24" i="49"/>
  <c r="F307" i="49"/>
  <c r="J131" i="13"/>
  <c r="F131" i="49"/>
  <c r="C145" i="39"/>
  <c r="F146" i="49"/>
  <c r="C8" i="39"/>
  <c r="F9" i="49"/>
  <c r="C233" i="39"/>
  <c r="F234" i="49"/>
  <c r="C144" i="39"/>
  <c r="F145" i="49"/>
  <c r="C259" i="39"/>
  <c r="F260" i="49"/>
  <c r="J116" i="13"/>
  <c r="F116" i="49"/>
  <c r="C165" i="12"/>
  <c r="F166" i="49"/>
  <c r="F267" i="49"/>
  <c r="C305" i="12"/>
  <c r="F306" i="49"/>
  <c r="J236" i="13"/>
  <c r="F236" i="49"/>
  <c r="C116" i="12"/>
  <c r="F117" i="49"/>
  <c r="F203" i="49"/>
  <c r="C308" i="39"/>
  <c r="F309" i="49"/>
  <c r="C189" i="12"/>
  <c r="F190" i="49"/>
  <c r="J262" i="13"/>
  <c r="F262" i="49"/>
  <c r="C192" i="12"/>
  <c r="F193" i="49"/>
  <c r="F113" i="49"/>
  <c r="F269" i="49"/>
  <c r="C179" i="39"/>
  <c r="F180" i="49"/>
  <c r="C263" i="12"/>
  <c r="F264" i="49"/>
  <c r="F92" i="49"/>
  <c r="F71" i="49"/>
  <c r="F273" i="49"/>
  <c r="C102" i="12"/>
  <c r="F103" i="49"/>
  <c r="J255" i="13"/>
  <c r="F255" i="49"/>
  <c r="F20" i="49"/>
  <c r="F49" i="49"/>
  <c r="C168" i="39"/>
  <c r="F169" i="49"/>
  <c r="F312" i="49"/>
  <c r="C262" i="39"/>
  <c r="F263" i="49"/>
  <c r="F278" i="49"/>
  <c r="F313" i="49"/>
  <c r="F310" i="49"/>
  <c r="C186" i="12"/>
  <c r="F187" i="49"/>
  <c r="F283" i="49"/>
  <c r="F241" i="49"/>
  <c r="F198" i="49"/>
  <c r="F159" i="49"/>
  <c r="F118" i="49"/>
  <c r="F304" i="49"/>
  <c r="F270" i="49"/>
  <c r="F237" i="49"/>
  <c r="F201" i="49"/>
  <c r="C148" i="12"/>
  <c r="F149" i="49"/>
  <c r="F38" i="49"/>
  <c r="J277" i="13"/>
  <c r="F277" i="49"/>
  <c r="F204" i="49"/>
  <c r="F161" i="49"/>
  <c r="J120" i="13"/>
  <c r="F120" i="49"/>
  <c r="F242" i="49"/>
  <c r="F81" i="49"/>
  <c r="C188" i="39"/>
  <c r="F189" i="49"/>
  <c r="J272" i="13"/>
  <c r="F272" i="49"/>
  <c r="F292" i="49"/>
  <c r="F221" i="49"/>
  <c r="F228" i="49"/>
  <c r="F179" i="49"/>
  <c r="F311" i="49"/>
  <c r="C253" i="39"/>
  <c r="F254" i="49"/>
  <c r="J210" i="13"/>
  <c r="F210" i="49"/>
  <c r="F178" i="49"/>
  <c r="F132" i="49"/>
  <c r="F22" i="49"/>
  <c r="J300" i="13"/>
  <c r="F300" i="49"/>
  <c r="F249" i="49"/>
  <c r="C212" i="12"/>
  <c r="F213" i="49"/>
  <c r="F162" i="49"/>
  <c r="J121" i="13"/>
  <c r="F121" i="49"/>
  <c r="F37" i="49"/>
  <c r="F216" i="49"/>
  <c r="F184" i="49"/>
  <c r="C64" i="12"/>
  <c r="F65" i="49"/>
  <c r="F156" i="49"/>
  <c r="F238" i="49"/>
  <c r="F155" i="49"/>
  <c r="F99" i="49"/>
  <c r="F247" i="49"/>
  <c r="F211" i="49"/>
  <c r="J173" i="13"/>
  <c r="F173" i="49"/>
  <c r="C180" i="39"/>
  <c r="F181" i="49"/>
  <c r="F153" i="49"/>
  <c r="F160" i="49"/>
  <c r="F64" i="49"/>
  <c r="F291" i="49"/>
  <c r="F250" i="49"/>
  <c r="F222" i="49"/>
  <c r="J110" i="13"/>
  <c r="F110" i="49"/>
  <c r="F17" i="49"/>
  <c r="F282" i="49"/>
  <c r="F245" i="49"/>
  <c r="F209" i="49"/>
  <c r="F174" i="49"/>
  <c r="C139" i="12"/>
  <c r="F140" i="49"/>
  <c r="J285" i="13"/>
  <c r="F285" i="49"/>
  <c r="F256" i="49"/>
  <c r="C211" i="12"/>
  <c r="F212" i="49"/>
  <c r="F152" i="49"/>
  <c r="F314" i="49"/>
  <c r="C231" i="12"/>
  <c r="F232" i="49"/>
  <c r="F134" i="49"/>
  <c r="C72" i="39"/>
  <c r="F73" i="49"/>
  <c r="F108" i="49"/>
  <c r="C104" i="39"/>
  <c r="F105" i="49"/>
  <c r="C101" i="12"/>
  <c r="F102" i="49"/>
  <c r="F101" i="49"/>
  <c r="C93" i="39"/>
  <c r="F94" i="49"/>
  <c r="F89" i="49"/>
  <c r="F86" i="49"/>
  <c r="F82" i="49"/>
  <c r="F76" i="49"/>
  <c r="C68" i="12"/>
  <c r="F69" i="49"/>
  <c r="F55" i="49"/>
  <c r="J53" i="13"/>
  <c r="F53" i="49"/>
  <c r="J45" i="13"/>
  <c r="F45" i="49"/>
  <c r="F44" i="49"/>
  <c r="F43" i="49"/>
  <c r="F42" i="49"/>
  <c r="C40" i="12"/>
  <c r="F41" i="49"/>
  <c r="F36" i="49"/>
  <c r="F29" i="49"/>
  <c r="H315" i="49"/>
  <c r="C22" i="39"/>
  <c r="F23" i="49"/>
  <c r="F21" i="49"/>
  <c r="T316" i="19"/>
  <c r="C62" i="12"/>
  <c r="G206" i="49"/>
  <c r="G32" i="49"/>
  <c r="G172" i="49"/>
  <c r="G35" i="49"/>
  <c r="G59" i="49"/>
  <c r="G72" i="49"/>
  <c r="G85" i="49"/>
  <c r="G127" i="49"/>
  <c r="G207" i="49"/>
  <c r="G126" i="49"/>
  <c r="G56" i="49"/>
  <c r="G280" i="49"/>
  <c r="G231" i="49"/>
  <c r="G276" i="49"/>
  <c r="G230" i="49"/>
  <c r="G195" i="49"/>
  <c r="G176" i="49"/>
  <c r="G48" i="49"/>
  <c r="G235" i="49"/>
  <c r="G11" i="49"/>
  <c r="G143" i="49"/>
  <c r="G175" i="49"/>
  <c r="G157" i="49"/>
  <c r="G223" i="49"/>
  <c r="G165" i="49"/>
  <c r="G163" i="49"/>
  <c r="G52" i="49"/>
  <c r="G119" i="49"/>
  <c r="G164" i="49"/>
  <c r="G28" i="49"/>
  <c r="G51" i="49"/>
  <c r="G19" i="49"/>
  <c r="G114" i="49"/>
  <c r="G125" i="49"/>
  <c r="G14" i="49"/>
  <c r="G259" i="49"/>
  <c r="G31" i="49"/>
  <c r="G39" i="49"/>
  <c r="G67" i="49"/>
  <c r="G296" i="49"/>
  <c r="G15" i="49"/>
  <c r="G191" i="49"/>
  <c r="G150" i="49"/>
  <c r="G266" i="49"/>
  <c r="G239" i="49"/>
  <c r="G83" i="49"/>
  <c r="G79" i="49"/>
  <c r="G226" i="49"/>
  <c r="G75" i="49"/>
  <c r="G91" i="49"/>
  <c r="G13" i="49"/>
  <c r="G16" i="49"/>
  <c r="G107" i="49"/>
  <c r="G47" i="49"/>
  <c r="G68" i="49"/>
  <c r="G84" i="49"/>
  <c r="G289" i="49"/>
  <c r="G139" i="49"/>
  <c r="G123" i="49"/>
  <c r="G80" i="49"/>
  <c r="G299" i="49"/>
  <c r="G77" i="49"/>
  <c r="G240" i="49"/>
  <c r="G106" i="49"/>
  <c r="G90" i="49"/>
  <c r="G95" i="49"/>
  <c r="G248" i="49"/>
  <c r="G183" i="49"/>
  <c r="G130" i="49"/>
  <c r="G196" i="49"/>
  <c r="G288" i="49"/>
  <c r="G60" i="49"/>
  <c r="C5" i="9"/>
  <c r="D315" i="25"/>
  <c r="D314" i="33"/>
  <c r="R316" i="19"/>
  <c r="J170" i="49" l="1"/>
  <c r="J244" i="49"/>
  <c r="K170" i="49"/>
  <c r="L170" i="49" s="1"/>
  <c r="J6" i="49"/>
  <c r="L6" i="49" s="1"/>
  <c r="J219" i="49"/>
  <c r="F325" i="34"/>
  <c r="C11" i="39"/>
  <c r="C199" i="12"/>
  <c r="J128" i="13"/>
  <c r="C121" i="39"/>
  <c r="J46" i="13"/>
  <c r="C65" i="12"/>
  <c r="C127" i="39"/>
  <c r="C224" i="12"/>
  <c r="J199" i="13"/>
  <c r="J112" i="13"/>
  <c r="J124" i="13"/>
  <c r="J158" i="13"/>
  <c r="J275" i="13"/>
  <c r="C111" i="39"/>
  <c r="C26" i="39"/>
  <c r="J9" i="13"/>
  <c r="C116" i="39"/>
  <c r="J65" i="13"/>
  <c r="J228" i="13"/>
  <c r="J208" i="13"/>
  <c r="J50" i="13"/>
  <c r="C307" i="39"/>
  <c r="C278" i="39"/>
  <c r="C268" i="39"/>
  <c r="C308" i="12"/>
  <c r="J145" i="13"/>
  <c r="C140" i="39"/>
  <c r="J8" i="49"/>
  <c r="K8" i="49" s="1"/>
  <c r="J297" i="13"/>
  <c r="C65" i="39"/>
  <c r="C172" i="39"/>
  <c r="C110" i="39"/>
  <c r="C176" i="39"/>
  <c r="C130" i="12"/>
  <c r="C5" i="39"/>
  <c r="G36" i="49"/>
  <c r="J36" i="13"/>
  <c r="C35" i="39"/>
  <c r="G42" i="49"/>
  <c r="J42" i="13"/>
  <c r="C41" i="39"/>
  <c r="C41" i="12"/>
  <c r="G44" i="49"/>
  <c r="C43" i="39"/>
  <c r="G53" i="49"/>
  <c r="C52" i="12"/>
  <c r="G82" i="49"/>
  <c r="C81" i="12"/>
  <c r="G89" i="49"/>
  <c r="C88" i="39"/>
  <c r="J89" i="13"/>
  <c r="G101" i="49"/>
  <c r="C100" i="12"/>
  <c r="G105" i="49"/>
  <c r="C104" i="12"/>
  <c r="G73" i="49"/>
  <c r="J73" i="13"/>
  <c r="G232" i="49"/>
  <c r="C231" i="39"/>
  <c r="G152" i="49"/>
  <c r="C151" i="39"/>
  <c r="G256" i="49"/>
  <c r="C255" i="39"/>
  <c r="G140" i="49"/>
  <c r="C139" i="39"/>
  <c r="J140" i="13"/>
  <c r="G209" i="49"/>
  <c r="J209" i="13"/>
  <c r="G282" i="49"/>
  <c r="C281" i="12"/>
  <c r="C281" i="39"/>
  <c r="G110" i="49"/>
  <c r="C109" i="39"/>
  <c r="G222" i="49"/>
  <c r="C221" i="39"/>
  <c r="C221" i="12"/>
  <c r="G291" i="49"/>
  <c r="J291" i="13"/>
  <c r="G160" i="49"/>
  <c r="J160" i="13"/>
  <c r="C159" i="39"/>
  <c r="G153" i="49"/>
  <c r="J153" i="13"/>
  <c r="C152" i="12"/>
  <c r="G173" i="49"/>
  <c r="C172" i="12"/>
  <c r="G247" i="49"/>
  <c r="J247" i="13"/>
  <c r="C246" i="39"/>
  <c r="G155" i="49"/>
  <c r="J155" i="13"/>
  <c r="G156" i="49"/>
  <c r="C155" i="12"/>
  <c r="C155" i="39"/>
  <c r="G184" i="49"/>
  <c r="C183" i="39"/>
  <c r="J184" i="13"/>
  <c r="G37" i="49"/>
  <c r="C36" i="39"/>
  <c r="C36" i="12"/>
  <c r="G162" i="49"/>
  <c r="C161" i="12"/>
  <c r="C161" i="39"/>
  <c r="G249" i="49"/>
  <c r="C248" i="39"/>
  <c r="G22" i="49"/>
  <c r="C21" i="39"/>
  <c r="C21" i="12"/>
  <c r="G178" i="49"/>
  <c r="C177" i="39"/>
  <c r="C177" i="12"/>
  <c r="G254" i="49"/>
  <c r="C253" i="12"/>
  <c r="G179" i="49"/>
  <c r="C178" i="12"/>
  <c r="C178" i="39"/>
  <c r="G221" i="49"/>
  <c r="J221" i="13"/>
  <c r="C220" i="39"/>
  <c r="G292" i="49"/>
  <c r="C291" i="12"/>
  <c r="G189" i="49"/>
  <c r="C188" i="12"/>
  <c r="G81" i="49"/>
  <c r="C80" i="39"/>
  <c r="G120" i="49"/>
  <c r="G204" i="49"/>
  <c r="C203" i="39"/>
  <c r="G38" i="49"/>
  <c r="C37" i="12"/>
  <c r="C37" i="39"/>
  <c r="G201" i="49"/>
  <c r="C200" i="39"/>
  <c r="C200" i="12"/>
  <c r="G270" i="49"/>
  <c r="C269" i="39"/>
  <c r="C269" i="12"/>
  <c r="G118" i="49"/>
  <c r="C117" i="12"/>
  <c r="G198" i="49"/>
  <c r="J198" i="13"/>
  <c r="C197" i="39"/>
  <c r="G283" i="49"/>
  <c r="C282" i="39"/>
  <c r="C282" i="12"/>
  <c r="G310" i="49"/>
  <c r="C309" i="39"/>
  <c r="G278" i="49"/>
  <c r="C277" i="39"/>
  <c r="C277" i="12"/>
  <c r="J278" i="13"/>
  <c r="G312" i="49"/>
  <c r="C311" i="12"/>
  <c r="J312" i="13"/>
  <c r="G49" i="49"/>
  <c r="C48" i="39"/>
  <c r="J49" i="13"/>
  <c r="C48" i="12"/>
  <c r="G255" i="49"/>
  <c r="C254" i="12"/>
  <c r="G273" i="49"/>
  <c r="C272" i="12"/>
  <c r="J273" i="13"/>
  <c r="C272" i="39"/>
  <c r="G92" i="49"/>
  <c r="J92" i="13"/>
  <c r="C91" i="39"/>
  <c r="C91" i="12"/>
  <c r="G180" i="49"/>
  <c r="J180" i="13"/>
  <c r="G113" i="49"/>
  <c r="J113" i="13"/>
  <c r="C112" i="12"/>
  <c r="G262" i="49"/>
  <c r="C261" i="39"/>
  <c r="C261" i="12"/>
  <c r="G203" i="49"/>
  <c r="J203" i="13"/>
  <c r="C202" i="39"/>
  <c r="G236" i="49"/>
  <c r="C235" i="12"/>
  <c r="G267" i="49"/>
  <c r="C266" i="12"/>
  <c r="J267" i="13"/>
  <c r="C266" i="39"/>
  <c r="G260" i="49"/>
  <c r="J260" i="13"/>
  <c r="C259" i="12"/>
  <c r="G234" i="49"/>
  <c r="C233" i="12"/>
  <c r="G146" i="49"/>
  <c r="J146" i="13"/>
  <c r="C145" i="12"/>
  <c r="G131" i="49"/>
  <c r="C130" i="39"/>
  <c r="G24" i="49"/>
  <c r="C23" i="39"/>
  <c r="G188" i="49"/>
  <c r="J188" i="13"/>
  <c r="C187" i="12"/>
  <c r="C187" i="39"/>
  <c r="G61" i="49"/>
  <c r="C60" i="12"/>
  <c r="J61" i="13"/>
  <c r="C60" i="39"/>
  <c r="G290" i="49"/>
  <c r="C289" i="39"/>
  <c r="J290" i="13"/>
  <c r="G214" i="49"/>
  <c r="J214" i="13"/>
  <c r="C213" i="39"/>
  <c r="C213" i="12"/>
  <c r="G40" i="49"/>
  <c r="C39" i="39"/>
  <c r="C39" i="12"/>
  <c r="G141" i="49"/>
  <c r="C140" i="12"/>
  <c r="G25" i="49"/>
  <c r="C24" i="39"/>
  <c r="J25" i="13"/>
  <c r="G303" i="49"/>
  <c r="C302" i="39"/>
  <c r="G111" i="49"/>
  <c r="C110" i="12"/>
  <c r="G252" i="49"/>
  <c r="J252" i="13"/>
  <c r="G185" i="49"/>
  <c r="J185" i="13"/>
  <c r="C184" i="12"/>
  <c r="G308" i="49"/>
  <c r="J308" i="13"/>
  <c r="G271" i="49"/>
  <c r="C270" i="12"/>
  <c r="G177" i="49"/>
  <c r="C176" i="12"/>
  <c r="J177" i="13"/>
  <c r="G50" i="49"/>
  <c r="C49" i="12"/>
  <c r="G54" i="49"/>
  <c r="C53" i="12"/>
  <c r="C53" i="39"/>
  <c r="G98" i="49"/>
  <c r="C97" i="12"/>
  <c r="J98" i="13"/>
  <c r="G192" i="49"/>
  <c r="J192" i="13"/>
  <c r="C191" i="39"/>
  <c r="C191" i="12"/>
  <c r="G281" i="49"/>
  <c r="C280" i="39"/>
  <c r="J281" i="13"/>
  <c r="C280" i="12"/>
  <c r="G136" i="49"/>
  <c r="J136" i="13"/>
  <c r="C135" i="39"/>
  <c r="G205" i="49"/>
  <c r="C204" i="39"/>
  <c r="J205" i="13"/>
  <c r="C204" i="12"/>
  <c r="G294" i="49"/>
  <c r="C293" i="39"/>
  <c r="J294" i="13"/>
  <c r="C293" i="12"/>
  <c r="G202" i="49"/>
  <c r="C201" i="39"/>
  <c r="J202" i="13"/>
  <c r="G287" i="49"/>
  <c r="J287" i="13"/>
  <c r="C286" i="39"/>
  <c r="G33" i="49"/>
  <c r="C32" i="39"/>
  <c r="J33" i="13"/>
  <c r="G295" i="49"/>
  <c r="J295" i="13"/>
  <c r="C294" i="39"/>
  <c r="C294" i="12"/>
  <c r="G265" i="49"/>
  <c r="C264" i="12"/>
  <c r="J265" i="13"/>
  <c r="G215" i="49"/>
  <c r="C214" i="39"/>
  <c r="C214" i="12"/>
  <c r="G66" i="49"/>
  <c r="J66" i="13"/>
  <c r="G229" i="49"/>
  <c r="J229" i="13"/>
  <c r="C228" i="12"/>
  <c r="G142" i="49"/>
  <c r="J142" i="13"/>
  <c r="C141" i="39"/>
  <c r="G138" i="49"/>
  <c r="C137" i="39"/>
  <c r="J138" i="13"/>
  <c r="C137" i="12"/>
  <c r="G18" i="49"/>
  <c r="J18" i="13"/>
  <c r="G93" i="49"/>
  <c r="C92" i="39"/>
  <c r="J93" i="13"/>
  <c r="C92" i="12"/>
  <c r="G97" i="49"/>
  <c r="J97" i="13"/>
  <c r="C96" i="12"/>
  <c r="C96" i="39"/>
  <c r="G197" i="49"/>
  <c r="C196" i="12"/>
  <c r="G57" i="49"/>
  <c r="C56" i="12"/>
  <c r="J57" i="13"/>
  <c r="C56" i="39"/>
  <c r="G279" i="49"/>
  <c r="J279" i="13"/>
  <c r="G96" i="49"/>
  <c r="C95" i="12"/>
  <c r="G74" i="49"/>
  <c r="J74" i="13"/>
  <c r="G70" i="49"/>
  <c r="C69" i="39"/>
  <c r="C69" i="12"/>
  <c r="G261" i="49"/>
  <c r="C260" i="39"/>
  <c r="J261" i="13"/>
  <c r="G253" i="49"/>
  <c r="J253" i="13"/>
  <c r="C252" i="12"/>
  <c r="C252" i="39"/>
  <c r="G100" i="49"/>
  <c r="C99" i="12"/>
  <c r="J100" i="13"/>
  <c r="G258" i="49"/>
  <c r="C257" i="39"/>
  <c r="J258" i="13"/>
  <c r="C257" i="12"/>
  <c r="G268" i="49"/>
  <c r="J268" i="13"/>
  <c r="C267" i="12"/>
  <c r="C267" i="39"/>
  <c r="G78" i="49"/>
  <c r="C77" i="39"/>
  <c r="J78" i="13"/>
  <c r="C77" i="12"/>
  <c r="G135" i="49"/>
  <c r="C134" i="39"/>
  <c r="J135" i="13"/>
  <c r="C134" i="12"/>
  <c r="G284" i="49"/>
  <c r="J284" i="13"/>
  <c r="C283" i="39"/>
  <c r="G208" i="49"/>
  <c r="C207" i="12"/>
  <c r="G62" i="49"/>
  <c r="C61" i="12"/>
  <c r="C61" i="39"/>
  <c r="G274" i="49"/>
  <c r="C273" i="12"/>
  <c r="G218" i="49"/>
  <c r="C217" i="12"/>
  <c r="C217" i="39"/>
  <c r="G129" i="49"/>
  <c r="J129" i="13"/>
  <c r="C128" i="12"/>
  <c r="C128" i="39"/>
  <c r="G251" i="49"/>
  <c r="J251" i="13"/>
  <c r="C250" i="39"/>
  <c r="G115" i="49"/>
  <c r="J115" i="13"/>
  <c r="C114" i="12"/>
  <c r="C251" i="12"/>
  <c r="J62" i="13"/>
  <c r="C184" i="39"/>
  <c r="J274" i="13"/>
  <c r="C270" i="39"/>
  <c r="J105" i="13"/>
  <c r="C202" i="12"/>
  <c r="C17" i="39"/>
  <c r="J234" i="13"/>
  <c r="C95" i="39"/>
  <c r="C73" i="39"/>
  <c r="C99" i="39"/>
  <c r="J40" i="13"/>
  <c r="C35" i="12"/>
  <c r="C286" i="12"/>
  <c r="J152" i="13"/>
  <c r="C208" i="39"/>
  <c r="C290" i="39"/>
  <c r="J118" i="13"/>
  <c r="G69" i="49"/>
  <c r="J69" i="13"/>
  <c r="C179" i="12"/>
  <c r="C112" i="39"/>
  <c r="C52" i="39"/>
  <c r="C235" i="39"/>
  <c r="C196" i="39"/>
  <c r="C68" i="39"/>
  <c r="J96" i="13"/>
  <c r="C23" i="12"/>
  <c r="J70" i="13"/>
  <c r="C302" i="12"/>
  <c r="C97" i="39"/>
  <c r="C135" i="12"/>
  <c r="C32" i="12"/>
  <c r="C81" i="39"/>
  <c r="C255" i="12"/>
  <c r="J282" i="13"/>
  <c r="C154" i="39"/>
  <c r="C119" i="39"/>
  <c r="J310" i="13"/>
  <c r="G21" i="49"/>
  <c r="C20" i="12"/>
  <c r="J159" i="13"/>
  <c r="C5" i="12"/>
  <c r="C25" i="12"/>
  <c r="C306" i="12"/>
  <c r="F5" i="32"/>
  <c r="J6" i="13"/>
  <c r="C100" i="39"/>
  <c r="C20" i="39"/>
  <c r="J305" i="13"/>
  <c r="C285" i="39"/>
  <c r="J302" i="13"/>
  <c r="C5" i="33"/>
  <c r="J7" i="49"/>
  <c r="L7" i="49" s="1"/>
  <c r="J9" i="49"/>
  <c r="J13" i="49"/>
  <c r="J17" i="49"/>
  <c r="J21" i="49"/>
  <c r="J25" i="49"/>
  <c r="J29" i="49"/>
  <c r="J33" i="49"/>
  <c r="J37" i="49"/>
  <c r="J41" i="49"/>
  <c r="J45" i="49"/>
  <c r="J49" i="49"/>
  <c r="J53" i="49"/>
  <c r="J57" i="49"/>
  <c r="J61" i="49"/>
  <c r="J65" i="49"/>
  <c r="J69" i="49"/>
  <c r="J12" i="49"/>
  <c r="J18" i="49"/>
  <c r="J23" i="49"/>
  <c r="J28" i="49"/>
  <c r="J34" i="49"/>
  <c r="J39" i="49"/>
  <c r="J44" i="49"/>
  <c r="J50" i="49"/>
  <c r="J55" i="49"/>
  <c r="J60" i="49"/>
  <c r="J66" i="49"/>
  <c r="J71" i="49"/>
  <c r="J75" i="49"/>
  <c r="J79" i="49"/>
  <c r="J83" i="49"/>
  <c r="J87" i="49"/>
  <c r="J91" i="49"/>
  <c r="J95" i="49"/>
  <c r="J99" i="49"/>
  <c r="J103" i="49"/>
  <c r="J107" i="49"/>
  <c r="J111" i="49"/>
  <c r="J115" i="49"/>
  <c r="J119" i="49"/>
  <c r="L119" i="49" s="1"/>
  <c r="J123" i="49"/>
  <c r="J127" i="49"/>
  <c r="L127" i="49" s="1"/>
  <c r="J131" i="49"/>
  <c r="L131" i="49" s="1"/>
  <c r="J135" i="49"/>
  <c r="L135" i="49" s="1"/>
  <c r="J139" i="49"/>
  <c r="J143" i="49"/>
  <c r="J147" i="49"/>
  <c r="J151" i="49"/>
  <c r="L151" i="49" s="1"/>
  <c r="J155" i="49"/>
  <c r="L155" i="49" s="1"/>
  <c r="J159" i="49"/>
  <c r="J163" i="49"/>
  <c r="J171" i="49"/>
  <c r="J178" i="49"/>
  <c r="J182" i="49"/>
  <c r="J186" i="49"/>
  <c r="J190" i="49"/>
  <c r="J194" i="49"/>
  <c r="J198" i="49"/>
  <c r="J202" i="49"/>
  <c r="L202" i="49" s="1"/>
  <c r="J206" i="49"/>
  <c r="J210" i="49"/>
  <c r="J214" i="49"/>
  <c r="J218" i="49"/>
  <c r="J221" i="49"/>
  <c r="J225" i="49"/>
  <c r="L225" i="49" s="1"/>
  <c r="J229" i="49"/>
  <c r="J11" i="49"/>
  <c r="J19" i="49"/>
  <c r="J26" i="49"/>
  <c r="J32" i="49"/>
  <c r="J40" i="49"/>
  <c r="J47" i="49"/>
  <c r="J54" i="49"/>
  <c r="J62" i="49"/>
  <c r="J68" i="49"/>
  <c r="J74" i="49"/>
  <c r="J80" i="49"/>
  <c r="J85" i="49"/>
  <c r="J90" i="49"/>
  <c r="J96" i="49"/>
  <c r="J101" i="49"/>
  <c r="J106" i="49"/>
  <c r="J112" i="49"/>
  <c r="L112" i="49" s="1"/>
  <c r="J117" i="49"/>
  <c r="L117" i="49" s="1"/>
  <c r="J122" i="49"/>
  <c r="L122" i="49" s="1"/>
  <c r="J128" i="49"/>
  <c r="L128" i="49" s="1"/>
  <c r="J133" i="49"/>
  <c r="J138" i="49"/>
  <c r="J144" i="49"/>
  <c r="L144" i="49" s="1"/>
  <c r="J149" i="49"/>
  <c r="L149" i="49" s="1"/>
  <c r="J154" i="49"/>
  <c r="L154" i="49" s="1"/>
  <c r="J160" i="49"/>
  <c r="J164" i="49"/>
  <c r="J167" i="49"/>
  <c r="J172" i="49"/>
  <c r="J176" i="49"/>
  <c r="J181" i="49"/>
  <c r="J187" i="49"/>
  <c r="J192" i="49"/>
  <c r="J197" i="49"/>
  <c r="J203" i="49"/>
  <c r="L203" i="49" s="1"/>
  <c r="J208" i="49"/>
  <c r="J213" i="49"/>
  <c r="J223" i="49"/>
  <c r="J228" i="49"/>
  <c r="J233" i="49"/>
  <c r="J236" i="49"/>
  <c r="J238" i="49"/>
  <c r="J242" i="49"/>
  <c r="J247" i="49"/>
  <c r="J251" i="49"/>
  <c r="J255" i="49"/>
  <c r="J259" i="49"/>
  <c r="J263" i="49"/>
  <c r="J267" i="49"/>
  <c r="J271" i="49"/>
  <c r="J275" i="49"/>
  <c r="L275" i="49" s="1"/>
  <c r="J279" i="49"/>
  <c r="L279" i="49" s="1"/>
  <c r="J283" i="49"/>
  <c r="L283" i="49" s="1"/>
  <c r="J287" i="49"/>
  <c r="J291" i="49"/>
  <c r="J295" i="49"/>
  <c r="J298" i="49"/>
  <c r="J302" i="49"/>
  <c r="J306" i="49"/>
  <c r="J310" i="49"/>
  <c r="J314" i="49"/>
  <c r="J10" i="49"/>
  <c r="J20" i="49"/>
  <c r="J30" i="49"/>
  <c r="J38" i="49"/>
  <c r="J48" i="49"/>
  <c r="J58" i="49"/>
  <c r="J67" i="49"/>
  <c r="J76" i="49"/>
  <c r="J82" i="49"/>
  <c r="J89" i="49"/>
  <c r="J97" i="49"/>
  <c r="J104" i="49"/>
  <c r="J110" i="49"/>
  <c r="J118" i="49"/>
  <c r="J125" i="49"/>
  <c r="J132" i="49"/>
  <c r="J140" i="49"/>
  <c r="J146" i="49"/>
  <c r="J153" i="49"/>
  <c r="J161" i="49"/>
  <c r="J177" i="49"/>
  <c r="J184" i="49"/>
  <c r="J191" i="49"/>
  <c r="L191" i="49" s="1"/>
  <c r="J199" i="49"/>
  <c r="J205" i="49"/>
  <c r="J212" i="49"/>
  <c r="J220" i="49"/>
  <c r="J226" i="49"/>
  <c r="J232" i="49"/>
  <c r="J240" i="49"/>
  <c r="J246" i="49"/>
  <c r="J252" i="49"/>
  <c r="J257" i="49"/>
  <c r="J262" i="49"/>
  <c r="J268" i="49"/>
  <c r="J273" i="49"/>
  <c r="J278" i="49"/>
  <c r="L278" i="49" s="1"/>
  <c r="J284" i="49"/>
  <c r="L284" i="49" s="1"/>
  <c r="J289" i="49"/>
  <c r="J294" i="49"/>
  <c r="J299" i="49"/>
  <c r="J304" i="49"/>
  <c r="J309" i="49"/>
  <c r="J14" i="49"/>
  <c r="L14" i="49" s="1"/>
  <c r="J22" i="49"/>
  <c r="J31" i="49"/>
  <c r="J42" i="49"/>
  <c r="J51" i="49"/>
  <c r="J59" i="49"/>
  <c r="J70" i="49"/>
  <c r="J77" i="49"/>
  <c r="J84" i="49"/>
  <c r="J92" i="49"/>
  <c r="J98" i="49"/>
  <c r="J105" i="49"/>
  <c r="J113" i="49"/>
  <c r="J120" i="49"/>
  <c r="L120" i="49" s="1"/>
  <c r="J126" i="49"/>
  <c r="L126" i="49" s="1"/>
  <c r="J134" i="49"/>
  <c r="L134" i="49" s="1"/>
  <c r="J141" i="49"/>
  <c r="J148" i="49"/>
  <c r="J156" i="49"/>
  <c r="L156" i="49" s="1"/>
  <c r="J162" i="49"/>
  <c r="J166" i="49"/>
  <c r="J173" i="49"/>
  <c r="J179" i="49"/>
  <c r="J185" i="49"/>
  <c r="J193" i="49"/>
  <c r="J200" i="49"/>
  <c r="J207" i="49"/>
  <c r="J215" i="49"/>
  <c r="J227" i="49"/>
  <c r="J234" i="49"/>
  <c r="J237" i="49"/>
  <c r="J241" i="49"/>
  <c r="J248" i="49"/>
  <c r="J253" i="49"/>
  <c r="J258" i="49"/>
  <c r="J264" i="49"/>
  <c r="J269" i="49"/>
  <c r="J274" i="49"/>
  <c r="J280" i="49"/>
  <c r="L280" i="49" s="1"/>
  <c r="J285" i="49"/>
  <c r="J290" i="49"/>
  <c r="J296" i="49"/>
  <c r="L296" i="49" s="1"/>
  <c r="J300" i="49"/>
  <c r="J305" i="49"/>
  <c r="L305" i="49" s="1"/>
  <c r="J311" i="49"/>
  <c r="J15" i="49"/>
  <c r="J24" i="49"/>
  <c r="J35" i="49"/>
  <c r="J43" i="49"/>
  <c r="J52" i="49"/>
  <c r="J63" i="49"/>
  <c r="J72" i="49"/>
  <c r="J78" i="49"/>
  <c r="J86" i="49"/>
  <c r="J93" i="49"/>
  <c r="J100" i="49"/>
  <c r="J108" i="49"/>
  <c r="J114" i="49"/>
  <c r="L114" i="49" s="1"/>
  <c r="J121" i="49"/>
  <c r="L121" i="49" s="1"/>
  <c r="J129" i="49"/>
  <c r="L129" i="49" s="1"/>
  <c r="J136" i="49"/>
  <c r="J142" i="49"/>
  <c r="J150" i="49"/>
  <c r="L150" i="49" s="1"/>
  <c r="J157" i="49"/>
  <c r="J168" i="49"/>
  <c r="J174" i="49"/>
  <c r="J180" i="49"/>
  <c r="J188" i="49"/>
  <c r="J195" i="49"/>
  <c r="J201" i="49"/>
  <c r="J209" i="49"/>
  <c r="J216" i="49"/>
  <c r="J222" i="49"/>
  <c r="J230" i="49"/>
  <c r="J243" i="49"/>
  <c r="J249" i="49"/>
  <c r="J254" i="49"/>
  <c r="J260" i="49"/>
  <c r="J265" i="49"/>
  <c r="J270" i="49"/>
  <c r="J276" i="49"/>
  <c r="L276" i="49" s="1"/>
  <c r="J281" i="49"/>
  <c r="L281" i="49" s="1"/>
  <c r="J286" i="49"/>
  <c r="J292" i="49"/>
  <c r="J301" i="49"/>
  <c r="J307" i="49"/>
  <c r="J312" i="49"/>
  <c r="J46" i="49"/>
  <c r="J81" i="49"/>
  <c r="J109" i="49"/>
  <c r="J137" i="49"/>
  <c r="L137" i="49" s="1"/>
  <c r="J165" i="49"/>
  <c r="J189" i="49"/>
  <c r="J217" i="49"/>
  <c r="J239" i="49"/>
  <c r="J261" i="49"/>
  <c r="J282" i="49"/>
  <c r="L282" i="49" s="1"/>
  <c r="J303" i="49"/>
  <c r="J64" i="49"/>
  <c r="J175" i="49"/>
  <c r="J250" i="49"/>
  <c r="J293" i="49"/>
  <c r="J36" i="49"/>
  <c r="J73" i="49"/>
  <c r="J102" i="49"/>
  <c r="J130" i="49"/>
  <c r="L130" i="49" s="1"/>
  <c r="J158" i="49"/>
  <c r="L158" i="49" s="1"/>
  <c r="J183" i="49"/>
  <c r="J211" i="49"/>
  <c r="J235" i="49"/>
  <c r="J256" i="49"/>
  <c r="J277" i="49"/>
  <c r="L277" i="49" s="1"/>
  <c r="J297" i="49"/>
  <c r="J16" i="49"/>
  <c r="J56" i="49"/>
  <c r="J88" i="49"/>
  <c r="J116" i="49"/>
  <c r="J145" i="49"/>
  <c r="J169" i="49"/>
  <c r="J196" i="49"/>
  <c r="J224" i="49"/>
  <c r="L224" i="49" s="1"/>
  <c r="J245" i="49"/>
  <c r="J266" i="49"/>
  <c r="J288" i="49"/>
  <c r="J308" i="49"/>
  <c r="J27" i="49"/>
  <c r="J94" i="49"/>
  <c r="J124" i="49"/>
  <c r="L124" i="49" s="1"/>
  <c r="J152" i="49"/>
  <c r="J204" i="49"/>
  <c r="J231" i="49"/>
  <c r="J272" i="49"/>
  <c r="J313" i="49"/>
  <c r="L313" i="49" s="1"/>
  <c r="C291" i="39"/>
  <c r="C284" i="39"/>
  <c r="J254" i="13"/>
  <c r="J222" i="13"/>
  <c r="C216" i="39"/>
  <c r="C185" i="39"/>
  <c r="C132" i="12"/>
  <c r="J94" i="13"/>
  <c r="J44" i="13"/>
  <c r="J29" i="13"/>
  <c r="G23" i="49"/>
  <c r="C22" i="12"/>
  <c r="G29" i="49"/>
  <c r="C28" i="12"/>
  <c r="G41" i="49"/>
  <c r="J41" i="13"/>
  <c r="C40" i="39"/>
  <c r="G43" i="49"/>
  <c r="C42" i="39"/>
  <c r="C42" i="12"/>
  <c r="G45" i="49"/>
  <c r="C44" i="12"/>
  <c r="C44" i="39"/>
  <c r="G55" i="49"/>
  <c r="C54" i="12"/>
  <c r="C54" i="39"/>
  <c r="G76" i="49"/>
  <c r="J76" i="13"/>
  <c r="C75" i="39"/>
  <c r="G86" i="49"/>
  <c r="C85" i="12"/>
  <c r="C85" i="39"/>
  <c r="J86" i="13"/>
  <c r="G94" i="49"/>
  <c r="C93" i="12"/>
  <c r="G102" i="49"/>
  <c r="J102" i="13"/>
  <c r="C101" i="39"/>
  <c r="G108" i="49"/>
  <c r="J108" i="13"/>
  <c r="C107" i="12"/>
  <c r="G134" i="49"/>
  <c r="C133" i="39"/>
  <c r="C133" i="12"/>
  <c r="J134" i="13"/>
  <c r="G314" i="49"/>
  <c r="C313" i="12"/>
  <c r="C313" i="39"/>
  <c r="G212" i="49"/>
  <c r="J212" i="13"/>
  <c r="C211" i="39"/>
  <c r="G285" i="49"/>
  <c r="C284" i="12"/>
  <c r="G174" i="49"/>
  <c r="C173" i="12"/>
  <c r="J174" i="13"/>
  <c r="C173" i="39"/>
  <c r="G245" i="49"/>
  <c r="J245" i="13"/>
  <c r="C244" i="12"/>
  <c r="G17" i="49"/>
  <c r="J17" i="13"/>
  <c r="C16" i="39"/>
  <c r="C16" i="12"/>
  <c r="G250" i="49"/>
  <c r="C249" i="12"/>
  <c r="C249" i="39"/>
  <c r="J250" i="13"/>
  <c r="G64" i="49"/>
  <c r="C63" i="12"/>
  <c r="J64" i="13"/>
  <c r="G181" i="49"/>
  <c r="J181" i="13"/>
  <c r="C180" i="12"/>
  <c r="G211" i="49"/>
  <c r="C210" i="12"/>
  <c r="J211" i="13"/>
  <c r="C210" i="39"/>
  <c r="G99" i="49"/>
  <c r="J99" i="13"/>
  <c r="C98" i="39"/>
  <c r="G238" i="49"/>
  <c r="J238" i="13"/>
  <c r="C237" i="39"/>
  <c r="C237" i="12"/>
  <c r="G65" i="49"/>
  <c r="C64" i="39"/>
  <c r="G216" i="49"/>
  <c r="J216" i="13"/>
  <c r="C215" i="39"/>
  <c r="G121" i="49"/>
  <c r="C120" i="12"/>
  <c r="C120" i="39"/>
  <c r="G213" i="49"/>
  <c r="J213" i="13"/>
  <c r="C212" i="39"/>
  <c r="G300" i="49"/>
  <c r="C299" i="12"/>
  <c r="C299" i="39"/>
  <c r="G132" i="49"/>
  <c r="J132" i="13"/>
  <c r="C131" i="39"/>
  <c r="G210" i="49"/>
  <c r="C209" i="12"/>
  <c r="C209" i="39"/>
  <c r="G311" i="49"/>
  <c r="J311" i="13"/>
  <c r="C310" i="39"/>
  <c r="C310" i="12"/>
  <c r="G228" i="49"/>
  <c r="C227" i="12"/>
  <c r="C227" i="39"/>
  <c r="G272" i="49"/>
  <c r="C271" i="12"/>
  <c r="C271" i="39"/>
  <c r="G242" i="49"/>
  <c r="C241" i="12"/>
  <c r="C241" i="39"/>
  <c r="G161" i="49"/>
  <c r="J161" i="13"/>
  <c r="C160" i="12"/>
  <c r="C160" i="39"/>
  <c r="G277" i="49"/>
  <c r="C276" i="12"/>
  <c r="C276" i="39"/>
  <c r="G149" i="49"/>
  <c r="J149" i="13"/>
  <c r="C148" i="39"/>
  <c r="G237" i="49"/>
  <c r="C236" i="12"/>
  <c r="C236" i="39"/>
  <c r="G304" i="49"/>
  <c r="J304" i="13"/>
  <c r="C303" i="39"/>
  <c r="C303" i="12"/>
  <c r="G159" i="49"/>
  <c r="C158" i="12"/>
  <c r="C158" i="39"/>
  <c r="G241" i="49"/>
  <c r="J241" i="13"/>
  <c r="C240" i="39"/>
  <c r="G187" i="49"/>
  <c r="C186" i="39"/>
  <c r="J187" i="13"/>
  <c r="G313" i="49"/>
  <c r="J313" i="13"/>
  <c r="C312" i="39"/>
  <c r="G263" i="49"/>
  <c r="C262" i="12"/>
  <c r="J263" i="13"/>
  <c r="G169" i="49"/>
  <c r="J169" i="13"/>
  <c r="C168" i="12"/>
  <c r="G20" i="49"/>
  <c r="C19" i="39"/>
  <c r="J20" i="13"/>
  <c r="C19" i="12"/>
  <c r="G103" i="49"/>
  <c r="J103" i="13"/>
  <c r="C102" i="39"/>
  <c r="G71" i="49"/>
  <c r="C70" i="12"/>
  <c r="J71" i="13"/>
  <c r="C70" i="39"/>
  <c r="G264" i="49"/>
  <c r="C263" i="39"/>
  <c r="G269" i="49"/>
  <c r="C268" i="12"/>
  <c r="G193" i="49"/>
  <c r="J193" i="13"/>
  <c r="G190" i="49"/>
  <c r="J190" i="13"/>
  <c r="C189" i="39"/>
  <c r="G309" i="49"/>
  <c r="J309" i="13"/>
  <c r="G117" i="49"/>
  <c r="J117" i="13"/>
  <c r="G306" i="49"/>
  <c r="C305" i="39"/>
  <c r="J306" i="13"/>
  <c r="G166" i="49"/>
  <c r="J166" i="13"/>
  <c r="G116" i="49"/>
  <c r="C115" i="12"/>
  <c r="G145" i="49"/>
  <c r="G9" i="49"/>
  <c r="C8" i="12"/>
  <c r="G307" i="49"/>
  <c r="C306" i="39"/>
  <c r="J307" i="13"/>
  <c r="G167" i="49"/>
  <c r="C166" i="12"/>
  <c r="G293" i="49"/>
  <c r="J293" i="13"/>
  <c r="G217" i="49"/>
  <c r="C216" i="12"/>
  <c r="G133" i="49"/>
  <c r="J133" i="13"/>
  <c r="G147" i="49"/>
  <c r="C146" i="12"/>
  <c r="J147" i="13"/>
  <c r="G10" i="49"/>
  <c r="C9" i="39"/>
  <c r="G220" i="49"/>
  <c r="C219" i="39"/>
  <c r="J220" i="13"/>
  <c r="C219" i="12"/>
  <c r="G87" i="49"/>
  <c r="C86" i="39"/>
  <c r="J87" i="13"/>
  <c r="C86" i="12"/>
  <c r="G109" i="49"/>
  <c r="C108" i="39"/>
  <c r="J109" i="13"/>
  <c r="G225" i="49"/>
  <c r="J225" i="13"/>
  <c r="G186" i="49"/>
  <c r="J186" i="13"/>
  <c r="G151" i="49"/>
  <c r="J151" i="13"/>
  <c r="G243" i="49"/>
  <c r="J243" i="13"/>
  <c r="G8" i="49"/>
  <c r="C7" i="39"/>
  <c r="J8" i="13"/>
  <c r="G227" i="49"/>
  <c r="C226" i="12"/>
  <c r="C226" i="39"/>
  <c r="G148" i="49"/>
  <c r="J148" i="13"/>
  <c r="C147" i="39"/>
  <c r="G30" i="49"/>
  <c r="J30" i="13"/>
  <c r="C29" i="39"/>
  <c r="G171" i="49"/>
  <c r="C170" i="12"/>
  <c r="J171" i="13"/>
  <c r="G257" i="49"/>
  <c r="C256" i="39"/>
  <c r="J257" i="13"/>
  <c r="C256" i="12"/>
  <c r="G137" i="49"/>
  <c r="J137" i="13"/>
  <c r="C136" i="39"/>
  <c r="G246" i="49"/>
  <c r="C245" i="12"/>
  <c r="C245" i="39"/>
  <c r="G104" i="49"/>
  <c r="J104" i="13"/>
  <c r="C103" i="39"/>
  <c r="G7" i="49"/>
  <c r="C6" i="12"/>
  <c r="C6" i="39"/>
  <c r="G88" i="49"/>
  <c r="C87" i="39"/>
  <c r="J88" i="13"/>
  <c r="C87" i="12"/>
  <c r="G26" i="49"/>
  <c r="C25" i="39"/>
  <c r="G224" i="49"/>
  <c r="C223" i="12"/>
  <c r="J224" i="13"/>
  <c r="G158" i="49"/>
  <c r="C157" i="12"/>
  <c r="G298" i="49"/>
  <c r="C297" i="39"/>
  <c r="C297" i="12"/>
  <c r="G275" i="49"/>
  <c r="C274" i="39"/>
  <c r="G34" i="49"/>
  <c r="C33" i="39"/>
  <c r="G112" i="49"/>
  <c r="C111" i="12"/>
  <c r="G27" i="49"/>
  <c r="C26" i="12"/>
  <c r="G200" i="49"/>
  <c r="J200" i="13"/>
  <c r="G286" i="49"/>
  <c r="J286" i="13"/>
  <c r="C285" i="12"/>
  <c r="G194" i="49"/>
  <c r="C193" i="39"/>
  <c r="C193" i="12"/>
  <c r="G302" i="49"/>
  <c r="C301" i="12"/>
  <c r="C301" i="39"/>
  <c r="G124" i="49"/>
  <c r="C123" i="12"/>
  <c r="C123" i="39"/>
  <c r="G46" i="49"/>
  <c r="C45" i="12"/>
  <c r="C45" i="39"/>
  <c r="G144" i="49"/>
  <c r="C143" i="39"/>
  <c r="J144" i="13"/>
  <c r="G58" i="49"/>
  <c r="C57" i="12"/>
  <c r="C57" i="39"/>
  <c r="G182" i="49"/>
  <c r="C181" i="39"/>
  <c r="J182" i="13"/>
  <c r="G301" i="49"/>
  <c r="C300" i="39"/>
  <c r="G168" i="49"/>
  <c r="C167" i="39"/>
  <c r="J168" i="13"/>
  <c r="G63" i="49"/>
  <c r="J63" i="13"/>
  <c r="C62" i="39"/>
  <c r="G12" i="49"/>
  <c r="J12" i="13"/>
  <c r="G128" i="49"/>
  <c r="C127" i="12"/>
  <c r="G297" i="49"/>
  <c r="C296" i="12"/>
  <c r="G154" i="49"/>
  <c r="C153" i="39"/>
  <c r="C153" i="12"/>
  <c r="G122" i="49"/>
  <c r="C121" i="12"/>
  <c r="G305" i="49"/>
  <c r="C304" i="12"/>
  <c r="G199" i="49"/>
  <c r="C198" i="12"/>
  <c r="G233" i="49"/>
  <c r="C232" i="39"/>
  <c r="J154" i="13"/>
  <c r="J122" i="13"/>
  <c r="C150" i="12"/>
  <c r="C242" i="39"/>
  <c r="C232" i="12"/>
  <c r="J264" i="13"/>
  <c r="J269" i="13"/>
  <c r="C157" i="39"/>
  <c r="C192" i="39"/>
  <c r="C274" i="12"/>
  <c r="C33" i="12"/>
  <c r="C165" i="39"/>
  <c r="C115" i="39"/>
  <c r="C144" i="12"/>
  <c r="C28" i="39"/>
  <c r="C166" i="39"/>
  <c r="C292" i="39"/>
  <c r="J58" i="13"/>
  <c r="J301" i="13"/>
  <c r="C9" i="12"/>
  <c r="C7" i="12"/>
  <c r="J227" i="13"/>
  <c r="C103" i="12"/>
  <c r="J314" i="13"/>
  <c r="C244" i="39"/>
  <c r="C63" i="39"/>
  <c r="C98" i="12"/>
  <c r="C215" i="12"/>
  <c r="C131" i="12"/>
  <c r="J242" i="13"/>
  <c r="J237" i="13"/>
  <c r="C240" i="12"/>
  <c r="C312" i="12"/>
  <c r="J82" i="13"/>
  <c r="J21" i="13"/>
  <c r="C72" i="12"/>
  <c r="J232" i="13"/>
  <c r="C151" i="12"/>
  <c r="J256" i="13"/>
  <c r="C88" i="12"/>
  <c r="C208" i="12"/>
  <c r="C109" i="12"/>
  <c r="C290" i="12"/>
  <c r="C159" i="12"/>
  <c r="C152" i="39"/>
  <c r="C246" i="12"/>
  <c r="C43" i="12"/>
  <c r="C154" i="12"/>
  <c r="J156" i="13"/>
  <c r="C183" i="12"/>
  <c r="J37" i="13"/>
  <c r="J162" i="13"/>
  <c r="C248" i="12"/>
  <c r="J249" i="13"/>
  <c r="J22" i="13"/>
  <c r="J178" i="13"/>
  <c r="J179" i="13"/>
  <c r="C220" i="12"/>
  <c r="J292" i="13"/>
  <c r="J189" i="13"/>
  <c r="C80" i="12"/>
  <c r="J81" i="13"/>
  <c r="C119" i="12"/>
  <c r="C203" i="12"/>
  <c r="J204" i="13"/>
  <c r="J38" i="13"/>
  <c r="J201" i="13"/>
  <c r="J270" i="13"/>
  <c r="C117" i="39"/>
  <c r="C197" i="12"/>
  <c r="J283" i="13"/>
  <c r="C309" i="12"/>
  <c r="C311" i="39"/>
  <c r="C254" i="39"/>
  <c r="C264" i="39"/>
  <c r="C107" i="39"/>
  <c r="J101" i="13"/>
  <c r="C75" i="12"/>
  <c r="J55" i="13"/>
  <c r="J43" i="13"/>
  <c r="J23" i="13"/>
  <c r="F315" i="49"/>
  <c r="J196" i="13"/>
  <c r="C195" i="39"/>
  <c r="C195" i="12"/>
  <c r="J289" i="13"/>
  <c r="C288" i="39"/>
  <c r="C288" i="12"/>
  <c r="J16" i="13"/>
  <c r="C15" i="39"/>
  <c r="C15" i="12"/>
  <c r="J239" i="13"/>
  <c r="C238" i="12"/>
  <c r="C238" i="39"/>
  <c r="J67" i="13"/>
  <c r="C66" i="39"/>
  <c r="C66" i="12"/>
  <c r="J51" i="13"/>
  <c r="C50" i="39"/>
  <c r="C50" i="12"/>
  <c r="J143" i="13"/>
  <c r="C142" i="39"/>
  <c r="C142" i="12"/>
  <c r="J230" i="13"/>
  <c r="C229" i="39"/>
  <c r="C229" i="12"/>
  <c r="J207" i="13"/>
  <c r="C206" i="39"/>
  <c r="C206" i="12"/>
  <c r="J32" i="13"/>
  <c r="C31" i="39"/>
  <c r="C31" i="12"/>
  <c r="J90" i="13"/>
  <c r="C89" i="39"/>
  <c r="C89" i="12"/>
  <c r="C12" i="39"/>
  <c r="J13" i="13"/>
  <c r="C12" i="12"/>
  <c r="C265" i="39"/>
  <c r="J266" i="13"/>
  <c r="C265" i="12"/>
  <c r="J125" i="13"/>
  <c r="C124" i="39"/>
  <c r="C124" i="12"/>
  <c r="J52" i="13"/>
  <c r="C51" i="39"/>
  <c r="C51" i="12"/>
  <c r="U316" i="19"/>
  <c r="B59" i="40" s="1"/>
  <c r="B61" i="40" s="1"/>
  <c r="J11" i="13"/>
  <c r="C10" i="39"/>
  <c r="C10" i="12"/>
  <c r="J56" i="13"/>
  <c r="C55" i="39"/>
  <c r="C55" i="12"/>
  <c r="J35" i="13"/>
  <c r="C34" i="39"/>
  <c r="C34" i="12"/>
  <c r="J60" i="13"/>
  <c r="C59" i="39"/>
  <c r="C59" i="12"/>
  <c r="J183" i="13"/>
  <c r="C182" i="39"/>
  <c r="C182" i="12"/>
  <c r="J106" i="13"/>
  <c r="C105" i="39"/>
  <c r="C105" i="12"/>
  <c r="J299" i="13"/>
  <c r="C298" i="39"/>
  <c r="C298" i="12"/>
  <c r="J123" i="13"/>
  <c r="C122" i="39"/>
  <c r="C122" i="12"/>
  <c r="J84" i="13"/>
  <c r="C83" i="39"/>
  <c r="C83" i="12"/>
  <c r="J91" i="13"/>
  <c r="C90" i="39"/>
  <c r="C90" i="12"/>
  <c r="J79" i="13"/>
  <c r="C78" i="39"/>
  <c r="C78" i="12"/>
  <c r="C149" i="39"/>
  <c r="C149" i="12"/>
  <c r="J150" i="13"/>
  <c r="J15" i="13"/>
  <c r="C14" i="39"/>
  <c r="C14" i="12"/>
  <c r="J31" i="13"/>
  <c r="C30" i="39"/>
  <c r="C30" i="12"/>
  <c r="J114" i="13"/>
  <c r="C113" i="12"/>
  <c r="C113" i="39"/>
  <c r="J28" i="13"/>
  <c r="C27" i="39"/>
  <c r="C27" i="12"/>
  <c r="J163" i="13"/>
  <c r="C162" i="39"/>
  <c r="C162" i="12"/>
  <c r="J157" i="13"/>
  <c r="C156" i="39"/>
  <c r="C156" i="12"/>
  <c r="J176" i="13"/>
  <c r="C175" i="39"/>
  <c r="C175" i="12"/>
  <c r="J276" i="13"/>
  <c r="C275" i="39"/>
  <c r="C275" i="12"/>
  <c r="J126" i="13"/>
  <c r="C125" i="12"/>
  <c r="C125" i="39"/>
  <c r="J85" i="13"/>
  <c r="C84" i="39"/>
  <c r="C84" i="12"/>
  <c r="J95" i="13"/>
  <c r="C94" i="39"/>
  <c r="C94" i="12"/>
  <c r="J68" i="13"/>
  <c r="C67" i="39"/>
  <c r="C67" i="12"/>
  <c r="J75" i="13"/>
  <c r="C74" i="39"/>
  <c r="C74" i="12"/>
  <c r="J191" i="13"/>
  <c r="C190" i="39"/>
  <c r="C190" i="12"/>
  <c r="C13" i="39"/>
  <c r="J14" i="13"/>
  <c r="C13" i="12"/>
  <c r="J119" i="13"/>
  <c r="C118" i="39"/>
  <c r="C118" i="12"/>
  <c r="J223" i="13"/>
  <c r="C222" i="39"/>
  <c r="C222" i="12"/>
  <c r="J48" i="13"/>
  <c r="C47" i="39"/>
  <c r="C47" i="12"/>
  <c r="J280" i="13"/>
  <c r="C279" i="39"/>
  <c r="C279" i="12"/>
  <c r="J59" i="13"/>
  <c r="C58" i="39"/>
  <c r="C58" i="12"/>
  <c r="C129" i="39"/>
  <c r="C129" i="12"/>
  <c r="J130" i="13"/>
  <c r="J77" i="13"/>
  <c r="C76" i="39"/>
  <c r="C76" i="12"/>
  <c r="J47" i="13"/>
  <c r="C46" i="39"/>
  <c r="C46" i="12"/>
  <c r="J226" i="13"/>
  <c r="C225" i="12"/>
  <c r="C225" i="39"/>
  <c r="J39" i="13"/>
  <c r="C38" i="39"/>
  <c r="C38" i="12"/>
  <c r="J127" i="13"/>
  <c r="C126" i="39"/>
  <c r="C126" i="12"/>
  <c r="J206" i="13"/>
  <c r="C205" i="39"/>
  <c r="C205" i="12"/>
  <c r="J288" i="13"/>
  <c r="C287" i="39"/>
  <c r="C287" i="12"/>
  <c r="J248" i="13"/>
  <c r="C247" i="39"/>
  <c r="C247" i="12"/>
  <c r="J240" i="13"/>
  <c r="C239" i="39"/>
  <c r="C239" i="12"/>
  <c r="J80" i="13"/>
  <c r="C79" i="39"/>
  <c r="C79" i="12"/>
  <c r="J139" i="13"/>
  <c r="C138" i="39"/>
  <c r="C138" i="12"/>
  <c r="J107" i="13"/>
  <c r="C106" i="39"/>
  <c r="C106" i="12"/>
  <c r="J83" i="13"/>
  <c r="C82" i="12"/>
  <c r="C82" i="39"/>
  <c r="J296" i="13"/>
  <c r="C295" i="39"/>
  <c r="C295" i="12"/>
  <c r="J259" i="13"/>
  <c r="C258" i="12"/>
  <c r="C258" i="39"/>
  <c r="J19" i="13"/>
  <c r="C18" i="39"/>
  <c r="C18" i="12"/>
  <c r="J164" i="13"/>
  <c r="C163" i="39"/>
  <c r="C163" i="12"/>
  <c r="C164" i="39"/>
  <c r="C164" i="12"/>
  <c r="J165" i="13"/>
  <c r="J175" i="13"/>
  <c r="C174" i="39"/>
  <c r="C174" i="12"/>
  <c r="C234" i="39"/>
  <c r="J235" i="13"/>
  <c r="C234" i="12"/>
  <c r="J195" i="13"/>
  <c r="C194" i="12"/>
  <c r="C194" i="39"/>
  <c r="J231" i="13"/>
  <c r="C230" i="39"/>
  <c r="C230" i="12"/>
  <c r="J72" i="13"/>
  <c r="C71" i="12"/>
  <c r="C71" i="39"/>
  <c r="J172" i="13"/>
  <c r="C171" i="39"/>
  <c r="C171" i="12"/>
  <c r="K219" i="49" l="1"/>
  <c r="L219" i="49" s="1"/>
  <c r="K244" i="49"/>
  <c r="L244" i="49" s="1"/>
  <c r="J315" i="13"/>
  <c r="E5" i="33"/>
  <c r="G5" i="32"/>
  <c r="F314" i="32"/>
  <c r="S316" i="19"/>
  <c r="L315" i="13" s="1"/>
  <c r="C314" i="39"/>
  <c r="K231" i="49"/>
  <c r="L231" i="49" s="1"/>
  <c r="K266" i="49"/>
  <c r="L266" i="49" s="1"/>
  <c r="K56" i="49"/>
  <c r="L56" i="49" s="1"/>
  <c r="K64" i="49"/>
  <c r="L64" i="49" s="1"/>
  <c r="K254" i="49"/>
  <c r="L254" i="49" s="1"/>
  <c r="K180" i="49"/>
  <c r="L180" i="49" s="1"/>
  <c r="K72" i="49"/>
  <c r="L72" i="49" s="1"/>
  <c r="K35" i="49"/>
  <c r="L35" i="49" s="1"/>
  <c r="K285" i="49"/>
  <c r="L285" i="49" s="1"/>
  <c r="K241" i="49"/>
  <c r="L241" i="49" s="1"/>
  <c r="K193" i="49"/>
  <c r="L193" i="49" s="1"/>
  <c r="K141" i="49"/>
  <c r="L141" i="49" s="1"/>
  <c r="K84" i="49"/>
  <c r="L84" i="49" s="1"/>
  <c r="K51" i="49"/>
  <c r="L51" i="49" s="1"/>
  <c r="K294" i="49"/>
  <c r="L294" i="49" s="1"/>
  <c r="K252" i="49"/>
  <c r="L252" i="49" s="1"/>
  <c r="K232" i="49"/>
  <c r="L232" i="49" s="1"/>
  <c r="K177" i="49"/>
  <c r="L177" i="49" s="1"/>
  <c r="K125" i="49"/>
  <c r="L125" i="49" s="1"/>
  <c r="K67" i="49"/>
  <c r="L67" i="49" s="1"/>
  <c r="K310" i="49"/>
  <c r="L310" i="49" s="1"/>
  <c r="K295" i="49"/>
  <c r="L295" i="49" s="1"/>
  <c r="K263" i="49"/>
  <c r="L263" i="49" s="1"/>
  <c r="K233" i="49"/>
  <c r="L233" i="49" s="1"/>
  <c r="K192" i="49"/>
  <c r="L192" i="49" s="1"/>
  <c r="K172" i="49"/>
  <c r="L172" i="49" s="1"/>
  <c r="K133" i="49"/>
  <c r="L133" i="49" s="1"/>
  <c r="K90" i="49"/>
  <c r="L90" i="49" s="1"/>
  <c r="K40" i="49"/>
  <c r="L40" i="49" s="1"/>
  <c r="K171" i="49"/>
  <c r="L171" i="49" s="1"/>
  <c r="K95" i="49"/>
  <c r="L95" i="49" s="1"/>
  <c r="K79" i="49"/>
  <c r="L79" i="49" s="1"/>
  <c r="K18" i="49"/>
  <c r="L18" i="49" s="1"/>
  <c r="K45" i="49"/>
  <c r="L45" i="49" s="1"/>
  <c r="K13" i="49"/>
  <c r="L13" i="49" s="1"/>
  <c r="K204" i="49"/>
  <c r="L204" i="49" s="1"/>
  <c r="K245" i="49"/>
  <c r="L245" i="49" s="1"/>
  <c r="K16" i="49"/>
  <c r="L16" i="49" s="1"/>
  <c r="K235" i="49"/>
  <c r="L235" i="49" s="1"/>
  <c r="K293" i="49"/>
  <c r="L293" i="49" s="1"/>
  <c r="K217" i="49"/>
  <c r="L217" i="49" s="1"/>
  <c r="K312" i="49"/>
  <c r="L312" i="49" s="1"/>
  <c r="K270" i="49"/>
  <c r="L270" i="49" s="1"/>
  <c r="K249" i="49"/>
  <c r="L249" i="49" s="1"/>
  <c r="K201" i="49"/>
  <c r="L201" i="49" s="1"/>
  <c r="K174" i="49"/>
  <c r="L174" i="49" s="1"/>
  <c r="K63" i="49"/>
  <c r="L63" i="49" s="1"/>
  <c r="K237" i="49"/>
  <c r="L237" i="49" s="1"/>
  <c r="K185" i="49"/>
  <c r="L185" i="49" s="1"/>
  <c r="K77" i="49"/>
  <c r="L77" i="49" s="1"/>
  <c r="K309" i="49"/>
  <c r="L309" i="49" s="1"/>
  <c r="K268" i="49"/>
  <c r="L268" i="49" s="1"/>
  <c r="K226" i="49"/>
  <c r="L226" i="49" s="1"/>
  <c r="K118" i="49"/>
  <c r="L118" i="49" s="1"/>
  <c r="K58" i="49"/>
  <c r="L58" i="49" s="1"/>
  <c r="K306" i="49"/>
  <c r="L306" i="49" s="1"/>
  <c r="K242" i="49"/>
  <c r="L242" i="49" s="1"/>
  <c r="K187" i="49"/>
  <c r="L187" i="49" s="1"/>
  <c r="K106" i="49"/>
  <c r="L106" i="49" s="1"/>
  <c r="K62" i="49"/>
  <c r="L62" i="49" s="1"/>
  <c r="K229" i="49"/>
  <c r="L229" i="49" s="1"/>
  <c r="K198" i="49"/>
  <c r="L198" i="49" s="1"/>
  <c r="K182" i="49"/>
  <c r="L182" i="49" s="1"/>
  <c r="K139" i="49"/>
  <c r="L139" i="49" s="1"/>
  <c r="K123" i="49"/>
  <c r="L123" i="49" s="1"/>
  <c r="K107" i="49"/>
  <c r="L107" i="49" s="1"/>
  <c r="K91" i="49"/>
  <c r="L91" i="49" s="1"/>
  <c r="K75" i="49"/>
  <c r="L75" i="49" s="1"/>
  <c r="K55" i="49"/>
  <c r="L55" i="49" s="1"/>
  <c r="K34" i="49"/>
  <c r="L34" i="49" s="1"/>
  <c r="K12" i="49"/>
  <c r="L12" i="49" s="1"/>
  <c r="K57" i="49"/>
  <c r="L57" i="49" s="1"/>
  <c r="K41" i="49"/>
  <c r="L41" i="49" s="1"/>
  <c r="K9" i="49"/>
  <c r="L9" i="49" s="1"/>
  <c r="K272" i="49"/>
  <c r="L272" i="49" s="1"/>
  <c r="K288" i="49"/>
  <c r="L288" i="49" s="1"/>
  <c r="K196" i="49"/>
  <c r="L196" i="49" s="1"/>
  <c r="K88" i="49"/>
  <c r="L88" i="49" s="1"/>
  <c r="K183" i="49"/>
  <c r="L183" i="49" s="1"/>
  <c r="K73" i="49"/>
  <c r="L73" i="49" s="1"/>
  <c r="K175" i="49"/>
  <c r="L175" i="49" s="1"/>
  <c r="K261" i="49"/>
  <c r="L261" i="49" s="1"/>
  <c r="K165" i="49"/>
  <c r="L165" i="49" s="1"/>
  <c r="K46" i="49"/>
  <c r="L46" i="49" s="1"/>
  <c r="K301" i="49"/>
  <c r="L301" i="49" s="1"/>
  <c r="K260" i="49"/>
  <c r="L260" i="49" s="1"/>
  <c r="K216" i="49"/>
  <c r="L216" i="49" s="1"/>
  <c r="K188" i="49"/>
  <c r="L188" i="49" s="1"/>
  <c r="K136" i="49"/>
  <c r="L136" i="49" s="1"/>
  <c r="K108" i="49"/>
  <c r="L108" i="49" s="1"/>
  <c r="K78" i="49"/>
  <c r="L78" i="49" s="1"/>
  <c r="K43" i="49"/>
  <c r="L43" i="49" s="1"/>
  <c r="K311" i="49"/>
  <c r="L311" i="49" s="1"/>
  <c r="K290" i="49"/>
  <c r="L290" i="49" s="1"/>
  <c r="K269" i="49"/>
  <c r="L269" i="49" s="1"/>
  <c r="K248" i="49"/>
  <c r="L248" i="49" s="1"/>
  <c r="K227" i="49"/>
  <c r="L227" i="49" s="1"/>
  <c r="K200" i="49"/>
  <c r="L200" i="49" s="1"/>
  <c r="K173" i="49"/>
  <c r="L173" i="49" s="1"/>
  <c r="K148" i="49"/>
  <c r="L148" i="49" s="1"/>
  <c r="K92" i="49"/>
  <c r="L92" i="49" s="1"/>
  <c r="K59" i="49"/>
  <c r="L59" i="49" s="1"/>
  <c r="K22" i="49"/>
  <c r="L22" i="49" s="1"/>
  <c r="K299" i="49"/>
  <c r="L299" i="49" s="1"/>
  <c r="K257" i="49"/>
  <c r="L257" i="49" s="1"/>
  <c r="K212" i="49"/>
  <c r="L212" i="49" s="1"/>
  <c r="K184" i="49"/>
  <c r="L184" i="49" s="1"/>
  <c r="K161" i="49"/>
  <c r="L161" i="49" s="1"/>
  <c r="K132" i="49"/>
  <c r="L132" i="49" s="1"/>
  <c r="K104" i="49"/>
  <c r="L104" i="49" s="1"/>
  <c r="K76" i="49"/>
  <c r="L76" i="49" s="1"/>
  <c r="K38" i="49"/>
  <c r="L38" i="49" s="1"/>
  <c r="K314" i="49"/>
  <c r="L314" i="49" s="1"/>
  <c r="K298" i="49"/>
  <c r="L298" i="49" s="1"/>
  <c r="K267" i="49"/>
  <c r="L267" i="49" s="1"/>
  <c r="K251" i="49"/>
  <c r="L251" i="49" s="1"/>
  <c r="K236" i="49"/>
  <c r="L236" i="49" s="1"/>
  <c r="K197" i="49"/>
  <c r="L197" i="49" s="1"/>
  <c r="K176" i="49"/>
  <c r="L176" i="49" s="1"/>
  <c r="K160" i="49"/>
  <c r="L160" i="49" s="1"/>
  <c r="K138" i="49"/>
  <c r="L138" i="49" s="1"/>
  <c r="K96" i="49"/>
  <c r="L96" i="49" s="1"/>
  <c r="K74" i="49"/>
  <c r="L74" i="49" s="1"/>
  <c r="K47" i="49"/>
  <c r="L47" i="49" s="1"/>
  <c r="K19" i="49"/>
  <c r="L19" i="49" s="1"/>
  <c r="K221" i="49"/>
  <c r="L221" i="49" s="1"/>
  <c r="K206" i="49"/>
  <c r="L206" i="49" s="1"/>
  <c r="K190" i="49"/>
  <c r="L190" i="49" s="1"/>
  <c r="K163" i="49"/>
  <c r="L163" i="49" s="1"/>
  <c r="K147" i="49"/>
  <c r="L147" i="49" s="1"/>
  <c r="K115" i="49"/>
  <c r="L115" i="49" s="1"/>
  <c r="K99" i="49"/>
  <c r="L99" i="49" s="1"/>
  <c r="K83" i="49"/>
  <c r="L83" i="49" s="1"/>
  <c r="K66" i="49"/>
  <c r="L66" i="49" s="1"/>
  <c r="K44" i="49"/>
  <c r="L44" i="49" s="1"/>
  <c r="K23" i="49"/>
  <c r="L23" i="49" s="1"/>
  <c r="K65" i="49"/>
  <c r="L65" i="49" s="1"/>
  <c r="K49" i="49"/>
  <c r="L49" i="49" s="1"/>
  <c r="K33" i="49"/>
  <c r="L33" i="49" s="1"/>
  <c r="K17" i="49"/>
  <c r="L17" i="49" s="1"/>
  <c r="K94" i="49"/>
  <c r="L94" i="49" s="1"/>
  <c r="K169" i="49"/>
  <c r="L169" i="49" s="1"/>
  <c r="K256" i="49"/>
  <c r="L256" i="49" s="1"/>
  <c r="K36" i="49"/>
  <c r="L36" i="49" s="1"/>
  <c r="K239" i="49"/>
  <c r="L239" i="49" s="1"/>
  <c r="K209" i="49"/>
  <c r="L209" i="49" s="1"/>
  <c r="K157" i="49"/>
  <c r="L157" i="49" s="1"/>
  <c r="K100" i="49"/>
  <c r="L100" i="49" s="1"/>
  <c r="K264" i="49"/>
  <c r="L264" i="49" s="1"/>
  <c r="K166" i="49"/>
  <c r="L166" i="49" s="1"/>
  <c r="K113" i="49"/>
  <c r="L113" i="49" s="1"/>
  <c r="K273" i="49"/>
  <c r="L273" i="49" s="1"/>
  <c r="K205" i="49"/>
  <c r="L205" i="49" s="1"/>
  <c r="K153" i="49"/>
  <c r="L153" i="49" s="1"/>
  <c r="K97" i="49"/>
  <c r="L97" i="49" s="1"/>
  <c r="K30" i="49"/>
  <c r="L30" i="49" s="1"/>
  <c r="K247" i="49"/>
  <c r="L247" i="49" s="1"/>
  <c r="K213" i="49"/>
  <c r="L213" i="49" s="1"/>
  <c r="K68" i="49"/>
  <c r="L68" i="49" s="1"/>
  <c r="K11" i="49"/>
  <c r="L11" i="49" s="1"/>
  <c r="K218" i="49"/>
  <c r="L218" i="49" s="1"/>
  <c r="K186" i="49"/>
  <c r="L186" i="49" s="1"/>
  <c r="K159" i="49"/>
  <c r="L159" i="49" s="1"/>
  <c r="K143" i="49"/>
  <c r="L143" i="49" s="1"/>
  <c r="K111" i="49"/>
  <c r="L111" i="49" s="1"/>
  <c r="K60" i="49"/>
  <c r="L60" i="49" s="1"/>
  <c r="K39" i="49"/>
  <c r="L39" i="49" s="1"/>
  <c r="K61" i="49"/>
  <c r="L61" i="49" s="1"/>
  <c r="K29" i="49"/>
  <c r="L29" i="49" s="1"/>
  <c r="K27" i="49"/>
  <c r="L27" i="49" s="1"/>
  <c r="K145" i="49"/>
  <c r="L145" i="49" s="1"/>
  <c r="L303" i="49"/>
  <c r="K109" i="49"/>
  <c r="L109" i="49" s="1"/>
  <c r="K292" i="49"/>
  <c r="L292" i="49" s="1"/>
  <c r="K230" i="49"/>
  <c r="L230" i="49" s="1"/>
  <c r="K93" i="49"/>
  <c r="L93" i="49" s="1"/>
  <c r="K24" i="49"/>
  <c r="L24" i="49" s="1"/>
  <c r="K300" i="49"/>
  <c r="L300" i="49" s="1"/>
  <c r="K258" i="49"/>
  <c r="L258" i="49" s="1"/>
  <c r="K215" i="49"/>
  <c r="L215" i="49" s="1"/>
  <c r="K162" i="49"/>
  <c r="L162" i="49" s="1"/>
  <c r="K105" i="49"/>
  <c r="L105" i="49" s="1"/>
  <c r="K42" i="49"/>
  <c r="L42" i="49" s="1"/>
  <c r="K289" i="49"/>
  <c r="L289" i="49" s="1"/>
  <c r="K246" i="49"/>
  <c r="L246" i="49" s="1"/>
  <c r="K199" i="49"/>
  <c r="L199" i="49" s="1"/>
  <c r="K146" i="49"/>
  <c r="L146" i="49" s="1"/>
  <c r="K89" i="49"/>
  <c r="L89" i="49" s="1"/>
  <c r="K20" i="49"/>
  <c r="L20" i="49" s="1"/>
  <c r="K291" i="49"/>
  <c r="L291" i="49" s="1"/>
  <c r="K259" i="49"/>
  <c r="L259" i="49" s="1"/>
  <c r="K228" i="49"/>
  <c r="L228" i="49" s="1"/>
  <c r="K208" i="49"/>
  <c r="L208" i="49" s="1"/>
  <c r="K167" i="49"/>
  <c r="L167" i="49" s="1"/>
  <c r="K85" i="49"/>
  <c r="L85" i="49" s="1"/>
  <c r="K32" i="49"/>
  <c r="L32" i="49" s="1"/>
  <c r="K214" i="49"/>
  <c r="L214" i="49" s="1"/>
  <c r="K25" i="49"/>
  <c r="L25" i="49" s="1"/>
  <c r="K152" i="49"/>
  <c r="L152" i="49" s="1"/>
  <c r="K308" i="49"/>
  <c r="L308" i="49" s="1"/>
  <c r="K116" i="49"/>
  <c r="L116" i="49" s="1"/>
  <c r="K297" i="49"/>
  <c r="L297" i="49" s="1"/>
  <c r="K211" i="49"/>
  <c r="L211" i="49" s="1"/>
  <c r="K102" i="49"/>
  <c r="L102" i="49" s="1"/>
  <c r="K250" i="49"/>
  <c r="L250" i="49" s="1"/>
  <c r="K189" i="49"/>
  <c r="L189" i="49" s="1"/>
  <c r="K81" i="49"/>
  <c r="L81" i="49" s="1"/>
  <c r="K307" i="49"/>
  <c r="L307" i="49" s="1"/>
  <c r="K286" i="49"/>
  <c r="L286" i="49" s="1"/>
  <c r="K265" i="49"/>
  <c r="L265" i="49" s="1"/>
  <c r="K243" i="49"/>
  <c r="L243" i="49" s="1"/>
  <c r="K222" i="49"/>
  <c r="L222" i="49" s="1"/>
  <c r="K195" i="49"/>
  <c r="L195" i="49" s="1"/>
  <c r="K168" i="49"/>
  <c r="L168" i="49" s="1"/>
  <c r="K142" i="49"/>
  <c r="L142" i="49" s="1"/>
  <c r="K86" i="49"/>
  <c r="L86" i="49" s="1"/>
  <c r="K52" i="49"/>
  <c r="L52" i="49" s="1"/>
  <c r="K15" i="49"/>
  <c r="L15" i="49" s="1"/>
  <c r="K274" i="49"/>
  <c r="L274" i="49" s="1"/>
  <c r="K253" i="49"/>
  <c r="L253" i="49" s="1"/>
  <c r="K234" i="49"/>
  <c r="L234" i="49" s="1"/>
  <c r="K207" i="49"/>
  <c r="L207" i="49" s="1"/>
  <c r="K179" i="49"/>
  <c r="L179" i="49" s="1"/>
  <c r="K98" i="49"/>
  <c r="L98" i="49" s="1"/>
  <c r="K70" i="49"/>
  <c r="L70" i="49" s="1"/>
  <c r="K31" i="49"/>
  <c r="L31" i="49" s="1"/>
  <c r="K304" i="49"/>
  <c r="L304" i="49" s="1"/>
  <c r="K262" i="49"/>
  <c r="L262" i="49" s="1"/>
  <c r="K240" i="49"/>
  <c r="L240" i="49" s="1"/>
  <c r="K220" i="49"/>
  <c r="L220" i="49" s="1"/>
  <c r="K140" i="49"/>
  <c r="L140" i="49" s="1"/>
  <c r="K110" i="49"/>
  <c r="L110" i="49" s="1"/>
  <c r="K82" i="49"/>
  <c r="L82" i="49" s="1"/>
  <c r="K48" i="49"/>
  <c r="L48" i="49" s="1"/>
  <c r="K10" i="49"/>
  <c r="L10" i="49" s="1"/>
  <c r="K302" i="49"/>
  <c r="L302" i="49" s="1"/>
  <c r="K287" i="49"/>
  <c r="L287" i="49" s="1"/>
  <c r="K271" i="49"/>
  <c r="L271" i="49" s="1"/>
  <c r="K255" i="49"/>
  <c r="L255" i="49" s="1"/>
  <c r="K238" i="49"/>
  <c r="L238" i="49" s="1"/>
  <c r="K223" i="49"/>
  <c r="L223" i="49" s="1"/>
  <c r="K181" i="49"/>
  <c r="L181" i="49" s="1"/>
  <c r="K164" i="49"/>
  <c r="L164" i="49" s="1"/>
  <c r="K101" i="49"/>
  <c r="L101" i="49" s="1"/>
  <c r="K80" i="49"/>
  <c r="L80" i="49" s="1"/>
  <c r="K54" i="49"/>
  <c r="L54" i="49" s="1"/>
  <c r="K26" i="49"/>
  <c r="L26" i="49" s="1"/>
  <c r="K210" i="49"/>
  <c r="L210" i="49" s="1"/>
  <c r="K194" i="49"/>
  <c r="L194" i="49" s="1"/>
  <c r="K178" i="49"/>
  <c r="L178" i="49" s="1"/>
  <c r="K103" i="49"/>
  <c r="L103" i="49" s="1"/>
  <c r="K87" i="49"/>
  <c r="L87" i="49" s="1"/>
  <c r="K71" i="49"/>
  <c r="L71" i="49" s="1"/>
  <c r="K50" i="49"/>
  <c r="L50" i="49" s="1"/>
  <c r="K28" i="49"/>
  <c r="L28" i="49" s="1"/>
  <c r="K69" i="49"/>
  <c r="L69" i="49" s="1"/>
  <c r="K53" i="49"/>
  <c r="L53" i="49" s="1"/>
  <c r="K37" i="49"/>
  <c r="L37" i="49" s="1"/>
  <c r="K21" i="49"/>
  <c r="L21" i="49" s="1"/>
  <c r="J315" i="49"/>
  <c r="G315" i="49"/>
  <c r="C314" i="12"/>
  <c r="E47" i="48" l="1"/>
  <c r="L8" i="49"/>
  <c r="L315" i="49" s="1"/>
  <c r="K315" i="49"/>
  <c r="N315" i="49" s="1"/>
  <c r="G314" i="37"/>
  <c r="G314" i="32"/>
  <c r="C314" i="33"/>
  <c r="E314" i="33" s="1"/>
  <c r="B62" i="40"/>
  <c r="B47" i="40" s="1"/>
  <c r="B49" i="40" s="1"/>
  <c r="H42" i="37" l="1"/>
  <c r="H46" i="37"/>
  <c r="H98" i="37"/>
  <c r="H102" i="37"/>
  <c r="H106" i="37"/>
  <c r="H110" i="37"/>
  <c r="H114" i="37"/>
  <c r="H118" i="37"/>
  <c r="H6" i="37"/>
  <c r="H8" i="37"/>
  <c r="H10" i="37"/>
  <c r="H12" i="37"/>
  <c r="H14" i="37"/>
  <c r="H16" i="37"/>
  <c r="H18" i="37"/>
  <c r="H20" i="37"/>
  <c r="H22" i="37"/>
  <c r="H24" i="37"/>
  <c r="H26" i="37"/>
  <c r="H28" i="37"/>
  <c r="H30" i="37"/>
  <c r="H32" i="37"/>
  <c r="H34" i="37"/>
  <c r="H36" i="37"/>
  <c r="H38" i="37"/>
  <c r="H40" i="37"/>
  <c r="H44" i="37"/>
  <c r="H48" i="37"/>
  <c r="H50" i="37"/>
  <c r="H52" i="37"/>
  <c r="H54" i="37"/>
  <c r="H56" i="37"/>
  <c r="H58" i="37"/>
  <c r="H60" i="37"/>
  <c r="H62" i="37"/>
  <c r="H64" i="37"/>
  <c r="H66" i="37"/>
  <c r="H68" i="37"/>
  <c r="H70" i="37"/>
  <c r="H72" i="37"/>
  <c r="H74" i="37"/>
  <c r="H76" i="37"/>
  <c r="H78" i="37"/>
  <c r="H80" i="37"/>
  <c r="H82" i="37"/>
  <c r="H84" i="37"/>
  <c r="H86" i="37"/>
  <c r="H88" i="37"/>
  <c r="H90" i="37"/>
  <c r="H92" i="37"/>
  <c r="H94" i="37"/>
  <c r="H96" i="37"/>
  <c r="H100" i="37"/>
  <c r="H104" i="37"/>
  <c r="H108" i="37"/>
  <c r="H112" i="37"/>
  <c r="H116" i="37"/>
  <c r="H120" i="37"/>
  <c r="H121" i="37"/>
  <c r="H123" i="37"/>
  <c r="H125" i="37"/>
  <c r="H127" i="37"/>
  <c r="H129" i="37"/>
  <c r="H133" i="37"/>
  <c r="H137" i="37"/>
  <c r="H141" i="37"/>
  <c r="H145" i="37"/>
  <c r="H149" i="37"/>
  <c r="H153" i="37"/>
  <c r="H157" i="37"/>
  <c r="H161" i="37"/>
  <c r="H165" i="37"/>
  <c r="H169" i="37"/>
  <c r="H173" i="37"/>
  <c r="H177" i="37"/>
  <c r="H179" i="37"/>
  <c r="H181" i="37"/>
  <c r="H183" i="37"/>
  <c r="H185" i="37"/>
  <c r="H187" i="37"/>
  <c r="H189" i="37"/>
  <c r="H191" i="37"/>
  <c r="H193" i="37"/>
  <c r="H197" i="37"/>
  <c r="H201" i="37"/>
  <c r="H205" i="37"/>
  <c r="H209" i="37"/>
  <c r="H213" i="37"/>
  <c r="H217" i="37"/>
  <c r="H221" i="37"/>
  <c r="H131" i="37"/>
  <c r="H135" i="37"/>
  <c r="H139" i="37"/>
  <c r="H143" i="37"/>
  <c r="H147" i="37"/>
  <c r="H151" i="37"/>
  <c r="H155" i="37"/>
  <c r="H159" i="37"/>
  <c r="H163" i="37"/>
  <c r="H167" i="37"/>
  <c r="H171" i="37"/>
  <c r="H175" i="37"/>
  <c r="H195" i="37"/>
  <c r="H199" i="37"/>
  <c r="H203" i="37"/>
  <c r="H207" i="37"/>
  <c r="H211" i="37"/>
  <c r="H215" i="37"/>
  <c r="H219" i="37"/>
  <c r="H223" i="37"/>
  <c r="H226" i="37"/>
  <c r="H228" i="37"/>
  <c r="H230" i="37"/>
  <c r="H232" i="37"/>
  <c r="H234" i="37"/>
  <c r="H236" i="37"/>
  <c r="H238" i="37"/>
  <c r="H240" i="37"/>
  <c r="H242" i="37"/>
  <c r="H244" i="37"/>
  <c r="H246" i="37"/>
  <c r="H248" i="37"/>
  <c r="H250" i="37"/>
  <c r="H252" i="37"/>
  <c r="H254" i="37"/>
  <c r="H256" i="37"/>
  <c r="H258" i="37"/>
  <c r="H260" i="37"/>
  <c r="H262" i="37"/>
  <c r="H264" i="37"/>
  <c r="H266" i="37"/>
  <c r="H268" i="37"/>
  <c r="H270" i="37"/>
  <c r="H272" i="37"/>
  <c r="H274" i="37"/>
  <c r="H276" i="37"/>
  <c r="H278" i="37"/>
  <c r="H280" i="37"/>
  <c r="H282" i="37"/>
  <c r="H284" i="37"/>
  <c r="H286" i="37"/>
  <c r="H288" i="37"/>
  <c r="H290" i="37"/>
  <c r="H292" i="37"/>
  <c r="H294" i="37"/>
  <c r="H296" i="37"/>
  <c r="H298" i="37"/>
  <c r="H300" i="37"/>
  <c r="H302" i="37"/>
  <c r="H304" i="37"/>
  <c r="H306" i="37"/>
  <c r="H308" i="37"/>
  <c r="H310" i="37"/>
  <c r="H312" i="37"/>
  <c r="H313" i="37"/>
  <c r="H309" i="37"/>
  <c r="H305" i="37"/>
  <c r="H301" i="37"/>
  <c r="H297" i="37"/>
  <c r="H293" i="37"/>
  <c r="H289" i="37"/>
  <c r="H285" i="37"/>
  <c r="H281" i="37"/>
  <c r="H277" i="37"/>
  <c r="H273" i="37"/>
  <c r="H269" i="37"/>
  <c r="H265" i="37"/>
  <c r="H261" i="37"/>
  <c r="H257" i="37"/>
  <c r="H253" i="37"/>
  <c r="H249" i="37"/>
  <c r="H245" i="37"/>
  <c r="H241" i="37"/>
  <c r="H237" i="37"/>
  <c r="H233" i="37"/>
  <c r="H229" i="37"/>
  <c r="H225" i="37"/>
  <c r="H220" i="37"/>
  <c r="H212" i="37"/>
  <c r="H204" i="37"/>
  <c r="H196" i="37"/>
  <c r="H170" i="37"/>
  <c r="H162" i="37"/>
  <c r="H154" i="37"/>
  <c r="H146" i="37"/>
  <c r="H138" i="37"/>
  <c r="H130" i="37"/>
  <c r="H218" i="37"/>
  <c r="H210" i="37"/>
  <c r="H202" i="37"/>
  <c r="H194" i="37"/>
  <c r="H190" i="37"/>
  <c r="H186" i="37"/>
  <c r="H182" i="37"/>
  <c r="H178" i="37"/>
  <c r="H172" i="37"/>
  <c r="H164" i="37"/>
  <c r="H156" i="37"/>
  <c r="H148" i="37"/>
  <c r="H140" i="37"/>
  <c r="H132" i="37"/>
  <c r="H126" i="37"/>
  <c r="H122" i="37"/>
  <c r="H113" i="37"/>
  <c r="H105" i="37"/>
  <c r="H97" i="37"/>
  <c r="H93" i="37"/>
  <c r="H89" i="37"/>
  <c r="H85" i="37"/>
  <c r="H81" i="37"/>
  <c r="H77" i="37"/>
  <c r="H73" i="37"/>
  <c r="H69" i="37"/>
  <c r="H65" i="37"/>
  <c r="H61" i="37"/>
  <c r="H57" i="37"/>
  <c r="H53" i="37"/>
  <c r="H49" i="37"/>
  <c r="H41" i="37"/>
  <c r="H37" i="37"/>
  <c r="H33" i="37"/>
  <c r="H29" i="37"/>
  <c r="H25" i="37"/>
  <c r="H21" i="37"/>
  <c r="H17" i="37"/>
  <c r="H13" i="37"/>
  <c r="H9" i="37"/>
  <c r="H119" i="37"/>
  <c r="H111" i="37"/>
  <c r="H103" i="37"/>
  <c r="H47" i="37"/>
  <c r="H311" i="37"/>
  <c r="H307" i="37"/>
  <c r="H303" i="37"/>
  <c r="H299" i="37"/>
  <c r="H295" i="37"/>
  <c r="H291" i="37"/>
  <c r="H287" i="37"/>
  <c r="H283" i="37"/>
  <c r="H279" i="37"/>
  <c r="H275" i="37"/>
  <c r="H271" i="37"/>
  <c r="H267" i="37"/>
  <c r="H263" i="37"/>
  <c r="H259" i="37"/>
  <c r="H255" i="37"/>
  <c r="H251" i="37"/>
  <c r="H247" i="37"/>
  <c r="H243" i="37"/>
  <c r="H239" i="37"/>
  <c r="H235" i="37"/>
  <c r="H231" i="37"/>
  <c r="H227" i="37"/>
  <c r="H224" i="37"/>
  <c r="H216" i="37"/>
  <c r="H208" i="37"/>
  <c r="H200" i="37"/>
  <c r="H174" i="37"/>
  <c r="H166" i="37"/>
  <c r="H158" i="37"/>
  <c r="H150" i="37"/>
  <c r="H142" i="37"/>
  <c r="H134" i="37"/>
  <c r="H222" i="37"/>
  <c r="H214" i="37"/>
  <c r="H206" i="37"/>
  <c r="H198" i="37"/>
  <c r="H192" i="37"/>
  <c r="H188" i="37"/>
  <c r="H184" i="37"/>
  <c r="H180" i="37"/>
  <c r="H176" i="37"/>
  <c r="H168" i="37"/>
  <c r="H160" i="37"/>
  <c r="H152" i="37"/>
  <c r="H144" i="37"/>
  <c r="H136" i="37"/>
  <c r="H128" i="37"/>
  <c r="H124" i="37"/>
  <c r="H117" i="37"/>
  <c r="H109" i="37"/>
  <c r="H101" i="37"/>
  <c r="H95" i="37"/>
  <c r="H91" i="37"/>
  <c r="H87" i="37"/>
  <c r="H83" i="37"/>
  <c r="H79" i="37"/>
  <c r="H75" i="37"/>
  <c r="H71" i="37"/>
  <c r="H67" i="37"/>
  <c r="H63" i="37"/>
  <c r="H59" i="37"/>
  <c r="H55" i="37"/>
  <c r="H51" i="37"/>
  <c r="H45" i="37"/>
  <c r="H39" i="37"/>
  <c r="H35" i="37"/>
  <c r="H31" i="37"/>
  <c r="H27" i="37"/>
  <c r="H23" i="37"/>
  <c r="H19" i="37"/>
  <c r="H15" i="37"/>
  <c r="H11" i="37"/>
  <c r="H7" i="37"/>
  <c r="H115" i="37"/>
  <c r="H107" i="37"/>
  <c r="H99" i="37"/>
  <c r="H43" i="37"/>
  <c r="F7" i="33"/>
  <c r="F11" i="33"/>
  <c r="F15" i="33"/>
  <c r="F19" i="33"/>
  <c r="F23" i="33"/>
  <c r="F27" i="33"/>
  <c r="F68" i="33"/>
  <c r="F72" i="33"/>
  <c r="F76" i="33"/>
  <c r="F80" i="33"/>
  <c r="F84" i="33"/>
  <c r="F88" i="33"/>
  <c r="F92" i="33"/>
  <c r="F96" i="33"/>
  <c r="F100" i="33"/>
  <c r="F104" i="33"/>
  <c r="F108" i="33"/>
  <c r="F112" i="33"/>
  <c r="F116" i="33"/>
  <c r="F120" i="33"/>
  <c r="F124" i="33"/>
  <c r="F128" i="33"/>
  <c r="F132" i="33"/>
  <c r="F136" i="33"/>
  <c r="F140" i="33"/>
  <c r="F34" i="33"/>
  <c r="F38" i="33"/>
  <c r="F42" i="33"/>
  <c r="F46" i="33"/>
  <c r="F50" i="33"/>
  <c r="F54" i="33"/>
  <c r="F58" i="33"/>
  <c r="F62" i="33"/>
  <c r="F66" i="33"/>
  <c r="F142" i="33"/>
  <c r="F146" i="33"/>
  <c r="F150" i="33"/>
  <c r="F154" i="33"/>
  <c r="F158" i="33"/>
  <c r="F162" i="33"/>
  <c r="F166" i="33"/>
  <c r="F170" i="33"/>
  <c r="F174" i="33"/>
  <c r="F178" i="33"/>
  <c r="F182" i="33"/>
  <c r="F186" i="33"/>
  <c r="F190" i="33"/>
  <c r="F194" i="33"/>
  <c r="F198" i="33"/>
  <c r="F202" i="33"/>
  <c r="F206" i="33"/>
  <c r="F210" i="33"/>
  <c r="F214" i="33"/>
  <c r="F218" i="33"/>
  <c r="F222" i="33"/>
  <c r="F226" i="33"/>
  <c r="F230" i="33"/>
  <c r="F234" i="33"/>
  <c r="F238" i="33"/>
  <c r="F242" i="33"/>
  <c r="F246" i="33"/>
  <c r="F250" i="33"/>
  <c r="F254" i="33"/>
  <c r="F258" i="33"/>
  <c r="F262" i="33"/>
  <c r="F266" i="33"/>
  <c r="F270" i="33"/>
  <c r="F274" i="33"/>
  <c r="F278" i="33"/>
  <c r="F282" i="33"/>
  <c r="F312" i="33"/>
  <c r="F308" i="33"/>
  <c r="F304" i="33"/>
  <c r="F300" i="33"/>
  <c r="F296" i="33"/>
  <c r="F292" i="33"/>
  <c r="F288" i="33"/>
  <c r="F313" i="33"/>
  <c r="F309" i="33"/>
  <c r="F305" i="33"/>
  <c r="F301" i="33"/>
  <c r="F297" i="33"/>
  <c r="F293" i="33"/>
  <c r="F289" i="33"/>
  <c r="F285" i="33"/>
  <c r="F281" i="33"/>
  <c r="F273" i="33"/>
  <c r="F265" i="33"/>
  <c r="F257" i="33"/>
  <c r="F249" i="33"/>
  <c r="F241" i="33"/>
  <c r="F233" i="33"/>
  <c r="F225" i="33"/>
  <c r="F217" i="33"/>
  <c r="F311" i="33"/>
  <c r="F307" i="33"/>
  <c r="F303" i="33"/>
  <c r="F299" i="33"/>
  <c r="F295" i="33"/>
  <c r="F291" i="33"/>
  <c r="F287" i="33"/>
  <c r="F310" i="33"/>
  <c r="F306" i="33"/>
  <c r="F302" i="33"/>
  <c r="F298" i="33"/>
  <c r="F294" i="33"/>
  <c r="F290" i="33"/>
  <c r="F286" i="33"/>
  <c r="F277" i="33"/>
  <c r="F269" i="33"/>
  <c r="F261" i="33"/>
  <c r="F253" i="33"/>
  <c r="F245" i="33"/>
  <c r="F237" i="33"/>
  <c r="F229" i="33"/>
  <c r="F221" i="33"/>
  <c r="F213" i="33"/>
  <c r="F205" i="33"/>
  <c r="F197" i="33"/>
  <c r="F189" i="33"/>
  <c r="F181" i="33"/>
  <c r="F173" i="33"/>
  <c r="F165" i="33"/>
  <c r="F157" i="33"/>
  <c r="F149" i="33"/>
  <c r="F141" i="33"/>
  <c r="F60" i="33"/>
  <c r="F52" i="33"/>
  <c r="F44" i="33"/>
  <c r="F36" i="33"/>
  <c r="F30" i="33"/>
  <c r="F22" i="33"/>
  <c r="F14" i="33"/>
  <c r="F6" i="33"/>
  <c r="F284" i="33"/>
  <c r="F280" i="33"/>
  <c r="F276" i="33"/>
  <c r="F272" i="33"/>
  <c r="F268" i="33"/>
  <c r="F264" i="33"/>
  <c r="F260" i="33"/>
  <c r="F256" i="33"/>
  <c r="F252" i="33"/>
  <c r="F248" i="33"/>
  <c r="F244" i="33"/>
  <c r="F240" i="33"/>
  <c r="F236" i="33"/>
  <c r="F232" i="33"/>
  <c r="F228" i="33"/>
  <c r="F224" i="33"/>
  <c r="F220" i="33"/>
  <c r="F209" i="33"/>
  <c r="F201" i="33"/>
  <c r="F193" i="33"/>
  <c r="F185" i="33"/>
  <c r="F177" i="33"/>
  <c r="F169" i="33"/>
  <c r="F161" i="33"/>
  <c r="F153" i="33"/>
  <c r="F145" i="33"/>
  <c r="F64" i="33"/>
  <c r="F56" i="33"/>
  <c r="F48" i="33"/>
  <c r="F40" i="33"/>
  <c r="F32" i="33"/>
  <c r="F26" i="33"/>
  <c r="F18" i="33"/>
  <c r="F10" i="33"/>
  <c r="F283" i="33"/>
  <c r="F279" i="33"/>
  <c r="F275" i="33"/>
  <c r="F271" i="33"/>
  <c r="F267" i="33"/>
  <c r="F263" i="33"/>
  <c r="F259" i="33"/>
  <c r="F255" i="33"/>
  <c r="F251" i="33"/>
  <c r="F247" i="33"/>
  <c r="F243" i="33"/>
  <c r="F239" i="33"/>
  <c r="F235" i="33"/>
  <c r="F231" i="33"/>
  <c r="F227" i="33"/>
  <c r="F223" i="33"/>
  <c r="F219" i="33"/>
  <c r="F216" i="33"/>
  <c r="F212" i="33"/>
  <c r="F208" i="33"/>
  <c r="F204" i="33"/>
  <c r="F200" i="33"/>
  <c r="F196" i="33"/>
  <c r="F192" i="33"/>
  <c r="F188" i="33"/>
  <c r="F184" i="33"/>
  <c r="F180" i="33"/>
  <c r="F176" i="33"/>
  <c r="F172" i="33"/>
  <c r="F168" i="33"/>
  <c r="F164" i="33"/>
  <c r="F160" i="33"/>
  <c r="F156" i="33"/>
  <c r="F152" i="33"/>
  <c r="F148" i="33"/>
  <c r="F144" i="33"/>
  <c r="F61" i="33"/>
  <c r="F53" i="33"/>
  <c r="F45" i="33"/>
  <c r="F37" i="33"/>
  <c r="F137" i="33"/>
  <c r="F129" i="33"/>
  <c r="F121" i="33"/>
  <c r="F113" i="33"/>
  <c r="F105" i="33"/>
  <c r="F97" i="33"/>
  <c r="F89" i="33"/>
  <c r="F81" i="33"/>
  <c r="F73" i="33"/>
  <c r="F29" i="33"/>
  <c r="F21" i="33"/>
  <c r="F13" i="33"/>
  <c r="F67" i="33"/>
  <c r="F59" i="33"/>
  <c r="F51" i="33"/>
  <c r="F43" i="33"/>
  <c r="F35" i="33"/>
  <c r="F28" i="33"/>
  <c r="F20" i="33"/>
  <c r="F12" i="33"/>
  <c r="F215" i="33"/>
  <c r="F211" i="33"/>
  <c r="F207" i="33"/>
  <c r="F203" i="33"/>
  <c r="F199" i="33"/>
  <c r="F195" i="33"/>
  <c r="F191" i="33"/>
  <c r="F187" i="33"/>
  <c r="F183" i="33"/>
  <c r="F179" i="33"/>
  <c r="F175" i="33"/>
  <c r="F171" i="33"/>
  <c r="F167" i="33"/>
  <c r="F163" i="33"/>
  <c r="F159" i="33"/>
  <c r="F155" i="33"/>
  <c r="F151" i="33"/>
  <c r="F147" i="33"/>
  <c r="F143" i="33"/>
  <c r="F139" i="33"/>
  <c r="F138" i="33"/>
  <c r="F135" i="33"/>
  <c r="F134" i="33"/>
  <c r="F131" i="33"/>
  <c r="F130" i="33"/>
  <c r="F127" i="33"/>
  <c r="F126" i="33"/>
  <c r="F123" i="33"/>
  <c r="F122" i="33"/>
  <c r="F119" i="33"/>
  <c r="F118" i="33"/>
  <c r="F115" i="33"/>
  <c r="F114" i="33"/>
  <c r="F111" i="33"/>
  <c r="F110" i="33"/>
  <c r="F107" i="33"/>
  <c r="F106" i="33"/>
  <c r="F103" i="33"/>
  <c r="F102" i="33"/>
  <c r="F99" i="33"/>
  <c r="F98" i="33"/>
  <c r="F95" i="33"/>
  <c r="F94" i="33"/>
  <c r="F91" i="33"/>
  <c r="F90" i="33"/>
  <c r="F87" i="33"/>
  <c r="F86" i="33"/>
  <c r="F83" i="33"/>
  <c r="F82" i="33"/>
  <c r="F79" i="33"/>
  <c r="F78" i="33"/>
  <c r="F75" i="33"/>
  <c r="F74" i="33"/>
  <c r="F71" i="33"/>
  <c r="F70" i="33"/>
  <c r="F65" i="33"/>
  <c r="F57" i="33"/>
  <c r="F49" i="33"/>
  <c r="F41" i="33"/>
  <c r="F33" i="33"/>
  <c r="F133" i="33"/>
  <c r="F125" i="33"/>
  <c r="F117" i="33"/>
  <c r="F109" i="33"/>
  <c r="F101" i="33"/>
  <c r="F93" i="33"/>
  <c r="F85" i="33"/>
  <c r="F77" i="33"/>
  <c r="F69" i="33"/>
  <c r="F25" i="33"/>
  <c r="F17" i="33"/>
  <c r="F9" i="33"/>
  <c r="F63" i="33"/>
  <c r="F55" i="33"/>
  <c r="F47" i="33"/>
  <c r="F39" i="33"/>
  <c r="F31" i="33"/>
  <c r="F24" i="33"/>
  <c r="F16" i="33"/>
  <c r="F8" i="33"/>
  <c r="H2" i="33"/>
  <c r="G2" i="33"/>
  <c r="P5" i="13"/>
  <c r="H314" i="37"/>
  <c r="J2" i="33"/>
  <c r="H5" i="37"/>
  <c r="F5" i="33"/>
  <c r="I2" i="33"/>
  <c r="I8" i="33" l="1"/>
  <c r="I12" i="33"/>
  <c r="I16" i="33"/>
  <c r="I20" i="33"/>
  <c r="I24" i="33"/>
  <c r="I28" i="33"/>
  <c r="I31" i="33"/>
  <c r="I35" i="33"/>
  <c r="I39" i="33"/>
  <c r="I43" i="33"/>
  <c r="I47" i="33"/>
  <c r="I51" i="33"/>
  <c r="I55" i="33"/>
  <c r="I59" i="33"/>
  <c r="I63" i="33"/>
  <c r="I69" i="33"/>
  <c r="I73" i="33"/>
  <c r="I77" i="33"/>
  <c r="I81" i="33"/>
  <c r="I85" i="33"/>
  <c r="I89" i="33"/>
  <c r="I93" i="33"/>
  <c r="I97" i="33"/>
  <c r="I101" i="33"/>
  <c r="I105" i="33"/>
  <c r="I109" i="33"/>
  <c r="I113" i="33"/>
  <c r="I117" i="33"/>
  <c r="I121" i="33"/>
  <c r="I125" i="33"/>
  <c r="I129" i="33"/>
  <c r="I133" i="33"/>
  <c r="I137" i="33"/>
  <c r="I140" i="33"/>
  <c r="I143" i="33"/>
  <c r="I147" i="33"/>
  <c r="I151" i="33"/>
  <c r="I155" i="33"/>
  <c r="I159" i="33"/>
  <c r="I163" i="33"/>
  <c r="I167" i="33"/>
  <c r="I171" i="33"/>
  <c r="I175" i="33"/>
  <c r="I179" i="33"/>
  <c r="I183" i="33"/>
  <c r="I187" i="33"/>
  <c r="I191" i="33"/>
  <c r="I195" i="33"/>
  <c r="I199" i="33"/>
  <c r="I203" i="33"/>
  <c r="I207" i="33"/>
  <c r="I211" i="33"/>
  <c r="I215" i="33"/>
  <c r="I219" i="33"/>
  <c r="I223" i="33"/>
  <c r="I227" i="33"/>
  <c r="I231" i="33"/>
  <c r="I235" i="33"/>
  <c r="I239" i="33"/>
  <c r="I243" i="33"/>
  <c r="I247" i="33"/>
  <c r="I251" i="33"/>
  <c r="I255" i="33"/>
  <c r="I259" i="33"/>
  <c r="I263" i="33"/>
  <c r="I267" i="33"/>
  <c r="I271" i="33"/>
  <c r="I275" i="33"/>
  <c r="I279" i="33"/>
  <c r="I283" i="33"/>
  <c r="I67" i="33"/>
  <c r="I71" i="33"/>
  <c r="I75" i="33"/>
  <c r="I79" i="33"/>
  <c r="I83" i="33"/>
  <c r="I87" i="33"/>
  <c r="I91" i="33"/>
  <c r="I95" i="33"/>
  <c r="I99" i="33"/>
  <c r="I103" i="33"/>
  <c r="I107" i="33"/>
  <c r="I111" i="33"/>
  <c r="I115" i="33"/>
  <c r="I119" i="33"/>
  <c r="I123" i="33"/>
  <c r="I127" i="33"/>
  <c r="I131" i="33"/>
  <c r="I135" i="33"/>
  <c r="I139" i="33"/>
  <c r="I141" i="33"/>
  <c r="I145" i="33"/>
  <c r="I149" i="33"/>
  <c r="I153" i="33"/>
  <c r="I157" i="33"/>
  <c r="I161" i="33"/>
  <c r="I165" i="33"/>
  <c r="I169" i="33"/>
  <c r="I173" i="33"/>
  <c r="I177" i="33"/>
  <c r="I181" i="33"/>
  <c r="I185" i="33"/>
  <c r="I189" i="33"/>
  <c r="I193" i="33"/>
  <c r="I197" i="33"/>
  <c r="I201" i="33"/>
  <c r="I205" i="33"/>
  <c r="I209" i="33"/>
  <c r="I213" i="33"/>
  <c r="I217" i="33"/>
  <c r="I221" i="33"/>
  <c r="I225" i="33"/>
  <c r="I229" i="33"/>
  <c r="I233" i="33"/>
  <c r="I237" i="33"/>
  <c r="I241" i="33"/>
  <c r="I245" i="33"/>
  <c r="I249" i="33"/>
  <c r="I253" i="33"/>
  <c r="I257" i="33"/>
  <c r="I261" i="33"/>
  <c r="I265" i="33"/>
  <c r="I269" i="33"/>
  <c r="I273" i="33"/>
  <c r="I277" i="33"/>
  <c r="I281" i="33"/>
  <c r="I285" i="33"/>
  <c r="I287" i="33"/>
  <c r="I289" i="33"/>
  <c r="I291" i="33"/>
  <c r="I293" i="33"/>
  <c r="I295" i="33"/>
  <c r="I297" i="33"/>
  <c r="I299" i="33"/>
  <c r="I301" i="33"/>
  <c r="I303" i="33"/>
  <c r="I305" i="33"/>
  <c r="I307" i="33"/>
  <c r="I309" i="33"/>
  <c r="I311" i="33"/>
  <c r="I313" i="33"/>
  <c r="I310" i="33"/>
  <c r="I306" i="33"/>
  <c r="I302" i="33"/>
  <c r="I298" i="33"/>
  <c r="I294" i="33"/>
  <c r="I290" i="33"/>
  <c r="I286" i="33"/>
  <c r="I280" i="33"/>
  <c r="I272" i="33"/>
  <c r="I264" i="33"/>
  <c r="I256" i="33"/>
  <c r="I248" i="33"/>
  <c r="I240" i="33"/>
  <c r="I232" i="33"/>
  <c r="I224" i="33"/>
  <c r="I312" i="33"/>
  <c r="I308" i="33"/>
  <c r="I304" i="33"/>
  <c r="I300" i="33"/>
  <c r="I296" i="33"/>
  <c r="I292" i="33"/>
  <c r="I288" i="33"/>
  <c r="I284" i="33"/>
  <c r="I276" i="33"/>
  <c r="I268" i="33"/>
  <c r="I260" i="33"/>
  <c r="I252" i="33"/>
  <c r="I244" i="33"/>
  <c r="I236" i="33"/>
  <c r="I228" i="33"/>
  <c r="I220" i="33"/>
  <c r="I212" i="33"/>
  <c r="I204" i="33"/>
  <c r="I196" i="33"/>
  <c r="I188" i="33"/>
  <c r="I180" i="33"/>
  <c r="I172" i="33"/>
  <c r="I164" i="33"/>
  <c r="I156" i="33"/>
  <c r="I148" i="33"/>
  <c r="I64" i="33"/>
  <c r="I56" i="33"/>
  <c r="I48" i="33"/>
  <c r="I40" i="33"/>
  <c r="I32" i="33"/>
  <c r="I30" i="33"/>
  <c r="I22" i="33"/>
  <c r="I14" i="33"/>
  <c r="I6" i="33"/>
  <c r="I216" i="33"/>
  <c r="I208" i="33"/>
  <c r="I200" i="33"/>
  <c r="I192" i="33"/>
  <c r="I184" i="33"/>
  <c r="I176" i="33"/>
  <c r="I168" i="33"/>
  <c r="I160" i="33"/>
  <c r="I152" i="33"/>
  <c r="I144" i="33"/>
  <c r="I60" i="33"/>
  <c r="I52" i="33"/>
  <c r="I44" i="33"/>
  <c r="I36" i="33"/>
  <c r="I26" i="33"/>
  <c r="I18" i="33"/>
  <c r="I10" i="33"/>
  <c r="I282" i="33"/>
  <c r="I278" i="33"/>
  <c r="I274" i="33"/>
  <c r="I270" i="33"/>
  <c r="I266" i="33"/>
  <c r="I262" i="33"/>
  <c r="I258" i="33"/>
  <c r="I254" i="33"/>
  <c r="I250" i="33"/>
  <c r="I246" i="33"/>
  <c r="I242" i="33"/>
  <c r="I238" i="33"/>
  <c r="I234" i="33"/>
  <c r="I230" i="33"/>
  <c r="I226" i="33"/>
  <c r="I222" i="33"/>
  <c r="I218" i="33"/>
  <c r="I138" i="33"/>
  <c r="I134" i="33"/>
  <c r="I130" i="33"/>
  <c r="I126" i="33"/>
  <c r="I122" i="33"/>
  <c r="I118" i="33"/>
  <c r="I114" i="33"/>
  <c r="I110" i="33"/>
  <c r="I106" i="33"/>
  <c r="I102" i="33"/>
  <c r="I98" i="33"/>
  <c r="I94" i="33"/>
  <c r="I90" i="33"/>
  <c r="I86" i="33"/>
  <c r="I82" i="33"/>
  <c r="I78" i="33"/>
  <c r="I74" i="33"/>
  <c r="I70" i="33"/>
  <c r="I61" i="33"/>
  <c r="I53" i="33"/>
  <c r="I45" i="33"/>
  <c r="I37" i="33"/>
  <c r="I136" i="33"/>
  <c r="I128" i="33"/>
  <c r="I120" i="33"/>
  <c r="I112" i="33"/>
  <c r="I104" i="33"/>
  <c r="I96" i="33"/>
  <c r="I88" i="33"/>
  <c r="I80" i="33"/>
  <c r="I72" i="33"/>
  <c r="I25" i="33"/>
  <c r="I17" i="33"/>
  <c r="I9" i="33"/>
  <c r="I66" i="33"/>
  <c r="I58" i="33"/>
  <c r="I50" i="33"/>
  <c r="I42" i="33"/>
  <c r="I34" i="33"/>
  <c r="I27" i="33"/>
  <c r="I19" i="33"/>
  <c r="I11" i="33"/>
  <c r="I214" i="33"/>
  <c r="I210" i="33"/>
  <c r="I206" i="33"/>
  <c r="I202" i="33"/>
  <c r="I198" i="33"/>
  <c r="I194" i="33"/>
  <c r="I190" i="33"/>
  <c r="I186" i="33"/>
  <c r="I182" i="33"/>
  <c r="I178" i="33"/>
  <c r="I174" i="33"/>
  <c r="I170" i="33"/>
  <c r="I166" i="33"/>
  <c r="I162" i="33"/>
  <c r="I158" i="33"/>
  <c r="I154" i="33"/>
  <c r="I150" i="33"/>
  <c r="I146" i="33"/>
  <c r="I142" i="33"/>
  <c r="I65" i="33"/>
  <c r="I57" i="33"/>
  <c r="I49" i="33"/>
  <c r="I41" i="33"/>
  <c r="I33" i="33"/>
  <c r="I132" i="33"/>
  <c r="I124" i="33"/>
  <c r="I116" i="33"/>
  <c r="I108" i="33"/>
  <c r="I100" i="33"/>
  <c r="I92" i="33"/>
  <c r="I84" i="33"/>
  <c r="I76" i="33"/>
  <c r="I68" i="33"/>
  <c r="I29" i="33"/>
  <c r="I21" i="33"/>
  <c r="I13" i="33"/>
  <c r="I62" i="33"/>
  <c r="I54" i="33"/>
  <c r="I46" i="33"/>
  <c r="I38" i="33"/>
  <c r="I23" i="33"/>
  <c r="I15" i="33"/>
  <c r="I7" i="33"/>
  <c r="G8" i="33"/>
  <c r="G12" i="33"/>
  <c r="G16" i="33"/>
  <c r="G20" i="33"/>
  <c r="G24" i="33"/>
  <c r="G28" i="33"/>
  <c r="G31" i="33"/>
  <c r="G35" i="33"/>
  <c r="G39" i="33"/>
  <c r="G43" i="33"/>
  <c r="G47" i="33"/>
  <c r="G51" i="33"/>
  <c r="G55" i="33"/>
  <c r="G59" i="33"/>
  <c r="G63" i="33"/>
  <c r="G67" i="33"/>
  <c r="G140" i="33"/>
  <c r="G69" i="33"/>
  <c r="G73" i="33"/>
  <c r="G77" i="33"/>
  <c r="G81" i="33"/>
  <c r="G85" i="33"/>
  <c r="G89" i="33"/>
  <c r="G93" i="33"/>
  <c r="G97" i="33"/>
  <c r="G101" i="33"/>
  <c r="G105" i="33"/>
  <c r="G109" i="33"/>
  <c r="G113" i="33"/>
  <c r="G117" i="33"/>
  <c r="G121" i="33"/>
  <c r="G125" i="33"/>
  <c r="G129" i="33"/>
  <c r="G133" i="33"/>
  <c r="G137" i="33"/>
  <c r="G143" i="33"/>
  <c r="G147" i="33"/>
  <c r="G151" i="33"/>
  <c r="G155" i="33"/>
  <c r="G159" i="33"/>
  <c r="G163" i="33"/>
  <c r="G167" i="33"/>
  <c r="G171" i="33"/>
  <c r="G175" i="33"/>
  <c r="G179" i="33"/>
  <c r="G183" i="33"/>
  <c r="G187" i="33"/>
  <c r="G191" i="33"/>
  <c r="G195" i="33"/>
  <c r="G199" i="33"/>
  <c r="G203" i="33"/>
  <c r="G207" i="33"/>
  <c r="G211" i="33"/>
  <c r="G215" i="33"/>
  <c r="G219" i="33"/>
  <c r="G223" i="33"/>
  <c r="G227" i="33"/>
  <c r="G231" i="33"/>
  <c r="G235" i="33"/>
  <c r="G239" i="33"/>
  <c r="G243" i="33"/>
  <c r="G247" i="33"/>
  <c r="G251" i="33"/>
  <c r="G255" i="33"/>
  <c r="G259" i="33"/>
  <c r="G263" i="33"/>
  <c r="G267" i="33"/>
  <c r="G271" i="33"/>
  <c r="G275" i="33"/>
  <c r="G279" i="33"/>
  <c r="G283" i="33"/>
  <c r="G287" i="33"/>
  <c r="G289" i="33"/>
  <c r="G291" i="33"/>
  <c r="G293" i="33"/>
  <c r="G295" i="33"/>
  <c r="G297" i="33"/>
  <c r="G299" i="33"/>
  <c r="G301" i="33"/>
  <c r="G303" i="33"/>
  <c r="G305" i="33"/>
  <c r="G307" i="33"/>
  <c r="G309" i="33"/>
  <c r="G311" i="33"/>
  <c r="G313" i="33"/>
  <c r="G312" i="33"/>
  <c r="G308" i="33"/>
  <c r="G304" i="33"/>
  <c r="G300" i="33"/>
  <c r="G296" i="33"/>
  <c r="G292" i="33"/>
  <c r="G288" i="33"/>
  <c r="G284" i="33"/>
  <c r="G276" i="33"/>
  <c r="G268" i="33"/>
  <c r="G260" i="33"/>
  <c r="G252" i="33"/>
  <c r="G244" i="33"/>
  <c r="G236" i="33"/>
  <c r="G228" i="33"/>
  <c r="G220" i="33"/>
  <c r="G310" i="33"/>
  <c r="G306" i="33"/>
  <c r="G302" i="33"/>
  <c r="G298" i="33"/>
  <c r="G294" i="33"/>
  <c r="G290" i="33"/>
  <c r="G286" i="33"/>
  <c r="G280" i="33"/>
  <c r="G272" i="33"/>
  <c r="G264" i="33"/>
  <c r="G256" i="33"/>
  <c r="G248" i="33"/>
  <c r="G240" i="33"/>
  <c r="G232" i="33"/>
  <c r="G224" i="33"/>
  <c r="G216" i="33"/>
  <c r="G208" i="33"/>
  <c r="G200" i="33"/>
  <c r="G192" i="33"/>
  <c r="G184" i="33"/>
  <c r="G176" i="33"/>
  <c r="G168" i="33"/>
  <c r="G160" i="33"/>
  <c r="G152" i="33"/>
  <c r="G144" i="33"/>
  <c r="G60" i="33"/>
  <c r="G52" i="33"/>
  <c r="G44" i="33"/>
  <c r="G36" i="33"/>
  <c r="G26" i="33"/>
  <c r="G18" i="33"/>
  <c r="G10" i="33"/>
  <c r="G285" i="33"/>
  <c r="G282" i="33"/>
  <c r="G281" i="33"/>
  <c r="G278" i="33"/>
  <c r="G277" i="33"/>
  <c r="G274" i="33"/>
  <c r="G273" i="33"/>
  <c r="G270" i="33"/>
  <c r="G269" i="33"/>
  <c r="G266" i="33"/>
  <c r="G265" i="33"/>
  <c r="G262" i="33"/>
  <c r="G261" i="33"/>
  <c r="G258" i="33"/>
  <c r="G257" i="33"/>
  <c r="G254" i="33"/>
  <c r="G253" i="33"/>
  <c r="G250" i="33"/>
  <c r="G249" i="33"/>
  <c r="G246" i="33"/>
  <c r="G245" i="33"/>
  <c r="G242" i="33"/>
  <c r="G241" i="33"/>
  <c r="G238" i="33"/>
  <c r="G237" i="33"/>
  <c r="G234" i="33"/>
  <c r="G233" i="33"/>
  <c r="G230" i="33"/>
  <c r="G229" i="33"/>
  <c r="G226" i="33"/>
  <c r="G225" i="33"/>
  <c r="G222" i="33"/>
  <c r="G221" i="33"/>
  <c r="G218" i="33"/>
  <c r="G212" i="33"/>
  <c r="G204" i="33"/>
  <c r="G196" i="33"/>
  <c r="G188" i="33"/>
  <c r="G180" i="33"/>
  <c r="G172" i="33"/>
  <c r="G164" i="33"/>
  <c r="G156" i="33"/>
  <c r="G148" i="33"/>
  <c r="G64" i="33"/>
  <c r="G56" i="33"/>
  <c r="G48" i="33"/>
  <c r="G40" i="33"/>
  <c r="G32" i="33"/>
  <c r="G30" i="33"/>
  <c r="G22" i="33"/>
  <c r="G14" i="33"/>
  <c r="G6" i="33"/>
  <c r="G217" i="33"/>
  <c r="G214" i="33"/>
  <c r="G213" i="33"/>
  <c r="G210" i="33"/>
  <c r="G209" i="33"/>
  <c r="G206" i="33"/>
  <c r="G205" i="33"/>
  <c r="G202" i="33"/>
  <c r="G201" i="33"/>
  <c r="G198" i="33"/>
  <c r="G197" i="33"/>
  <c r="G194" i="33"/>
  <c r="G193" i="33"/>
  <c r="G190" i="33"/>
  <c r="G189" i="33"/>
  <c r="G186" i="33"/>
  <c r="G185" i="33"/>
  <c r="G182" i="33"/>
  <c r="G181" i="33"/>
  <c r="G178" i="33"/>
  <c r="G177" i="33"/>
  <c r="G174" i="33"/>
  <c r="G173" i="33"/>
  <c r="G170" i="33"/>
  <c r="G169" i="33"/>
  <c r="G166" i="33"/>
  <c r="G165" i="33"/>
  <c r="G162" i="33"/>
  <c r="G161" i="33"/>
  <c r="G158" i="33"/>
  <c r="G157" i="33"/>
  <c r="G154" i="33"/>
  <c r="G153" i="33"/>
  <c r="G150" i="33"/>
  <c r="G149" i="33"/>
  <c r="G146" i="33"/>
  <c r="G145" i="33"/>
  <c r="G142" i="33"/>
  <c r="G141" i="33"/>
  <c r="G139" i="33"/>
  <c r="G135" i="33"/>
  <c r="G131" i="33"/>
  <c r="G127" i="33"/>
  <c r="G123" i="33"/>
  <c r="G119" i="33"/>
  <c r="G115" i="33"/>
  <c r="G111" i="33"/>
  <c r="G107" i="33"/>
  <c r="G103" i="33"/>
  <c r="G99" i="33"/>
  <c r="G95" i="33"/>
  <c r="G91" i="33"/>
  <c r="G87" i="33"/>
  <c r="G83" i="33"/>
  <c r="G79" i="33"/>
  <c r="G75" i="33"/>
  <c r="G71" i="33"/>
  <c r="G65" i="33"/>
  <c r="G57" i="33"/>
  <c r="G49" i="33"/>
  <c r="G41" i="33"/>
  <c r="G33" i="33"/>
  <c r="G132" i="33"/>
  <c r="G124" i="33"/>
  <c r="G116" i="33"/>
  <c r="G108" i="33"/>
  <c r="G100" i="33"/>
  <c r="G92" i="33"/>
  <c r="G84" i="33"/>
  <c r="G76" i="33"/>
  <c r="G68" i="33"/>
  <c r="G29" i="33"/>
  <c r="G21" i="33"/>
  <c r="G13" i="33"/>
  <c r="G62" i="33"/>
  <c r="G54" i="33"/>
  <c r="G46" i="33"/>
  <c r="G38" i="33"/>
  <c r="G23" i="33"/>
  <c r="G15" i="33"/>
  <c r="G7" i="33"/>
  <c r="G138" i="33"/>
  <c r="G134" i="33"/>
  <c r="G130" i="33"/>
  <c r="G126" i="33"/>
  <c r="G122" i="33"/>
  <c r="G118" i="33"/>
  <c r="G114" i="33"/>
  <c r="G110" i="33"/>
  <c r="G106" i="33"/>
  <c r="G102" i="33"/>
  <c r="G98" i="33"/>
  <c r="G94" i="33"/>
  <c r="G90" i="33"/>
  <c r="G86" i="33"/>
  <c r="G82" i="33"/>
  <c r="G78" i="33"/>
  <c r="G74" i="33"/>
  <c r="G70" i="33"/>
  <c r="G61" i="33"/>
  <c r="G53" i="33"/>
  <c r="G45" i="33"/>
  <c r="G37" i="33"/>
  <c r="G136" i="33"/>
  <c r="G128" i="33"/>
  <c r="G120" i="33"/>
  <c r="G112" i="33"/>
  <c r="G104" i="33"/>
  <c r="G96" i="33"/>
  <c r="G88" i="33"/>
  <c r="G80" i="33"/>
  <c r="G72" i="33"/>
  <c r="G25" i="33"/>
  <c r="G17" i="33"/>
  <c r="G9" i="33"/>
  <c r="G66" i="33"/>
  <c r="G58" i="33"/>
  <c r="G50" i="33"/>
  <c r="G42" i="33"/>
  <c r="G34" i="33"/>
  <c r="G27" i="33"/>
  <c r="G19" i="33"/>
  <c r="G11" i="33"/>
  <c r="J7" i="33"/>
  <c r="J11" i="33"/>
  <c r="J15" i="33"/>
  <c r="J19" i="33"/>
  <c r="J23" i="33"/>
  <c r="J27" i="33"/>
  <c r="J67" i="33"/>
  <c r="J34" i="33"/>
  <c r="J38" i="33"/>
  <c r="J42" i="33"/>
  <c r="J46" i="33"/>
  <c r="J50" i="33"/>
  <c r="J54" i="33"/>
  <c r="J58" i="33"/>
  <c r="J62" i="33"/>
  <c r="J66" i="33"/>
  <c r="J140" i="33"/>
  <c r="J68" i="33"/>
  <c r="J72" i="33"/>
  <c r="J76" i="33"/>
  <c r="J80" i="33"/>
  <c r="J84" i="33"/>
  <c r="J88" i="33"/>
  <c r="J92" i="33"/>
  <c r="J96" i="33"/>
  <c r="J100" i="33"/>
  <c r="J104" i="33"/>
  <c r="J108" i="33"/>
  <c r="J112" i="33"/>
  <c r="J116" i="33"/>
  <c r="J120" i="33"/>
  <c r="J124" i="33"/>
  <c r="J128" i="33"/>
  <c r="J132" i="33"/>
  <c r="J136" i="33"/>
  <c r="J142" i="33"/>
  <c r="J146" i="33"/>
  <c r="J150" i="33"/>
  <c r="J154" i="33"/>
  <c r="J158" i="33"/>
  <c r="J162" i="33"/>
  <c r="J166" i="33"/>
  <c r="J170" i="33"/>
  <c r="J174" i="33"/>
  <c r="J178" i="33"/>
  <c r="J182" i="33"/>
  <c r="J186" i="33"/>
  <c r="J190" i="33"/>
  <c r="J194" i="33"/>
  <c r="J198" i="33"/>
  <c r="J202" i="33"/>
  <c r="J206" i="33"/>
  <c r="J210" i="33"/>
  <c r="J214" i="33"/>
  <c r="J218" i="33"/>
  <c r="J222" i="33"/>
  <c r="J226" i="33"/>
  <c r="J230" i="33"/>
  <c r="J234" i="33"/>
  <c r="J238" i="33"/>
  <c r="J242" i="33"/>
  <c r="J246" i="33"/>
  <c r="J250" i="33"/>
  <c r="J254" i="33"/>
  <c r="J258" i="33"/>
  <c r="J262" i="33"/>
  <c r="J266" i="33"/>
  <c r="J270" i="33"/>
  <c r="J274" i="33"/>
  <c r="J278" i="33"/>
  <c r="J282" i="33"/>
  <c r="J312" i="33"/>
  <c r="J308" i="33"/>
  <c r="J304" i="33"/>
  <c r="J300" i="33"/>
  <c r="J296" i="33"/>
  <c r="J292" i="33"/>
  <c r="J288" i="33"/>
  <c r="J281" i="33"/>
  <c r="J273" i="33"/>
  <c r="J265" i="33"/>
  <c r="J257" i="33"/>
  <c r="J249" i="33"/>
  <c r="J241" i="33"/>
  <c r="J233" i="33"/>
  <c r="J225" i="33"/>
  <c r="J310" i="33"/>
  <c r="J306" i="33"/>
  <c r="J302" i="33"/>
  <c r="J298" i="33"/>
  <c r="J294" i="33"/>
  <c r="J290" i="33"/>
  <c r="J286" i="33"/>
  <c r="J277" i="33"/>
  <c r="J269" i="33"/>
  <c r="J261" i="33"/>
  <c r="J253" i="33"/>
  <c r="J245" i="33"/>
  <c r="J237" i="33"/>
  <c r="J229" i="33"/>
  <c r="J221" i="33"/>
  <c r="J217" i="33"/>
  <c r="J213" i="33"/>
  <c r="J205" i="33"/>
  <c r="J197" i="33"/>
  <c r="J189" i="33"/>
  <c r="J181" i="33"/>
  <c r="J173" i="33"/>
  <c r="J165" i="33"/>
  <c r="J157" i="33"/>
  <c r="J149" i="33"/>
  <c r="J141" i="33"/>
  <c r="J64" i="33"/>
  <c r="J56" i="33"/>
  <c r="J48" i="33"/>
  <c r="J40" i="33"/>
  <c r="J32" i="33"/>
  <c r="J30" i="33"/>
  <c r="J22" i="33"/>
  <c r="J14" i="33"/>
  <c r="J6" i="33"/>
  <c r="J209" i="33"/>
  <c r="J201" i="33"/>
  <c r="J193" i="33"/>
  <c r="J185" i="33"/>
  <c r="J177" i="33"/>
  <c r="J169" i="33"/>
  <c r="J161" i="33"/>
  <c r="J153" i="33"/>
  <c r="J145" i="33"/>
  <c r="J60" i="33"/>
  <c r="J52" i="33"/>
  <c r="J44" i="33"/>
  <c r="J36" i="33"/>
  <c r="J26" i="33"/>
  <c r="J18" i="33"/>
  <c r="J10" i="33"/>
  <c r="J313" i="33"/>
  <c r="J311" i="33"/>
  <c r="J309" i="33"/>
  <c r="J307" i="33"/>
  <c r="J305" i="33"/>
  <c r="J303" i="33"/>
  <c r="J301" i="33"/>
  <c r="J299" i="33"/>
  <c r="J297" i="33"/>
  <c r="J295" i="33"/>
  <c r="J293" i="33"/>
  <c r="J291" i="33"/>
  <c r="J289" i="33"/>
  <c r="J287" i="33"/>
  <c r="J285" i="33"/>
  <c r="J284" i="33"/>
  <c r="J283" i="33"/>
  <c r="J280" i="33"/>
  <c r="J279" i="33"/>
  <c r="J276" i="33"/>
  <c r="J275" i="33"/>
  <c r="J272" i="33"/>
  <c r="J271" i="33"/>
  <c r="J268" i="33"/>
  <c r="J267" i="33"/>
  <c r="J264" i="33"/>
  <c r="J263" i="33"/>
  <c r="J260" i="33"/>
  <c r="J259" i="33"/>
  <c r="J256" i="33"/>
  <c r="J255" i="33"/>
  <c r="J252" i="33"/>
  <c r="J251" i="33"/>
  <c r="J248" i="33"/>
  <c r="J247" i="33"/>
  <c r="J244" i="33"/>
  <c r="J243" i="33"/>
  <c r="J240" i="33"/>
  <c r="J239" i="33"/>
  <c r="J236" i="33"/>
  <c r="J235" i="33"/>
  <c r="J232" i="33"/>
  <c r="J231" i="33"/>
  <c r="J228" i="33"/>
  <c r="J227" i="33"/>
  <c r="J224" i="33"/>
  <c r="J223" i="33"/>
  <c r="J220" i="33"/>
  <c r="J219" i="33"/>
  <c r="J138" i="33"/>
  <c r="J134" i="33"/>
  <c r="J130" i="33"/>
  <c r="J126" i="33"/>
  <c r="J122" i="33"/>
  <c r="J118" i="33"/>
  <c r="J114" i="33"/>
  <c r="J110" i="33"/>
  <c r="J106" i="33"/>
  <c r="J102" i="33"/>
  <c r="J98" i="33"/>
  <c r="J94" i="33"/>
  <c r="J90" i="33"/>
  <c r="J86" i="33"/>
  <c r="J82" i="33"/>
  <c r="J78" i="33"/>
  <c r="J74" i="33"/>
  <c r="J70" i="33"/>
  <c r="J61" i="33"/>
  <c r="J53" i="33"/>
  <c r="J45" i="33"/>
  <c r="J37" i="33"/>
  <c r="J137" i="33"/>
  <c r="J129" i="33"/>
  <c r="J121" i="33"/>
  <c r="J113" i="33"/>
  <c r="J105" i="33"/>
  <c r="J97" i="33"/>
  <c r="J89" i="33"/>
  <c r="J81" i="33"/>
  <c r="J73" i="33"/>
  <c r="J25" i="33"/>
  <c r="J17" i="33"/>
  <c r="J9" i="33"/>
  <c r="J59" i="33"/>
  <c r="J51" i="33"/>
  <c r="J43" i="33"/>
  <c r="J35" i="33"/>
  <c r="J28" i="33"/>
  <c r="J20" i="33"/>
  <c r="J12" i="33"/>
  <c r="J216" i="33"/>
  <c r="J215" i="33"/>
  <c r="J212" i="33"/>
  <c r="J211" i="33"/>
  <c r="J208" i="33"/>
  <c r="J207" i="33"/>
  <c r="J204" i="33"/>
  <c r="J203" i="33"/>
  <c r="J200" i="33"/>
  <c r="J199" i="33"/>
  <c r="J196" i="33"/>
  <c r="J195" i="33"/>
  <c r="J192" i="33"/>
  <c r="J191" i="33"/>
  <c r="J188" i="33"/>
  <c r="J187" i="33"/>
  <c r="J184" i="33"/>
  <c r="J183" i="33"/>
  <c r="J180" i="33"/>
  <c r="J179" i="33"/>
  <c r="J176" i="33"/>
  <c r="J175" i="33"/>
  <c r="J172" i="33"/>
  <c r="J171" i="33"/>
  <c r="J168" i="33"/>
  <c r="J167" i="33"/>
  <c r="J164" i="33"/>
  <c r="J163" i="33"/>
  <c r="J160" i="33"/>
  <c r="J159" i="33"/>
  <c r="J156" i="33"/>
  <c r="J155" i="33"/>
  <c r="J152" i="33"/>
  <c r="J151" i="33"/>
  <c r="J148" i="33"/>
  <c r="J147" i="33"/>
  <c r="J144" i="33"/>
  <c r="J143" i="33"/>
  <c r="J139" i="33"/>
  <c r="J135" i="33"/>
  <c r="J131" i="33"/>
  <c r="J127" i="33"/>
  <c r="J123" i="33"/>
  <c r="J119" i="33"/>
  <c r="J115" i="33"/>
  <c r="J111" i="33"/>
  <c r="J107" i="33"/>
  <c r="J103" i="33"/>
  <c r="J99" i="33"/>
  <c r="J95" i="33"/>
  <c r="J91" i="33"/>
  <c r="J87" i="33"/>
  <c r="J83" i="33"/>
  <c r="J79" i="33"/>
  <c r="J75" i="33"/>
  <c r="J71" i="33"/>
  <c r="J65" i="33"/>
  <c r="J57" i="33"/>
  <c r="J49" i="33"/>
  <c r="J41" i="33"/>
  <c r="J33" i="33"/>
  <c r="J133" i="33"/>
  <c r="J125" i="33"/>
  <c r="J117" i="33"/>
  <c r="J109" i="33"/>
  <c r="J101" i="33"/>
  <c r="J93" i="33"/>
  <c r="J85" i="33"/>
  <c r="J77" i="33"/>
  <c r="J69" i="33"/>
  <c r="J29" i="33"/>
  <c r="J21" i="33"/>
  <c r="J13" i="33"/>
  <c r="J63" i="33"/>
  <c r="J55" i="33"/>
  <c r="J47" i="33"/>
  <c r="J39" i="33"/>
  <c r="J31" i="33"/>
  <c r="J24" i="33"/>
  <c r="J16" i="33"/>
  <c r="J8" i="33"/>
  <c r="H7" i="33"/>
  <c r="H11" i="33"/>
  <c r="H15" i="33"/>
  <c r="H19" i="33"/>
  <c r="H23" i="33"/>
  <c r="H27" i="33"/>
  <c r="H34" i="33"/>
  <c r="H38" i="33"/>
  <c r="H42" i="33"/>
  <c r="H46" i="33"/>
  <c r="H50" i="33"/>
  <c r="H54" i="33"/>
  <c r="H58" i="33"/>
  <c r="H62" i="33"/>
  <c r="H66" i="33"/>
  <c r="H67" i="33"/>
  <c r="H68" i="33"/>
  <c r="H72" i="33"/>
  <c r="H76" i="33"/>
  <c r="H80" i="33"/>
  <c r="H84" i="33"/>
  <c r="H88" i="33"/>
  <c r="H92" i="33"/>
  <c r="H96" i="33"/>
  <c r="H100" i="33"/>
  <c r="H104" i="33"/>
  <c r="H108" i="33"/>
  <c r="H112" i="33"/>
  <c r="H116" i="33"/>
  <c r="H120" i="33"/>
  <c r="H124" i="33"/>
  <c r="H128" i="33"/>
  <c r="H132" i="33"/>
  <c r="H136" i="33"/>
  <c r="H142" i="33"/>
  <c r="H146" i="33"/>
  <c r="H150" i="33"/>
  <c r="H154" i="33"/>
  <c r="H158" i="33"/>
  <c r="H162" i="33"/>
  <c r="H166" i="33"/>
  <c r="H170" i="33"/>
  <c r="H174" i="33"/>
  <c r="H178" i="33"/>
  <c r="H182" i="33"/>
  <c r="H186" i="33"/>
  <c r="H190" i="33"/>
  <c r="H194" i="33"/>
  <c r="H198" i="33"/>
  <c r="H202" i="33"/>
  <c r="H206" i="33"/>
  <c r="H210" i="33"/>
  <c r="H214" i="33"/>
  <c r="H218" i="33"/>
  <c r="H222" i="33"/>
  <c r="H226" i="33"/>
  <c r="H230" i="33"/>
  <c r="H234" i="33"/>
  <c r="H238" i="33"/>
  <c r="H242" i="33"/>
  <c r="H246" i="33"/>
  <c r="H250" i="33"/>
  <c r="H254" i="33"/>
  <c r="H258" i="33"/>
  <c r="H262" i="33"/>
  <c r="H266" i="33"/>
  <c r="H270" i="33"/>
  <c r="H274" i="33"/>
  <c r="H278" i="33"/>
  <c r="H282" i="33"/>
  <c r="H70" i="33"/>
  <c r="H74" i="33"/>
  <c r="H78" i="33"/>
  <c r="H82" i="33"/>
  <c r="H86" i="33"/>
  <c r="H90" i="33"/>
  <c r="H94" i="33"/>
  <c r="H98" i="33"/>
  <c r="H102" i="33"/>
  <c r="H106" i="33"/>
  <c r="H110" i="33"/>
  <c r="H114" i="33"/>
  <c r="H118" i="33"/>
  <c r="H122" i="33"/>
  <c r="H126" i="33"/>
  <c r="H130" i="33"/>
  <c r="H134" i="33"/>
  <c r="H138" i="33"/>
  <c r="H140" i="33"/>
  <c r="H144" i="33"/>
  <c r="H148" i="33"/>
  <c r="H152" i="33"/>
  <c r="H156" i="33"/>
  <c r="H160" i="33"/>
  <c r="H164" i="33"/>
  <c r="H168" i="33"/>
  <c r="H172" i="33"/>
  <c r="H176" i="33"/>
  <c r="H180" i="33"/>
  <c r="H184" i="33"/>
  <c r="H188" i="33"/>
  <c r="H192" i="33"/>
  <c r="H196" i="33"/>
  <c r="H200" i="33"/>
  <c r="H204" i="33"/>
  <c r="H208" i="33"/>
  <c r="H212" i="33"/>
  <c r="H216" i="33"/>
  <c r="H220" i="33"/>
  <c r="H224" i="33"/>
  <c r="H228" i="33"/>
  <c r="H232" i="33"/>
  <c r="H236" i="33"/>
  <c r="H240" i="33"/>
  <c r="H244" i="33"/>
  <c r="H248" i="33"/>
  <c r="H252" i="33"/>
  <c r="H256" i="33"/>
  <c r="H260" i="33"/>
  <c r="H264" i="33"/>
  <c r="H268" i="33"/>
  <c r="H272" i="33"/>
  <c r="H276" i="33"/>
  <c r="H280" i="33"/>
  <c r="H284" i="33"/>
  <c r="H310" i="33"/>
  <c r="H306" i="33"/>
  <c r="H302" i="33"/>
  <c r="H298" i="33"/>
  <c r="H294" i="33"/>
  <c r="H290" i="33"/>
  <c r="H286" i="33"/>
  <c r="H277" i="33"/>
  <c r="H269" i="33"/>
  <c r="H261" i="33"/>
  <c r="H253" i="33"/>
  <c r="H245" i="33"/>
  <c r="H237" i="33"/>
  <c r="H229" i="33"/>
  <c r="H221" i="33"/>
  <c r="H312" i="33"/>
  <c r="H308" i="33"/>
  <c r="H304" i="33"/>
  <c r="H300" i="33"/>
  <c r="H296" i="33"/>
  <c r="H292" i="33"/>
  <c r="H288" i="33"/>
  <c r="H285" i="33"/>
  <c r="H281" i="33"/>
  <c r="H273" i="33"/>
  <c r="H265" i="33"/>
  <c r="H257" i="33"/>
  <c r="H249" i="33"/>
  <c r="H241" i="33"/>
  <c r="H233" i="33"/>
  <c r="H225" i="33"/>
  <c r="H217" i="33"/>
  <c r="H209" i="33"/>
  <c r="H201" i="33"/>
  <c r="H193" i="33"/>
  <c r="H185" i="33"/>
  <c r="H177" i="33"/>
  <c r="H169" i="33"/>
  <c r="H161" i="33"/>
  <c r="H153" i="33"/>
  <c r="H145" i="33"/>
  <c r="H60" i="33"/>
  <c r="H52" i="33"/>
  <c r="H44" i="33"/>
  <c r="H36" i="33"/>
  <c r="H26" i="33"/>
  <c r="H18" i="33"/>
  <c r="H10" i="33"/>
  <c r="H313" i="33"/>
  <c r="H311" i="33"/>
  <c r="H309" i="33"/>
  <c r="H307" i="33"/>
  <c r="H305" i="33"/>
  <c r="H303" i="33"/>
  <c r="H301" i="33"/>
  <c r="H299" i="33"/>
  <c r="H297" i="33"/>
  <c r="H295" i="33"/>
  <c r="H293" i="33"/>
  <c r="H291" i="33"/>
  <c r="H289" i="33"/>
  <c r="H287" i="33"/>
  <c r="H283" i="33"/>
  <c r="H279" i="33"/>
  <c r="H275" i="33"/>
  <c r="H271" i="33"/>
  <c r="H267" i="33"/>
  <c r="H263" i="33"/>
  <c r="H259" i="33"/>
  <c r="H255" i="33"/>
  <c r="H251" i="33"/>
  <c r="H247" i="33"/>
  <c r="H243" i="33"/>
  <c r="H239" i="33"/>
  <c r="H235" i="33"/>
  <c r="H231" i="33"/>
  <c r="H227" i="33"/>
  <c r="H223" i="33"/>
  <c r="H219" i="33"/>
  <c r="H213" i="33"/>
  <c r="H205" i="33"/>
  <c r="H197" i="33"/>
  <c r="H189" i="33"/>
  <c r="H181" i="33"/>
  <c r="H173" i="33"/>
  <c r="H165" i="33"/>
  <c r="H157" i="33"/>
  <c r="H149" i="33"/>
  <c r="H141" i="33"/>
  <c r="H64" i="33"/>
  <c r="H56" i="33"/>
  <c r="H48" i="33"/>
  <c r="H40" i="33"/>
  <c r="H32" i="33"/>
  <c r="H30" i="33"/>
  <c r="H22" i="33"/>
  <c r="H14" i="33"/>
  <c r="H6" i="33"/>
  <c r="H215" i="33"/>
  <c r="H211" i="33"/>
  <c r="H207" i="33"/>
  <c r="H203" i="33"/>
  <c r="H199" i="33"/>
  <c r="H195" i="33"/>
  <c r="H191" i="33"/>
  <c r="H187" i="33"/>
  <c r="H183" i="33"/>
  <c r="H179" i="33"/>
  <c r="H175" i="33"/>
  <c r="H171" i="33"/>
  <c r="H167" i="33"/>
  <c r="H163" i="33"/>
  <c r="H159" i="33"/>
  <c r="H155" i="33"/>
  <c r="H151" i="33"/>
  <c r="H147" i="33"/>
  <c r="H143" i="33"/>
  <c r="H139" i="33"/>
  <c r="H135" i="33"/>
  <c r="H131" i="33"/>
  <c r="H127" i="33"/>
  <c r="H123" i="33"/>
  <c r="H119" i="33"/>
  <c r="H115" i="33"/>
  <c r="H111" i="33"/>
  <c r="H107" i="33"/>
  <c r="H103" i="33"/>
  <c r="H99" i="33"/>
  <c r="H95" i="33"/>
  <c r="H91" i="33"/>
  <c r="H87" i="33"/>
  <c r="H83" i="33"/>
  <c r="H79" i="33"/>
  <c r="H75" i="33"/>
  <c r="H71" i="33"/>
  <c r="H65" i="33"/>
  <c r="H57" i="33"/>
  <c r="H49" i="33"/>
  <c r="H41" i="33"/>
  <c r="H33" i="33"/>
  <c r="H133" i="33"/>
  <c r="H125" i="33"/>
  <c r="H117" i="33"/>
  <c r="H109" i="33"/>
  <c r="H101" i="33"/>
  <c r="H93" i="33"/>
  <c r="H85" i="33"/>
  <c r="H77" i="33"/>
  <c r="H69" i="33"/>
  <c r="H29" i="33"/>
  <c r="H21" i="33"/>
  <c r="H13" i="33"/>
  <c r="H63" i="33"/>
  <c r="H55" i="33"/>
  <c r="H47" i="33"/>
  <c r="H39" i="33"/>
  <c r="H31" i="33"/>
  <c r="H24" i="33"/>
  <c r="H16" i="33"/>
  <c r="H8" i="33"/>
  <c r="H61" i="33"/>
  <c r="H53" i="33"/>
  <c r="H45" i="33"/>
  <c r="H37" i="33"/>
  <c r="H137" i="33"/>
  <c r="H129" i="33"/>
  <c r="H121" i="33"/>
  <c r="H113" i="33"/>
  <c r="H105" i="33"/>
  <c r="H97" i="33"/>
  <c r="H89" i="33"/>
  <c r="H81" i="33"/>
  <c r="H73" i="33"/>
  <c r="H25" i="33"/>
  <c r="H17" i="33"/>
  <c r="H9" i="33"/>
  <c r="H59" i="33"/>
  <c r="H51" i="33"/>
  <c r="H43" i="33"/>
  <c r="H35" i="33"/>
  <c r="H28" i="33"/>
  <c r="H20" i="33"/>
  <c r="H12" i="33"/>
  <c r="G5" i="33"/>
  <c r="H4" i="12"/>
  <c r="J5" i="33"/>
  <c r="H5" i="33"/>
  <c r="I5" i="33"/>
  <c r="K11" i="33" l="1"/>
  <c r="L11" i="33" s="1"/>
  <c r="K27" i="33"/>
  <c r="L27" i="33" s="1"/>
  <c r="K42" i="33"/>
  <c r="L42" i="33" s="1"/>
  <c r="K58" i="33"/>
  <c r="L58" i="33" s="1"/>
  <c r="K9" i="33"/>
  <c r="L9" i="33" s="1"/>
  <c r="K25" i="33"/>
  <c r="L25" i="33" s="1"/>
  <c r="K80" i="33"/>
  <c r="L80" i="33" s="1"/>
  <c r="K96" i="33"/>
  <c r="L96" i="33" s="1"/>
  <c r="K112" i="33"/>
  <c r="L112" i="33" s="1"/>
  <c r="K128" i="33"/>
  <c r="L128" i="33" s="1"/>
  <c r="K37" i="33"/>
  <c r="L37" i="33" s="1"/>
  <c r="K53" i="33"/>
  <c r="L53" i="33" s="1"/>
  <c r="K70" i="33"/>
  <c r="L70" i="33" s="1"/>
  <c r="K78" i="33"/>
  <c r="L78" i="33" s="1"/>
  <c r="K86" i="33"/>
  <c r="L86" i="33" s="1"/>
  <c r="K94" i="33"/>
  <c r="L94" i="33" s="1"/>
  <c r="K102" i="33"/>
  <c r="L102" i="33" s="1"/>
  <c r="K110" i="33"/>
  <c r="L110" i="33" s="1"/>
  <c r="K118" i="33"/>
  <c r="L118" i="33" s="1"/>
  <c r="K126" i="33"/>
  <c r="L126" i="33" s="1"/>
  <c r="K134" i="33"/>
  <c r="L134" i="33" s="1"/>
  <c r="K7" i="33"/>
  <c r="L7" i="33" s="1"/>
  <c r="K23" i="33"/>
  <c r="L23" i="33" s="1"/>
  <c r="K46" i="33"/>
  <c r="L46" i="33" s="1"/>
  <c r="K62" i="33"/>
  <c r="L62" i="33" s="1"/>
  <c r="K21" i="33"/>
  <c r="L21" i="33" s="1"/>
  <c r="K68" i="33"/>
  <c r="L68" i="33" s="1"/>
  <c r="K84" i="33"/>
  <c r="L84" i="33" s="1"/>
  <c r="K100" i="33"/>
  <c r="L100" i="33" s="1"/>
  <c r="K116" i="33"/>
  <c r="L116" i="33" s="1"/>
  <c r="K132" i="33"/>
  <c r="L132" i="33" s="1"/>
  <c r="K41" i="33"/>
  <c r="L41" i="33" s="1"/>
  <c r="K57" i="33"/>
  <c r="L57" i="33" s="1"/>
  <c r="K71" i="33"/>
  <c r="L71" i="33" s="1"/>
  <c r="K79" i="33"/>
  <c r="L79" i="33" s="1"/>
  <c r="K87" i="33"/>
  <c r="L87" i="33" s="1"/>
  <c r="K95" i="33"/>
  <c r="L95" i="33" s="1"/>
  <c r="K103" i="33"/>
  <c r="L103" i="33" s="1"/>
  <c r="K111" i="33"/>
  <c r="L111" i="33" s="1"/>
  <c r="K119" i="33"/>
  <c r="L119" i="33" s="1"/>
  <c r="K127" i="33"/>
  <c r="L127" i="33" s="1"/>
  <c r="K135" i="33"/>
  <c r="L135" i="33" s="1"/>
  <c r="K141" i="33"/>
  <c r="L141" i="33" s="1"/>
  <c r="K145" i="33"/>
  <c r="L145" i="33" s="1"/>
  <c r="K149" i="33"/>
  <c r="L149" i="33" s="1"/>
  <c r="K153" i="33"/>
  <c r="L153" i="33" s="1"/>
  <c r="K157" i="33"/>
  <c r="L157" i="33" s="1"/>
  <c r="K161" i="33"/>
  <c r="L161" i="33" s="1"/>
  <c r="K165" i="33"/>
  <c r="L165" i="33" s="1"/>
  <c r="K169" i="33"/>
  <c r="L169" i="33" s="1"/>
  <c r="K173" i="33"/>
  <c r="L173" i="33" s="1"/>
  <c r="K177" i="33"/>
  <c r="L177" i="33" s="1"/>
  <c r="K181" i="33"/>
  <c r="L181" i="33" s="1"/>
  <c r="K185" i="33"/>
  <c r="L185" i="33" s="1"/>
  <c r="K189" i="33"/>
  <c r="L189" i="33" s="1"/>
  <c r="K193" i="33"/>
  <c r="L193" i="33" s="1"/>
  <c r="K197" i="33"/>
  <c r="L197" i="33" s="1"/>
  <c r="K201" i="33"/>
  <c r="L201" i="33" s="1"/>
  <c r="K205" i="33"/>
  <c r="L205" i="33" s="1"/>
  <c r="K209" i="33"/>
  <c r="L209" i="33" s="1"/>
  <c r="K213" i="33"/>
  <c r="L213" i="33" s="1"/>
  <c r="K217" i="33"/>
  <c r="L217" i="33" s="1"/>
  <c r="K14" i="33"/>
  <c r="L14" i="33" s="1"/>
  <c r="K30" i="33"/>
  <c r="L30" i="33" s="1"/>
  <c r="K40" i="33"/>
  <c r="L40" i="33" s="1"/>
  <c r="K56" i="33"/>
  <c r="L56" i="33" s="1"/>
  <c r="K148" i="33"/>
  <c r="L148" i="33" s="1"/>
  <c r="K164" i="33"/>
  <c r="L164" i="33" s="1"/>
  <c r="K180" i="33"/>
  <c r="L180" i="33" s="1"/>
  <c r="K196" i="33"/>
  <c r="L196" i="33" s="1"/>
  <c r="K212" i="33"/>
  <c r="L212" i="33" s="1"/>
  <c r="K221" i="33"/>
  <c r="L221" i="33" s="1"/>
  <c r="K225" i="33"/>
  <c r="L225" i="33" s="1"/>
  <c r="K229" i="33"/>
  <c r="L229" i="33" s="1"/>
  <c r="K233" i="33"/>
  <c r="L233" i="33" s="1"/>
  <c r="K237" i="33"/>
  <c r="L237" i="33" s="1"/>
  <c r="K241" i="33"/>
  <c r="L241" i="33" s="1"/>
  <c r="K245" i="33"/>
  <c r="L245" i="33" s="1"/>
  <c r="K249" i="33"/>
  <c r="L249" i="33" s="1"/>
  <c r="K253" i="33"/>
  <c r="L253" i="33" s="1"/>
  <c r="K257" i="33"/>
  <c r="L257" i="33" s="1"/>
  <c r="K261" i="33"/>
  <c r="L261" i="33" s="1"/>
  <c r="K265" i="33"/>
  <c r="L265" i="33" s="1"/>
  <c r="K269" i="33"/>
  <c r="L269" i="33" s="1"/>
  <c r="K273" i="33"/>
  <c r="L273" i="33" s="1"/>
  <c r="K277" i="33"/>
  <c r="L277" i="33" s="1"/>
  <c r="K281" i="33"/>
  <c r="L281" i="33" s="1"/>
  <c r="K285" i="33"/>
  <c r="L285" i="33" s="1"/>
  <c r="K18" i="33"/>
  <c r="L18" i="33" s="1"/>
  <c r="K36" i="33"/>
  <c r="L36" i="33" s="1"/>
  <c r="K52" i="33"/>
  <c r="L52" i="33" s="1"/>
  <c r="K144" i="33"/>
  <c r="L144" i="33" s="1"/>
  <c r="K160" i="33"/>
  <c r="L160" i="33" s="1"/>
  <c r="K176" i="33"/>
  <c r="L176" i="33" s="1"/>
  <c r="K192" i="33"/>
  <c r="L192" i="33" s="1"/>
  <c r="K208" i="33"/>
  <c r="L208" i="33" s="1"/>
  <c r="K224" i="33"/>
  <c r="L224" i="33" s="1"/>
  <c r="K240" i="33"/>
  <c r="L240" i="33" s="1"/>
  <c r="K256" i="33"/>
  <c r="L256" i="33" s="1"/>
  <c r="K272" i="33"/>
  <c r="L272" i="33" s="1"/>
  <c r="K286" i="33"/>
  <c r="L286" i="33" s="1"/>
  <c r="K294" i="33"/>
  <c r="L294" i="33" s="1"/>
  <c r="K302" i="33"/>
  <c r="L302" i="33" s="1"/>
  <c r="K310" i="33"/>
  <c r="L310" i="33" s="1"/>
  <c r="K228" i="33"/>
  <c r="L228" i="33" s="1"/>
  <c r="K244" i="33"/>
  <c r="L244" i="33" s="1"/>
  <c r="K260" i="33"/>
  <c r="L260" i="33" s="1"/>
  <c r="K276" i="33"/>
  <c r="L276" i="33" s="1"/>
  <c r="K288" i="33"/>
  <c r="L288" i="33" s="1"/>
  <c r="K296" i="33"/>
  <c r="L296" i="33" s="1"/>
  <c r="K304" i="33"/>
  <c r="L304" i="33" s="1"/>
  <c r="K312" i="33"/>
  <c r="L312" i="33" s="1"/>
  <c r="K311" i="33"/>
  <c r="L311" i="33" s="1"/>
  <c r="K307" i="33"/>
  <c r="L307" i="33" s="1"/>
  <c r="K303" i="33"/>
  <c r="L303" i="33" s="1"/>
  <c r="K299" i="33"/>
  <c r="L299" i="33" s="1"/>
  <c r="K295" i="33"/>
  <c r="L295" i="33" s="1"/>
  <c r="K291" i="33"/>
  <c r="L291" i="33" s="1"/>
  <c r="K287" i="33"/>
  <c r="L287" i="33" s="1"/>
  <c r="K279" i="33"/>
  <c r="L279" i="33" s="1"/>
  <c r="K271" i="33"/>
  <c r="L271" i="33" s="1"/>
  <c r="K263" i="33"/>
  <c r="L263" i="33" s="1"/>
  <c r="K255" i="33"/>
  <c r="L255" i="33" s="1"/>
  <c r="K247" i="33"/>
  <c r="L247" i="33" s="1"/>
  <c r="K239" i="33"/>
  <c r="L239" i="33" s="1"/>
  <c r="K231" i="33"/>
  <c r="L231" i="33" s="1"/>
  <c r="K223" i="33"/>
  <c r="L223" i="33" s="1"/>
  <c r="K215" i="33"/>
  <c r="L215" i="33" s="1"/>
  <c r="K207" i="33"/>
  <c r="L207" i="33" s="1"/>
  <c r="K199" i="33"/>
  <c r="L199" i="33" s="1"/>
  <c r="K191" i="33"/>
  <c r="L191" i="33" s="1"/>
  <c r="K183" i="33"/>
  <c r="L183" i="33" s="1"/>
  <c r="K175" i="33"/>
  <c r="L175" i="33" s="1"/>
  <c r="K167" i="33"/>
  <c r="L167" i="33" s="1"/>
  <c r="K159" i="33"/>
  <c r="L159" i="33" s="1"/>
  <c r="K151" i="33"/>
  <c r="L151" i="33" s="1"/>
  <c r="K143" i="33"/>
  <c r="L143" i="33" s="1"/>
  <c r="K133" i="33"/>
  <c r="L133" i="33" s="1"/>
  <c r="K125" i="33"/>
  <c r="L125" i="33" s="1"/>
  <c r="K117" i="33"/>
  <c r="L117" i="33" s="1"/>
  <c r="K109" i="33"/>
  <c r="L109" i="33" s="1"/>
  <c r="K101" i="33"/>
  <c r="L101" i="33" s="1"/>
  <c r="K93" i="33"/>
  <c r="L93" i="33" s="1"/>
  <c r="K85" i="33"/>
  <c r="L85" i="33" s="1"/>
  <c r="K77" i="33"/>
  <c r="L77" i="33" s="1"/>
  <c r="K69" i="33"/>
  <c r="L69" i="33" s="1"/>
  <c r="K67" i="33"/>
  <c r="L67" i="33" s="1"/>
  <c r="K59" i="33"/>
  <c r="L59" i="33" s="1"/>
  <c r="K51" i="33"/>
  <c r="L51" i="33" s="1"/>
  <c r="K43" i="33"/>
  <c r="L43" i="33" s="1"/>
  <c r="K35" i="33"/>
  <c r="L35" i="33" s="1"/>
  <c r="K28" i="33"/>
  <c r="L28" i="33" s="1"/>
  <c r="K20" i="33"/>
  <c r="L20" i="33" s="1"/>
  <c r="K12" i="33"/>
  <c r="L12" i="33" s="1"/>
  <c r="K19" i="33"/>
  <c r="L19" i="33" s="1"/>
  <c r="K34" i="33"/>
  <c r="L34" i="33" s="1"/>
  <c r="K50" i="33"/>
  <c r="L50" i="33" s="1"/>
  <c r="K66" i="33"/>
  <c r="L66" i="33" s="1"/>
  <c r="K17" i="33"/>
  <c r="L17" i="33" s="1"/>
  <c r="K72" i="33"/>
  <c r="L72" i="33" s="1"/>
  <c r="K88" i="33"/>
  <c r="L88" i="33" s="1"/>
  <c r="K104" i="33"/>
  <c r="L104" i="33" s="1"/>
  <c r="K120" i="33"/>
  <c r="L120" i="33" s="1"/>
  <c r="K136" i="33"/>
  <c r="L136" i="33" s="1"/>
  <c r="K45" i="33"/>
  <c r="L45" i="33" s="1"/>
  <c r="K61" i="33"/>
  <c r="L61" i="33" s="1"/>
  <c r="K74" i="33"/>
  <c r="L74" i="33" s="1"/>
  <c r="K82" i="33"/>
  <c r="L82" i="33" s="1"/>
  <c r="K90" i="33"/>
  <c r="L90" i="33" s="1"/>
  <c r="K98" i="33"/>
  <c r="L98" i="33" s="1"/>
  <c r="K106" i="33"/>
  <c r="L106" i="33" s="1"/>
  <c r="K114" i="33"/>
  <c r="L114" i="33" s="1"/>
  <c r="K122" i="33"/>
  <c r="L122" i="33" s="1"/>
  <c r="K130" i="33"/>
  <c r="L130" i="33" s="1"/>
  <c r="K138" i="33"/>
  <c r="L138" i="33" s="1"/>
  <c r="K15" i="33"/>
  <c r="L15" i="33" s="1"/>
  <c r="K38" i="33"/>
  <c r="L38" i="33" s="1"/>
  <c r="K54" i="33"/>
  <c r="L54" i="33" s="1"/>
  <c r="K13" i="33"/>
  <c r="L13" i="33" s="1"/>
  <c r="K29" i="33"/>
  <c r="L29" i="33" s="1"/>
  <c r="K76" i="33"/>
  <c r="L76" i="33" s="1"/>
  <c r="K92" i="33"/>
  <c r="L92" i="33" s="1"/>
  <c r="K108" i="33"/>
  <c r="L108" i="33" s="1"/>
  <c r="K124" i="33"/>
  <c r="L124" i="33" s="1"/>
  <c r="K33" i="33"/>
  <c r="L33" i="33" s="1"/>
  <c r="K49" i="33"/>
  <c r="L49" i="33" s="1"/>
  <c r="K65" i="33"/>
  <c r="L65" i="33" s="1"/>
  <c r="K75" i="33"/>
  <c r="L75" i="33" s="1"/>
  <c r="K83" i="33"/>
  <c r="L83" i="33" s="1"/>
  <c r="K91" i="33"/>
  <c r="L91" i="33" s="1"/>
  <c r="K99" i="33"/>
  <c r="L99" i="33" s="1"/>
  <c r="K107" i="33"/>
  <c r="L107" i="33" s="1"/>
  <c r="K115" i="33"/>
  <c r="L115" i="33" s="1"/>
  <c r="K123" i="33"/>
  <c r="L123" i="33" s="1"/>
  <c r="K131" i="33"/>
  <c r="K139" i="33"/>
  <c r="L139" i="33" s="1"/>
  <c r="K142" i="33"/>
  <c r="L142" i="33" s="1"/>
  <c r="K146" i="33"/>
  <c r="L146" i="33" s="1"/>
  <c r="K150" i="33"/>
  <c r="L150" i="33" s="1"/>
  <c r="K154" i="33"/>
  <c r="L154" i="33" s="1"/>
  <c r="K158" i="33"/>
  <c r="L158" i="33" s="1"/>
  <c r="K162" i="33"/>
  <c r="L162" i="33" s="1"/>
  <c r="K166" i="33"/>
  <c r="L166" i="33" s="1"/>
  <c r="K170" i="33"/>
  <c r="L170" i="33" s="1"/>
  <c r="K174" i="33"/>
  <c r="L174" i="33" s="1"/>
  <c r="K178" i="33"/>
  <c r="L178" i="33" s="1"/>
  <c r="K182" i="33"/>
  <c r="L182" i="33" s="1"/>
  <c r="K186" i="33"/>
  <c r="L186" i="33" s="1"/>
  <c r="K190" i="33"/>
  <c r="L190" i="33" s="1"/>
  <c r="K194" i="33"/>
  <c r="L194" i="33" s="1"/>
  <c r="K198" i="33"/>
  <c r="L198" i="33" s="1"/>
  <c r="K202" i="33"/>
  <c r="L202" i="33" s="1"/>
  <c r="K206" i="33"/>
  <c r="L206" i="33" s="1"/>
  <c r="K210" i="33"/>
  <c r="L210" i="33" s="1"/>
  <c r="K214" i="33"/>
  <c r="L214" i="33" s="1"/>
  <c r="K6" i="33"/>
  <c r="L6" i="33" s="1"/>
  <c r="K22" i="33"/>
  <c r="L22" i="33" s="1"/>
  <c r="K32" i="33"/>
  <c r="L32" i="33" s="1"/>
  <c r="K48" i="33"/>
  <c r="L48" i="33" s="1"/>
  <c r="K64" i="33"/>
  <c r="L64" i="33" s="1"/>
  <c r="K156" i="33"/>
  <c r="L156" i="33" s="1"/>
  <c r="K172" i="33"/>
  <c r="L172" i="33" s="1"/>
  <c r="K188" i="33"/>
  <c r="L188" i="33" s="1"/>
  <c r="K204" i="33"/>
  <c r="L204" i="33" s="1"/>
  <c r="K218" i="33"/>
  <c r="L218" i="33" s="1"/>
  <c r="K222" i="33"/>
  <c r="L222" i="33" s="1"/>
  <c r="K226" i="33"/>
  <c r="L226" i="33" s="1"/>
  <c r="K230" i="33"/>
  <c r="L230" i="33" s="1"/>
  <c r="K234" i="33"/>
  <c r="L234" i="33" s="1"/>
  <c r="K238" i="33"/>
  <c r="L238" i="33" s="1"/>
  <c r="K242" i="33"/>
  <c r="L242" i="33" s="1"/>
  <c r="K246" i="33"/>
  <c r="L246" i="33" s="1"/>
  <c r="K250" i="33"/>
  <c r="L250" i="33" s="1"/>
  <c r="K254" i="33"/>
  <c r="L254" i="33" s="1"/>
  <c r="K258" i="33"/>
  <c r="L258" i="33" s="1"/>
  <c r="K262" i="33"/>
  <c r="L262" i="33" s="1"/>
  <c r="K266" i="33"/>
  <c r="L266" i="33" s="1"/>
  <c r="K270" i="33"/>
  <c r="L270" i="33" s="1"/>
  <c r="K274" i="33"/>
  <c r="L274" i="33" s="1"/>
  <c r="K278" i="33"/>
  <c r="L278" i="33" s="1"/>
  <c r="K282" i="33"/>
  <c r="L282" i="33" s="1"/>
  <c r="K10" i="33"/>
  <c r="L10" i="33" s="1"/>
  <c r="K26" i="33"/>
  <c r="L26" i="33" s="1"/>
  <c r="K44" i="33"/>
  <c r="L44" i="33" s="1"/>
  <c r="K60" i="33"/>
  <c r="L60" i="33" s="1"/>
  <c r="K152" i="33"/>
  <c r="L152" i="33" s="1"/>
  <c r="K168" i="33"/>
  <c r="L168" i="33" s="1"/>
  <c r="K184" i="33"/>
  <c r="L184" i="33" s="1"/>
  <c r="K200" i="33"/>
  <c r="L200" i="33" s="1"/>
  <c r="K216" i="33"/>
  <c r="L216" i="33" s="1"/>
  <c r="K232" i="33"/>
  <c r="L232" i="33" s="1"/>
  <c r="K248" i="33"/>
  <c r="L248" i="33" s="1"/>
  <c r="K264" i="33"/>
  <c r="L264" i="33" s="1"/>
  <c r="K280" i="33"/>
  <c r="L280" i="33" s="1"/>
  <c r="K290" i="33"/>
  <c r="L290" i="33" s="1"/>
  <c r="K298" i="33"/>
  <c r="L298" i="33" s="1"/>
  <c r="K306" i="33"/>
  <c r="L306" i="33" s="1"/>
  <c r="K220" i="33"/>
  <c r="L220" i="33" s="1"/>
  <c r="K236" i="33"/>
  <c r="L236" i="33" s="1"/>
  <c r="K252" i="33"/>
  <c r="L252" i="33" s="1"/>
  <c r="K268" i="33"/>
  <c r="L268" i="33" s="1"/>
  <c r="K284" i="33"/>
  <c r="L284" i="33" s="1"/>
  <c r="K292" i="33"/>
  <c r="L292" i="33" s="1"/>
  <c r="K300" i="33"/>
  <c r="L300" i="33" s="1"/>
  <c r="K308" i="33"/>
  <c r="L308" i="33" s="1"/>
  <c r="K313" i="33"/>
  <c r="L313" i="33" s="1"/>
  <c r="K309" i="33"/>
  <c r="L309" i="33" s="1"/>
  <c r="K305" i="33"/>
  <c r="L305" i="33" s="1"/>
  <c r="K301" i="33"/>
  <c r="L301" i="33" s="1"/>
  <c r="K297" i="33"/>
  <c r="L297" i="33" s="1"/>
  <c r="K293" i="33"/>
  <c r="L293" i="33" s="1"/>
  <c r="K289" i="33"/>
  <c r="L289" i="33" s="1"/>
  <c r="K283" i="33"/>
  <c r="L283" i="33" s="1"/>
  <c r="K275" i="33"/>
  <c r="L275" i="33" s="1"/>
  <c r="K267" i="33"/>
  <c r="L267" i="33" s="1"/>
  <c r="K259" i="33"/>
  <c r="L259" i="33" s="1"/>
  <c r="K251" i="33"/>
  <c r="L251" i="33" s="1"/>
  <c r="K243" i="33"/>
  <c r="L243" i="33" s="1"/>
  <c r="K235" i="33"/>
  <c r="L235" i="33" s="1"/>
  <c r="K227" i="33"/>
  <c r="L227" i="33" s="1"/>
  <c r="K219" i="33"/>
  <c r="L219" i="33" s="1"/>
  <c r="K211" i="33"/>
  <c r="L211" i="33" s="1"/>
  <c r="K203" i="33"/>
  <c r="L203" i="33" s="1"/>
  <c r="K195" i="33"/>
  <c r="L195" i="33" s="1"/>
  <c r="K187" i="33"/>
  <c r="L187" i="33" s="1"/>
  <c r="K179" i="33"/>
  <c r="L179" i="33" s="1"/>
  <c r="K171" i="33"/>
  <c r="L171" i="33" s="1"/>
  <c r="K163" i="33"/>
  <c r="L163" i="33" s="1"/>
  <c r="K155" i="33"/>
  <c r="L155" i="33" s="1"/>
  <c r="K147" i="33"/>
  <c r="L147" i="33" s="1"/>
  <c r="K137" i="33"/>
  <c r="L137" i="33" s="1"/>
  <c r="K129" i="33"/>
  <c r="L129" i="33" s="1"/>
  <c r="K121" i="33"/>
  <c r="L121" i="33" s="1"/>
  <c r="K113" i="33"/>
  <c r="L113" i="33" s="1"/>
  <c r="K105" i="33"/>
  <c r="L105" i="33" s="1"/>
  <c r="K97" i="33"/>
  <c r="L97" i="33" s="1"/>
  <c r="K89" i="33"/>
  <c r="L89" i="33" s="1"/>
  <c r="K81" i="33"/>
  <c r="L81" i="33" s="1"/>
  <c r="K73" i="33"/>
  <c r="L73" i="33" s="1"/>
  <c r="K140" i="33"/>
  <c r="L140" i="33" s="1"/>
  <c r="K63" i="33"/>
  <c r="L63" i="33" s="1"/>
  <c r="K55" i="33"/>
  <c r="L55" i="33" s="1"/>
  <c r="K47" i="33"/>
  <c r="L47" i="33" s="1"/>
  <c r="K39" i="33"/>
  <c r="L39" i="33" s="1"/>
  <c r="K31" i="33"/>
  <c r="L31" i="33" s="1"/>
  <c r="K24" i="33"/>
  <c r="L24" i="33" s="1"/>
  <c r="K16" i="33"/>
  <c r="L16" i="33" s="1"/>
  <c r="K8" i="33"/>
  <c r="L8" i="33" s="1"/>
  <c r="K5" i="33"/>
  <c r="E37" i="9" l="1"/>
  <c r="M31" i="33"/>
  <c r="M32" i="49" s="1"/>
  <c r="E14" i="9"/>
  <c r="M8" i="33"/>
  <c r="M9" i="49" s="1"/>
  <c r="E30" i="9"/>
  <c r="M24" i="33"/>
  <c r="M25" i="49" s="1"/>
  <c r="E45" i="9"/>
  <c r="M39" i="33"/>
  <c r="M40" i="49" s="1"/>
  <c r="E61" i="9"/>
  <c r="M55" i="33"/>
  <c r="M56" i="49" s="1"/>
  <c r="E146" i="9"/>
  <c r="M140" i="33"/>
  <c r="M141" i="49" s="1"/>
  <c r="E87" i="9"/>
  <c r="M81" i="33"/>
  <c r="M82" i="49" s="1"/>
  <c r="E103" i="9"/>
  <c r="M97" i="33"/>
  <c r="M98" i="49" s="1"/>
  <c r="E119" i="9"/>
  <c r="M113" i="33"/>
  <c r="M114" i="49" s="1"/>
  <c r="E135" i="9"/>
  <c r="M129" i="33"/>
  <c r="M130" i="49" s="1"/>
  <c r="E153" i="9"/>
  <c r="M147" i="33"/>
  <c r="E169" i="9"/>
  <c r="M163" i="33"/>
  <c r="M164" i="49" s="1"/>
  <c r="E185" i="9"/>
  <c r="M179" i="33"/>
  <c r="E180" i="25" s="1"/>
  <c r="E201" i="9"/>
  <c r="M195" i="33"/>
  <c r="M196" i="49" s="1"/>
  <c r="E217" i="9"/>
  <c r="M211" i="33"/>
  <c r="M212" i="49" s="1"/>
  <c r="E233" i="9"/>
  <c r="M227" i="33"/>
  <c r="M228" i="49" s="1"/>
  <c r="E249" i="9"/>
  <c r="M243" i="33"/>
  <c r="E265" i="9"/>
  <c r="M259" i="33"/>
  <c r="M260" i="49" s="1"/>
  <c r="E281" i="9"/>
  <c r="M275" i="33"/>
  <c r="M276" i="49" s="1"/>
  <c r="E295" i="9"/>
  <c r="M289" i="33"/>
  <c r="M290" i="49" s="1"/>
  <c r="E303" i="9"/>
  <c r="M297" i="33"/>
  <c r="M298" i="49" s="1"/>
  <c r="E311" i="9"/>
  <c r="M305" i="33"/>
  <c r="M306" i="49" s="1"/>
  <c r="E319" i="9"/>
  <c r="M313" i="33"/>
  <c r="M314" i="49" s="1"/>
  <c r="M300" i="33"/>
  <c r="M301" i="49" s="1"/>
  <c r="E306" i="9"/>
  <c r="M284" i="33"/>
  <c r="E285" i="25" s="1"/>
  <c r="E290" i="9"/>
  <c r="E258" i="9"/>
  <c r="M252" i="33"/>
  <c r="M253" i="49" s="1"/>
  <c r="E226" i="9"/>
  <c r="M220" i="33"/>
  <c r="M221" i="49" s="1"/>
  <c r="E304" i="9"/>
  <c r="M298" i="33"/>
  <c r="M299" i="49" s="1"/>
  <c r="M280" i="33"/>
  <c r="E281" i="25" s="1"/>
  <c r="E286" i="9"/>
  <c r="E254" i="9"/>
  <c r="M248" i="33"/>
  <c r="M249" i="49" s="1"/>
  <c r="E222" i="9"/>
  <c r="M216" i="33"/>
  <c r="E217" i="25" s="1"/>
  <c r="E190" i="9"/>
  <c r="M184" i="33"/>
  <c r="M185" i="49" s="1"/>
  <c r="E158" i="9"/>
  <c r="M152" i="33"/>
  <c r="E153" i="25" s="1"/>
  <c r="E50" i="9"/>
  <c r="M44" i="33"/>
  <c r="M45" i="49" s="1"/>
  <c r="E16" i="9"/>
  <c r="M10" i="33"/>
  <c r="M11" i="49" s="1"/>
  <c r="E284" i="9"/>
  <c r="M278" i="33"/>
  <c r="M279" i="49" s="1"/>
  <c r="E276" i="9"/>
  <c r="M270" i="33"/>
  <c r="M271" i="49" s="1"/>
  <c r="E268" i="9"/>
  <c r="M262" i="33"/>
  <c r="M263" i="49" s="1"/>
  <c r="E260" i="9"/>
  <c r="M254" i="33"/>
  <c r="M255" i="49" s="1"/>
  <c r="E252" i="9"/>
  <c r="M246" i="33"/>
  <c r="M247" i="49" s="1"/>
  <c r="E244" i="9"/>
  <c r="M238" i="33"/>
  <c r="M239" i="49" s="1"/>
  <c r="E236" i="9"/>
  <c r="M230" i="33"/>
  <c r="M231" i="49" s="1"/>
  <c r="E228" i="9"/>
  <c r="M222" i="33"/>
  <c r="M223" i="49" s="1"/>
  <c r="E210" i="9"/>
  <c r="M204" i="33"/>
  <c r="M205" i="49" s="1"/>
  <c r="E178" i="9"/>
  <c r="M172" i="33"/>
  <c r="M173" i="49" s="1"/>
  <c r="E70" i="9"/>
  <c r="M64" i="33"/>
  <c r="E65" i="25" s="1"/>
  <c r="E38" i="9"/>
  <c r="M32" i="33"/>
  <c r="M33" i="49" s="1"/>
  <c r="E12" i="9"/>
  <c r="M6" i="33"/>
  <c r="M7" i="49" s="1"/>
  <c r="E216" i="9"/>
  <c r="M210" i="33"/>
  <c r="E211" i="25" s="1"/>
  <c r="E208" i="9"/>
  <c r="M202" i="33"/>
  <c r="M203" i="49" s="1"/>
  <c r="E200" i="9"/>
  <c r="M194" i="33"/>
  <c r="M195" i="49" s="1"/>
  <c r="E192" i="9"/>
  <c r="M186" i="33"/>
  <c r="M187" i="49" s="1"/>
  <c r="E184" i="9"/>
  <c r="M178" i="33"/>
  <c r="E179" i="25" s="1"/>
  <c r="E176" i="9"/>
  <c r="M170" i="33"/>
  <c r="M171" i="49" s="1"/>
  <c r="E168" i="9"/>
  <c r="M162" i="33"/>
  <c r="M163" i="49" s="1"/>
  <c r="E160" i="9"/>
  <c r="M154" i="33"/>
  <c r="M155" i="49" s="1"/>
  <c r="E152" i="9"/>
  <c r="M146" i="33"/>
  <c r="M147" i="49" s="1"/>
  <c r="E145" i="9"/>
  <c r="M139" i="33"/>
  <c r="M140" i="49" s="1"/>
  <c r="E129" i="9"/>
  <c r="M123" i="33"/>
  <c r="E124" i="25" s="1"/>
  <c r="E113" i="9"/>
  <c r="M107" i="33"/>
  <c r="E108" i="25" s="1"/>
  <c r="E97" i="9"/>
  <c r="M91" i="33"/>
  <c r="M92" i="49" s="1"/>
  <c r="E81" i="9"/>
  <c r="M75" i="33"/>
  <c r="M76" i="49" s="1"/>
  <c r="E55" i="9"/>
  <c r="M49" i="33"/>
  <c r="M50" i="49" s="1"/>
  <c r="E130" i="9"/>
  <c r="M124" i="33"/>
  <c r="E125" i="25" s="1"/>
  <c r="E98" i="9"/>
  <c r="M92" i="33"/>
  <c r="M93" i="49" s="1"/>
  <c r="E35" i="9"/>
  <c r="M29" i="33"/>
  <c r="M30" i="49" s="1"/>
  <c r="E60" i="9"/>
  <c r="M54" i="33"/>
  <c r="M55" i="49" s="1"/>
  <c r="E21" i="9"/>
  <c r="M15" i="33"/>
  <c r="M16" i="49" s="1"/>
  <c r="E136" i="9"/>
  <c r="M130" i="33"/>
  <c r="M131" i="49" s="1"/>
  <c r="E120" i="9"/>
  <c r="M114" i="33"/>
  <c r="E115" i="25" s="1"/>
  <c r="E104" i="9"/>
  <c r="M98" i="33"/>
  <c r="M99" i="49" s="1"/>
  <c r="E88" i="9"/>
  <c r="M82" i="33"/>
  <c r="E83" i="25" s="1"/>
  <c r="E67" i="9"/>
  <c r="M61" i="33"/>
  <c r="M62" i="49" s="1"/>
  <c r="E142" i="9"/>
  <c r="M136" i="33"/>
  <c r="E137" i="25" s="1"/>
  <c r="E110" i="9"/>
  <c r="M104" i="33"/>
  <c r="M105" i="49" s="1"/>
  <c r="E78" i="9"/>
  <c r="M72" i="33"/>
  <c r="M73" i="49" s="1"/>
  <c r="E72" i="9"/>
  <c r="M66" i="33"/>
  <c r="M67" i="49" s="1"/>
  <c r="E40" i="9"/>
  <c r="M34" i="33"/>
  <c r="E35" i="25" s="1"/>
  <c r="E18" i="9"/>
  <c r="M12" i="33"/>
  <c r="M13" i="49" s="1"/>
  <c r="E34" i="9"/>
  <c r="M28" i="33"/>
  <c r="M29" i="49" s="1"/>
  <c r="E49" i="9"/>
  <c r="M43" i="33"/>
  <c r="M44" i="49" s="1"/>
  <c r="E65" i="9"/>
  <c r="M59" i="33"/>
  <c r="E60" i="25" s="1"/>
  <c r="E75" i="9"/>
  <c r="M69" i="33"/>
  <c r="E70" i="25" s="1"/>
  <c r="E91" i="9"/>
  <c r="M85" i="33"/>
  <c r="M86" i="49" s="1"/>
  <c r="E107" i="9"/>
  <c r="M101" i="33"/>
  <c r="M102" i="49" s="1"/>
  <c r="E123" i="9"/>
  <c r="M117" i="33"/>
  <c r="M118" i="49" s="1"/>
  <c r="E139" i="9"/>
  <c r="M133" i="33"/>
  <c r="M134" i="49" s="1"/>
  <c r="E157" i="9"/>
  <c r="M151" i="33"/>
  <c r="E152" i="25" s="1"/>
  <c r="E173" i="9"/>
  <c r="M167" i="33"/>
  <c r="M168" i="49" s="1"/>
  <c r="E189" i="9"/>
  <c r="M183" i="33"/>
  <c r="M184" i="49" s="1"/>
  <c r="E205" i="9"/>
  <c r="M199" i="33"/>
  <c r="M200" i="49" s="1"/>
  <c r="E221" i="9"/>
  <c r="M215" i="33"/>
  <c r="M216" i="49" s="1"/>
  <c r="E237" i="9"/>
  <c r="M231" i="33"/>
  <c r="M232" i="49" s="1"/>
  <c r="E253" i="9"/>
  <c r="M247" i="33"/>
  <c r="M248" i="49" s="1"/>
  <c r="E269" i="9"/>
  <c r="M263" i="33"/>
  <c r="M264" i="49" s="1"/>
  <c r="E285" i="9"/>
  <c r="M279" i="33"/>
  <c r="M280" i="49" s="1"/>
  <c r="E297" i="9"/>
  <c r="M291" i="33"/>
  <c r="M292" i="49" s="1"/>
  <c r="E305" i="9"/>
  <c r="M299" i="33"/>
  <c r="M300" i="49" s="1"/>
  <c r="E313" i="9"/>
  <c r="M307" i="33"/>
  <c r="M308" i="49" s="1"/>
  <c r="M312" i="33"/>
  <c r="E318" i="9"/>
  <c r="M296" i="33"/>
  <c r="M297" i="49" s="1"/>
  <c r="E302" i="9"/>
  <c r="M276" i="33"/>
  <c r="E277" i="25" s="1"/>
  <c r="E282" i="9"/>
  <c r="E250" i="9"/>
  <c r="M244" i="33"/>
  <c r="E245" i="25" s="1"/>
  <c r="E316" i="9"/>
  <c r="M310" i="33"/>
  <c r="M311" i="49" s="1"/>
  <c r="E300" i="9"/>
  <c r="M294" i="33"/>
  <c r="M295" i="49" s="1"/>
  <c r="E278" i="9"/>
  <c r="M272" i="33"/>
  <c r="M273" i="49" s="1"/>
  <c r="E246" i="9"/>
  <c r="M240" i="33"/>
  <c r="M241" i="49" s="1"/>
  <c r="E214" i="9"/>
  <c r="M208" i="33"/>
  <c r="M209" i="49" s="1"/>
  <c r="E182" i="9"/>
  <c r="M176" i="33"/>
  <c r="M177" i="49" s="1"/>
  <c r="E150" i="9"/>
  <c r="M144" i="33"/>
  <c r="M145" i="49" s="1"/>
  <c r="E42" i="9"/>
  <c r="M36" i="33"/>
  <c r="E37" i="25" s="1"/>
  <c r="E291" i="9"/>
  <c r="M285" i="33"/>
  <c r="E286" i="25" s="1"/>
  <c r="E283" i="9"/>
  <c r="M277" i="33"/>
  <c r="M278" i="49" s="1"/>
  <c r="E275" i="9"/>
  <c r="M269" i="33"/>
  <c r="M270" i="49" s="1"/>
  <c r="E267" i="9"/>
  <c r="M261" i="33"/>
  <c r="E262" i="25" s="1"/>
  <c r="E259" i="9"/>
  <c r="M253" i="33"/>
  <c r="M254" i="49" s="1"/>
  <c r="E251" i="9"/>
  <c r="M245" i="33"/>
  <c r="M246" i="49" s="1"/>
  <c r="E243" i="9"/>
  <c r="M237" i="33"/>
  <c r="M238" i="49" s="1"/>
  <c r="E235" i="9"/>
  <c r="M229" i="33"/>
  <c r="M230" i="49" s="1"/>
  <c r="E227" i="9"/>
  <c r="M221" i="33"/>
  <c r="E222" i="25" s="1"/>
  <c r="E202" i="9"/>
  <c r="M196" i="33"/>
  <c r="M197" i="49" s="1"/>
  <c r="E170" i="9"/>
  <c r="M164" i="33"/>
  <c r="E165" i="25" s="1"/>
  <c r="E62" i="9"/>
  <c r="M56" i="33"/>
  <c r="M57" i="49" s="1"/>
  <c r="E36" i="9"/>
  <c r="M30" i="33"/>
  <c r="M31" i="49" s="1"/>
  <c r="E223" i="9"/>
  <c r="M217" i="33"/>
  <c r="M218" i="49" s="1"/>
  <c r="E215" i="9"/>
  <c r="M209" i="33"/>
  <c r="M210" i="49" s="1"/>
  <c r="E207" i="9"/>
  <c r="M201" i="33"/>
  <c r="E202" i="25" s="1"/>
  <c r="E199" i="9"/>
  <c r="M193" i="33"/>
  <c r="M194" i="49" s="1"/>
  <c r="E191" i="9"/>
  <c r="M185" i="33"/>
  <c r="E186" i="25" s="1"/>
  <c r="E183" i="9"/>
  <c r="M177" i="33"/>
  <c r="M178" i="49" s="1"/>
  <c r="E175" i="9"/>
  <c r="M169" i="33"/>
  <c r="E167" i="9"/>
  <c r="M161" i="33"/>
  <c r="E162" i="25" s="1"/>
  <c r="E159" i="9"/>
  <c r="M153" i="33"/>
  <c r="M154" i="49" s="1"/>
  <c r="E151" i="9"/>
  <c r="M145" i="33"/>
  <c r="M146" i="49" s="1"/>
  <c r="E141" i="9"/>
  <c r="M135" i="33"/>
  <c r="M136" i="49" s="1"/>
  <c r="E125" i="9"/>
  <c r="M119" i="33"/>
  <c r="M120" i="49" s="1"/>
  <c r="E109" i="9"/>
  <c r="M103" i="33"/>
  <c r="E104" i="25" s="1"/>
  <c r="E93" i="9"/>
  <c r="M87" i="33"/>
  <c r="E88" i="25" s="1"/>
  <c r="E77" i="9"/>
  <c r="M71" i="33"/>
  <c r="M72" i="49" s="1"/>
  <c r="E47" i="9"/>
  <c r="M41" i="33"/>
  <c r="M42" i="49" s="1"/>
  <c r="E122" i="9"/>
  <c r="M116" i="33"/>
  <c r="M117" i="49" s="1"/>
  <c r="E90" i="9"/>
  <c r="M84" i="33"/>
  <c r="E85" i="25" s="1"/>
  <c r="E27" i="9"/>
  <c r="M21" i="33"/>
  <c r="M22" i="49" s="1"/>
  <c r="E52" i="9"/>
  <c r="M46" i="33"/>
  <c r="M47" i="49" s="1"/>
  <c r="E13" i="9"/>
  <c r="M7" i="33"/>
  <c r="M8" i="49" s="1"/>
  <c r="E132" i="9"/>
  <c r="M126" i="33"/>
  <c r="E116" i="9"/>
  <c r="M110" i="33"/>
  <c r="M111" i="49" s="1"/>
  <c r="E100" i="9"/>
  <c r="M94" i="33"/>
  <c r="E95" i="25" s="1"/>
  <c r="E84" i="9"/>
  <c r="M78" i="33"/>
  <c r="E79" i="25" s="1"/>
  <c r="E59" i="9"/>
  <c r="M53" i="33"/>
  <c r="M54" i="49" s="1"/>
  <c r="E134" i="9"/>
  <c r="M128" i="33"/>
  <c r="M129" i="49" s="1"/>
  <c r="E102" i="9"/>
  <c r="M96" i="33"/>
  <c r="E97" i="25" s="1"/>
  <c r="E31" i="9"/>
  <c r="M25" i="33"/>
  <c r="E26" i="25" s="1"/>
  <c r="E64" i="9"/>
  <c r="M58" i="33"/>
  <c r="E59" i="25" s="1"/>
  <c r="E33" i="9"/>
  <c r="M27" i="33"/>
  <c r="E28" i="25" s="1"/>
  <c r="E22" i="9"/>
  <c r="M16" i="33"/>
  <c r="M17" i="49" s="1"/>
  <c r="E53" i="9"/>
  <c r="M47" i="33"/>
  <c r="M48" i="49" s="1"/>
  <c r="E69" i="9"/>
  <c r="M63" i="33"/>
  <c r="M64" i="49" s="1"/>
  <c r="E79" i="9"/>
  <c r="M73" i="33"/>
  <c r="E74" i="25" s="1"/>
  <c r="E95" i="9"/>
  <c r="M89" i="33"/>
  <c r="E90" i="25" s="1"/>
  <c r="E111" i="9"/>
  <c r="M105" i="33"/>
  <c r="M106" i="49" s="1"/>
  <c r="E127" i="9"/>
  <c r="M121" i="33"/>
  <c r="E122" i="25" s="1"/>
  <c r="E143" i="9"/>
  <c r="M137" i="33"/>
  <c r="E138" i="25" s="1"/>
  <c r="E161" i="9"/>
  <c r="M155" i="33"/>
  <c r="E156" i="25" s="1"/>
  <c r="E177" i="9"/>
  <c r="M171" i="33"/>
  <c r="E172" i="25" s="1"/>
  <c r="E193" i="9"/>
  <c r="M187" i="33"/>
  <c r="M188" i="49" s="1"/>
  <c r="E209" i="9"/>
  <c r="M203" i="33"/>
  <c r="E204" i="25" s="1"/>
  <c r="E225" i="9"/>
  <c r="M219" i="33"/>
  <c r="M220" i="49" s="1"/>
  <c r="E241" i="9"/>
  <c r="M235" i="33"/>
  <c r="E236" i="25" s="1"/>
  <c r="E257" i="9"/>
  <c r="M251" i="33"/>
  <c r="M252" i="49" s="1"/>
  <c r="E273" i="9"/>
  <c r="M267" i="33"/>
  <c r="E268" i="25" s="1"/>
  <c r="E289" i="9"/>
  <c r="M283" i="33"/>
  <c r="M284" i="49" s="1"/>
  <c r="E299" i="9"/>
  <c r="M293" i="33"/>
  <c r="M294" i="49" s="1"/>
  <c r="E307" i="9"/>
  <c r="M301" i="33"/>
  <c r="M302" i="49" s="1"/>
  <c r="E315" i="9"/>
  <c r="M309" i="33"/>
  <c r="E310" i="25" s="1"/>
  <c r="M308" i="33"/>
  <c r="M309" i="49" s="1"/>
  <c r="E314" i="9"/>
  <c r="M292" i="33"/>
  <c r="M293" i="49" s="1"/>
  <c r="E298" i="9"/>
  <c r="E274" i="9"/>
  <c r="M268" i="33"/>
  <c r="E269" i="25" s="1"/>
  <c r="E242" i="9"/>
  <c r="M236" i="33"/>
  <c r="M237" i="49" s="1"/>
  <c r="E312" i="9"/>
  <c r="M306" i="33"/>
  <c r="M307" i="49" s="1"/>
  <c r="E296" i="9"/>
  <c r="M290" i="33"/>
  <c r="E291" i="25" s="1"/>
  <c r="E270" i="9"/>
  <c r="M264" i="33"/>
  <c r="E238" i="9"/>
  <c r="M232" i="33"/>
  <c r="M233" i="49" s="1"/>
  <c r="E206" i="9"/>
  <c r="M200" i="33"/>
  <c r="M201" i="49" s="1"/>
  <c r="E174" i="9"/>
  <c r="M168" i="33"/>
  <c r="E66" i="9"/>
  <c r="M60" i="33"/>
  <c r="E32" i="9"/>
  <c r="M26" i="33"/>
  <c r="M27" i="49" s="1"/>
  <c r="E288" i="9"/>
  <c r="M282" i="33"/>
  <c r="E283" i="25" s="1"/>
  <c r="E280" i="9"/>
  <c r="M274" i="33"/>
  <c r="E272" i="9"/>
  <c r="M266" i="33"/>
  <c r="M267" i="49" s="1"/>
  <c r="E264" i="9"/>
  <c r="M258" i="33"/>
  <c r="M259" i="49" s="1"/>
  <c r="E256" i="9"/>
  <c r="M250" i="33"/>
  <c r="E251" i="25" s="1"/>
  <c r="E248" i="9"/>
  <c r="M242" i="33"/>
  <c r="E243" i="25" s="1"/>
  <c r="E240" i="9"/>
  <c r="M234" i="33"/>
  <c r="E232" i="9"/>
  <c r="M226" i="33"/>
  <c r="M227" i="49" s="1"/>
  <c r="E224" i="9"/>
  <c r="M218" i="33"/>
  <c r="E194" i="9"/>
  <c r="M188" i="33"/>
  <c r="E189" i="25" s="1"/>
  <c r="E162" i="9"/>
  <c r="M156" i="33"/>
  <c r="E54" i="9"/>
  <c r="M48" i="33"/>
  <c r="E49" i="25" s="1"/>
  <c r="E28" i="9"/>
  <c r="M22" i="33"/>
  <c r="E220" i="9"/>
  <c r="M214" i="33"/>
  <c r="E212" i="9"/>
  <c r="M206" i="33"/>
  <c r="M207" i="49" s="1"/>
  <c r="E204" i="9"/>
  <c r="M198" i="33"/>
  <c r="E199" i="25" s="1"/>
  <c r="E196" i="9"/>
  <c r="M190" i="33"/>
  <c r="E191" i="25" s="1"/>
  <c r="E188" i="9"/>
  <c r="M182" i="33"/>
  <c r="M183" i="49" s="1"/>
  <c r="E180" i="9"/>
  <c r="M174" i="33"/>
  <c r="E175" i="25" s="1"/>
  <c r="E172" i="9"/>
  <c r="M166" i="33"/>
  <c r="M167" i="49" s="1"/>
  <c r="E164" i="9"/>
  <c r="M158" i="33"/>
  <c r="E159" i="25" s="1"/>
  <c r="E156" i="9"/>
  <c r="M150" i="33"/>
  <c r="M151" i="49" s="1"/>
  <c r="E148" i="9"/>
  <c r="M142" i="33"/>
  <c r="L131" i="33"/>
  <c r="D18" i="48"/>
  <c r="E121" i="9"/>
  <c r="M115" i="33"/>
  <c r="E105" i="9"/>
  <c r="M99" i="33"/>
  <c r="E100" i="25" s="1"/>
  <c r="E89" i="9"/>
  <c r="M83" i="33"/>
  <c r="M84" i="49" s="1"/>
  <c r="E71" i="9"/>
  <c r="M65" i="33"/>
  <c r="E66" i="25" s="1"/>
  <c r="E39" i="9"/>
  <c r="M33" i="33"/>
  <c r="E34" i="25" s="1"/>
  <c r="E114" i="9"/>
  <c r="M108" i="33"/>
  <c r="M109" i="49" s="1"/>
  <c r="E82" i="9"/>
  <c r="M76" i="33"/>
  <c r="M77" i="49" s="1"/>
  <c r="E19" i="9"/>
  <c r="M13" i="33"/>
  <c r="M14" i="49" s="1"/>
  <c r="E44" i="9"/>
  <c r="M38" i="33"/>
  <c r="E39" i="25" s="1"/>
  <c r="E144" i="9"/>
  <c r="M138" i="33"/>
  <c r="E128" i="9"/>
  <c r="M122" i="33"/>
  <c r="M123" i="49" s="1"/>
  <c r="E112" i="9"/>
  <c r="M106" i="33"/>
  <c r="E96" i="9"/>
  <c r="M90" i="33"/>
  <c r="E91" i="25" s="1"/>
  <c r="E80" i="9"/>
  <c r="M74" i="33"/>
  <c r="E51" i="9"/>
  <c r="M45" i="33"/>
  <c r="E126" i="9"/>
  <c r="M120" i="33"/>
  <c r="E121" i="25" s="1"/>
  <c r="E94" i="9"/>
  <c r="M88" i="33"/>
  <c r="M89" i="49" s="1"/>
  <c r="E23" i="9"/>
  <c r="M17" i="33"/>
  <c r="E18" i="25" s="1"/>
  <c r="E56" i="9"/>
  <c r="M50" i="33"/>
  <c r="M51" i="49" s="1"/>
  <c r="E25" i="9"/>
  <c r="M19" i="33"/>
  <c r="M20" i="49" s="1"/>
  <c r="E26" i="9"/>
  <c r="M20" i="33"/>
  <c r="E21" i="25" s="1"/>
  <c r="E41" i="9"/>
  <c r="M35" i="33"/>
  <c r="M36" i="49" s="1"/>
  <c r="E57" i="9"/>
  <c r="M51" i="33"/>
  <c r="E73" i="9"/>
  <c r="M67" i="33"/>
  <c r="M68" i="49" s="1"/>
  <c r="E83" i="9"/>
  <c r="M77" i="33"/>
  <c r="E99" i="9"/>
  <c r="M93" i="33"/>
  <c r="E115" i="9"/>
  <c r="M109" i="33"/>
  <c r="M110" i="49" s="1"/>
  <c r="E131" i="9"/>
  <c r="M125" i="33"/>
  <c r="M126" i="49" s="1"/>
  <c r="E149" i="9"/>
  <c r="M143" i="33"/>
  <c r="E144" i="25" s="1"/>
  <c r="E165" i="9"/>
  <c r="M159" i="33"/>
  <c r="M160" i="49" s="1"/>
  <c r="E181" i="9"/>
  <c r="M175" i="33"/>
  <c r="M176" i="49" s="1"/>
  <c r="E197" i="9"/>
  <c r="M191" i="33"/>
  <c r="E192" i="25" s="1"/>
  <c r="E213" i="9"/>
  <c r="M207" i="33"/>
  <c r="E229" i="9"/>
  <c r="M223" i="33"/>
  <c r="E224" i="25" s="1"/>
  <c r="E245" i="9"/>
  <c r="M239" i="33"/>
  <c r="E261" i="9"/>
  <c r="M255" i="33"/>
  <c r="M256" i="49" s="1"/>
  <c r="E277" i="9"/>
  <c r="M271" i="33"/>
  <c r="M272" i="49" s="1"/>
  <c r="E293" i="9"/>
  <c r="M287" i="33"/>
  <c r="M288" i="49" s="1"/>
  <c r="E301" i="9"/>
  <c r="M295" i="33"/>
  <c r="E309" i="9"/>
  <c r="M303" i="33"/>
  <c r="M304" i="49" s="1"/>
  <c r="E317" i="9"/>
  <c r="M311" i="33"/>
  <c r="M312" i="49" s="1"/>
  <c r="M304" i="33"/>
  <c r="M305" i="49" s="1"/>
  <c r="E310" i="9"/>
  <c r="M288" i="33"/>
  <c r="E289" i="25" s="1"/>
  <c r="E294" i="9"/>
  <c r="E266" i="9"/>
  <c r="M260" i="33"/>
  <c r="M261" i="49" s="1"/>
  <c r="E234" i="9"/>
  <c r="M228" i="33"/>
  <c r="E229" i="25" s="1"/>
  <c r="E308" i="9"/>
  <c r="M302" i="33"/>
  <c r="M303" i="49" s="1"/>
  <c r="E292" i="9"/>
  <c r="M286" i="33"/>
  <c r="E287" i="25" s="1"/>
  <c r="E262" i="9"/>
  <c r="M256" i="33"/>
  <c r="M257" i="49" s="1"/>
  <c r="E230" i="9"/>
  <c r="M224" i="33"/>
  <c r="E198" i="9"/>
  <c r="M192" i="33"/>
  <c r="E166" i="9"/>
  <c r="M160" i="33"/>
  <c r="E58" i="9"/>
  <c r="M52" i="33"/>
  <c r="E53" i="25" s="1"/>
  <c r="E24" i="9"/>
  <c r="M18" i="33"/>
  <c r="E287" i="9"/>
  <c r="M281" i="33"/>
  <c r="M282" i="49" s="1"/>
  <c r="E279" i="9"/>
  <c r="M273" i="33"/>
  <c r="E271" i="9"/>
  <c r="M265" i="33"/>
  <c r="E266" i="25" s="1"/>
  <c r="E263" i="9"/>
  <c r="M257" i="33"/>
  <c r="E258" i="25" s="1"/>
  <c r="E255" i="9"/>
  <c r="M249" i="33"/>
  <c r="E250" i="25" s="1"/>
  <c r="E247" i="9"/>
  <c r="M241" i="33"/>
  <c r="M242" i="49" s="1"/>
  <c r="E239" i="9"/>
  <c r="M233" i="33"/>
  <c r="M234" i="49" s="1"/>
  <c r="E231" i="9"/>
  <c r="M225" i="33"/>
  <c r="E226" i="25" s="1"/>
  <c r="E218" i="9"/>
  <c r="M212" i="33"/>
  <c r="E213" i="25" s="1"/>
  <c r="E186" i="9"/>
  <c r="M180" i="33"/>
  <c r="M181" i="49" s="1"/>
  <c r="E154" i="9"/>
  <c r="M148" i="33"/>
  <c r="E46" i="9"/>
  <c r="M40" i="33"/>
  <c r="E41" i="25" s="1"/>
  <c r="E20" i="9"/>
  <c r="M14" i="33"/>
  <c r="M15" i="49" s="1"/>
  <c r="E219" i="9"/>
  <c r="M213" i="33"/>
  <c r="M214" i="49" s="1"/>
  <c r="E211" i="9"/>
  <c r="M205" i="33"/>
  <c r="E203" i="9"/>
  <c r="M197" i="33"/>
  <c r="E195" i="9"/>
  <c r="M189" i="33"/>
  <c r="E187" i="9"/>
  <c r="M181" i="33"/>
  <c r="M182" i="49" s="1"/>
  <c r="E179" i="9"/>
  <c r="M173" i="33"/>
  <c r="E174" i="25" s="1"/>
  <c r="E171" i="9"/>
  <c r="M165" i="33"/>
  <c r="M166" i="49" s="1"/>
  <c r="E163" i="9"/>
  <c r="M157" i="33"/>
  <c r="M158" i="49" s="1"/>
  <c r="E155" i="9"/>
  <c r="M149" i="33"/>
  <c r="E147" i="9"/>
  <c r="M141" i="33"/>
  <c r="E142" i="25" s="1"/>
  <c r="E133" i="9"/>
  <c r="M127" i="33"/>
  <c r="E128" i="25" s="1"/>
  <c r="E117" i="9"/>
  <c r="M111" i="33"/>
  <c r="E101" i="9"/>
  <c r="M95" i="33"/>
  <c r="M96" i="49" s="1"/>
  <c r="E85" i="9"/>
  <c r="M79" i="33"/>
  <c r="E63" i="9"/>
  <c r="M57" i="33"/>
  <c r="E58" i="25" s="1"/>
  <c r="E138" i="9"/>
  <c r="M132" i="33"/>
  <c r="M133" i="49" s="1"/>
  <c r="E106" i="9"/>
  <c r="M100" i="33"/>
  <c r="E74" i="9"/>
  <c r="M68" i="33"/>
  <c r="M69" i="49" s="1"/>
  <c r="E68" i="9"/>
  <c r="M62" i="33"/>
  <c r="E63" i="25" s="1"/>
  <c r="E29" i="9"/>
  <c r="M23" i="33"/>
  <c r="E140" i="9"/>
  <c r="M134" i="33"/>
  <c r="E124" i="9"/>
  <c r="M118" i="33"/>
  <c r="M119" i="49" s="1"/>
  <c r="E108" i="9"/>
  <c r="M102" i="33"/>
  <c r="E92" i="9"/>
  <c r="M86" i="33"/>
  <c r="E87" i="25" s="1"/>
  <c r="E76" i="9"/>
  <c r="M70" i="33"/>
  <c r="M71" i="49" s="1"/>
  <c r="E43" i="9"/>
  <c r="M37" i="33"/>
  <c r="E118" i="9"/>
  <c r="M112" i="33"/>
  <c r="M113" i="49" s="1"/>
  <c r="E86" i="9"/>
  <c r="M80" i="33"/>
  <c r="E81" i="25" s="1"/>
  <c r="E15" i="9"/>
  <c r="M9" i="33"/>
  <c r="E10" i="25" s="1"/>
  <c r="E48" i="9"/>
  <c r="M42" i="33"/>
  <c r="M43" i="49" s="1"/>
  <c r="E17" i="9"/>
  <c r="M11" i="33"/>
  <c r="M12" i="49" s="1"/>
  <c r="M289" i="49"/>
  <c r="M165" i="49"/>
  <c r="M277" i="49"/>
  <c r="M180" i="49"/>
  <c r="M285" i="49"/>
  <c r="M148" i="49"/>
  <c r="M281" i="49"/>
  <c r="M124" i="49"/>
  <c r="L5" i="33"/>
  <c r="M5" i="33" s="1"/>
  <c r="E276" i="25"/>
  <c r="E263" i="25"/>
  <c r="E205" i="25"/>
  <c r="E32" i="25"/>
  <c r="E148" i="25"/>
  <c r="E114" i="25"/>
  <c r="E293" i="25"/>
  <c r="E279" i="25"/>
  <c r="E301" i="25" l="1"/>
  <c r="E253" i="25"/>
  <c r="E40" i="25"/>
  <c r="E130" i="25"/>
  <c r="E196" i="25"/>
  <c r="E231" i="25"/>
  <c r="E45" i="25"/>
  <c r="E212" i="25"/>
  <c r="E16" i="25"/>
  <c r="E260" i="25"/>
  <c r="E67" i="25"/>
  <c r="E195" i="25"/>
  <c r="E221" i="25"/>
  <c r="E290" i="25"/>
  <c r="E9" i="25"/>
  <c r="E306" i="25"/>
  <c r="E185" i="25"/>
  <c r="E98" i="25"/>
  <c r="E299" i="25"/>
  <c r="E86" i="25"/>
  <c r="M108" i="49"/>
  <c r="M217" i="49"/>
  <c r="E278" i="25"/>
  <c r="E184" i="25"/>
  <c r="M35" i="49"/>
  <c r="E254" i="25"/>
  <c r="E216" i="25"/>
  <c r="E239" i="25"/>
  <c r="E131" i="25"/>
  <c r="E271" i="25"/>
  <c r="E76" i="25"/>
  <c r="M211" i="49"/>
  <c r="M65" i="49"/>
  <c r="M70" i="49"/>
  <c r="E93" i="25"/>
  <c r="E241" i="25"/>
  <c r="E92" i="25"/>
  <c r="E308" i="25"/>
  <c r="E99" i="25"/>
  <c r="E13" i="25"/>
  <c r="E44" i="25"/>
  <c r="E30" i="25"/>
  <c r="E273" i="25"/>
  <c r="E155" i="25"/>
  <c r="E73" i="25"/>
  <c r="E292" i="25"/>
  <c r="E232" i="25"/>
  <c r="E134" i="25"/>
  <c r="M179" i="49"/>
  <c r="M83" i="49"/>
  <c r="M115" i="49"/>
  <c r="M125" i="49"/>
  <c r="M153" i="49"/>
  <c r="M60" i="49"/>
  <c r="E297" i="25"/>
  <c r="E305" i="25"/>
  <c r="E309" i="25"/>
  <c r="E77" i="25"/>
  <c r="E218" i="25"/>
  <c r="E256" i="25"/>
  <c r="E57" i="25"/>
  <c r="E246" i="25"/>
  <c r="E197" i="25"/>
  <c r="E42" i="25"/>
  <c r="E220" i="25"/>
  <c r="E307" i="25"/>
  <c r="E117" i="25"/>
  <c r="M74" i="49"/>
  <c r="M172" i="49"/>
  <c r="M262" i="49"/>
  <c r="E8" i="25"/>
  <c r="E227" i="25"/>
  <c r="E48" i="25"/>
  <c r="E111" i="25"/>
  <c r="E27" i="25"/>
  <c r="M97" i="49"/>
  <c r="M202" i="49"/>
  <c r="M186" i="49"/>
  <c r="E182" i="25"/>
  <c r="E176" i="25"/>
  <c r="E47" i="25"/>
  <c r="E146" i="25"/>
  <c r="E303" i="25"/>
  <c r="E17" i="25"/>
  <c r="E302" i="25"/>
  <c r="E233" i="25"/>
  <c r="E31" i="25"/>
  <c r="M251" i="49"/>
  <c r="M104" i="49"/>
  <c r="M258" i="49"/>
  <c r="M162" i="49"/>
  <c r="M224" i="49"/>
  <c r="M286" i="49"/>
  <c r="E206" i="25"/>
  <c r="M206" i="49"/>
  <c r="E46" i="25"/>
  <c r="M46" i="49"/>
  <c r="E252" i="25"/>
  <c r="E105" i="25"/>
  <c r="E29" i="25"/>
  <c r="E145" i="25"/>
  <c r="E280" i="25"/>
  <c r="E230" i="25"/>
  <c r="E167" i="25"/>
  <c r="E154" i="25"/>
  <c r="E62" i="25"/>
  <c r="E203" i="25"/>
  <c r="E248" i="25"/>
  <c r="E194" i="25"/>
  <c r="E102" i="25"/>
  <c r="E136" i="25"/>
  <c r="E129" i="25"/>
  <c r="E168" i="25"/>
  <c r="E314" i="25"/>
  <c r="E120" i="25"/>
  <c r="E177" i="25"/>
  <c r="E163" i="25"/>
  <c r="E247" i="25"/>
  <c r="E33" i="25"/>
  <c r="E147" i="25"/>
  <c r="E25" i="25"/>
  <c r="E300" i="25"/>
  <c r="E64" i="25"/>
  <c r="E173" i="25"/>
  <c r="E312" i="25"/>
  <c r="E223" i="25"/>
  <c r="E11" i="25"/>
  <c r="E71" i="25"/>
  <c r="E56" i="25"/>
  <c r="E54" i="25"/>
  <c r="E209" i="25"/>
  <c r="E22" i="25"/>
  <c r="E164" i="25"/>
  <c r="E237" i="25"/>
  <c r="E249" i="25"/>
  <c r="E171" i="25"/>
  <c r="E210" i="25"/>
  <c r="E140" i="25"/>
  <c r="E106" i="25"/>
  <c r="E178" i="25"/>
  <c r="E7" i="25"/>
  <c r="E72" i="25"/>
  <c r="E294" i="25"/>
  <c r="E284" i="25"/>
  <c r="E141" i="25"/>
  <c r="E55" i="25"/>
  <c r="E255" i="25"/>
  <c r="E188" i="25"/>
  <c r="E82" i="25"/>
  <c r="E311" i="25"/>
  <c r="E200" i="25"/>
  <c r="E298" i="25"/>
  <c r="E264" i="25"/>
  <c r="E270" i="25"/>
  <c r="E50" i="25"/>
  <c r="E238" i="25"/>
  <c r="E187" i="25"/>
  <c r="E118" i="25"/>
  <c r="E288" i="25"/>
  <c r="E51" i="25"/>
  <c r="M128" i="49"/>
  <c r="M229" i="49"/>
  <c r="M39" i="49"/>
  <c r="M144" i="49"/>
  <c r="E160" i="25"/>
  <c r="E68" i="25"/>
  <c r="E12" i="25"/>
  <c r="E20" i="25"/>
  <c r="E69" i="25"/>
  <c r="E181" i="25"/>
  <c r="E84" i="25"/>
  <c r="E113" i="25"/>
  <c r="C11" i="11"/>
  <c r="C22" i="34"/>
  <c r="N11" i="33"/>
  <c r="D11" i="37" s="1"/>
  <c r="C9" i="11"/>
  <c r="C20" i="34"/>
  <c r="N9" i="33"/>
  <c r="D9" i="37" s="1"/>
  <c r="N112" i="33"/>
  <c r="D112" i="37" s="1"/>
  <c r="C112" i="11"/>
  <c r="C123" i="34"/>
  <c r="N70" i="33"/>
  <c r="D70" i="37" s="1"/>
  <c r="C70" i="11"/>
  <c r="C81" i="34"/>
  <c r="N102" i="33"/>
  <c r="D102" i="37" s="1"/>
  <c r="C102" i="11"/>
  <c r="C113" i="34"/>
  <c r="N134" i="33"/>
  <c r="D134" i="37" s="1"/>
  <c r="C134" i="11"/>
  <c r="C145" i="34"/>
  <c r="N62" i="33"/>
  <c r="D62" i="37" s="1"/>
  <c r="C62" i="11"/>
  <c r="C73" i="34"/>
  <c r="N132" i="33"/>
  <c r="D132" i="37" s="1"/>
  <c r="C132" i="11"/>
  <c r="C143" i="34"/>
  <c r="C57" i="11"/>
  <c r="C68" i="34"/>
  <c r="N57" i="33"/>
  <c r="D57" i="37" s="1"/>
  <c r="N95" i="33"/>
  <c r="D95" i="37" s="1"/>
  <c r="C95" i="11"/>
  <c r="C106" i="34"/>
  <c r="N127" i="33"/>
  <c r="D127" i="37" s="1"/>
  <c r="C127" i="11"/>
  <c r="C138" i="34"/>
  <c r="N149" i="33"/>
  <c r="D149" i="37" s="1"/>
  <c r="C149" i="11"/>
  <c r="C160" i="34"/>
  <c r="N165" i="33"/>
  <c r="D165" i="37" s="1"/>
  <c r="C165" i="11"/>
  <c r="C176" i="34"/>
  <c r="N181" i="33"/>
  <c r="D181" i="37" s="1"/>
  <c r="C181" i="11"/>
  <c r="C192" i="34"/>
  <c r="N197" i="33"/>
  <c r="D197" i="37" s="1"/>
  <c r="C197" i="11"/>
  <c r="C208" i="34"/>
  <c r="N213" i="33"/>
  <c r="D213" i="37" s="1"/>
  <c r="C213" i="11"/>
  <c r="C224" i="34"/>
  <c r="N40" i="33"/>
  <c r="D40" i="37" s="1"/>
  <c r="C40" i="11"/>
  <c r="C51" i="34"/>
  <c r="C180" i="11"/>
  <c r="C191" i="34"/>
  <c r="N180" i="33"/>
  <c r="D180" i="37" s="1"/>
  <c r="N225" i="33"/>
  <c r="D225" i="37" s="1"/>
  <c r="C225" i="11"/>
  <c r="C236" i="34"/>
  <c r="N241" i="33"/>
  <c r="D241" i="37" s="1"/>
  <c r="C241" i="11"/>
  <c r="C252" i="34"/>
  <c r="N257" i="33"/>
  <c r="D257" i="37" s="1"/>
  <c r="C257" i="11"/>
  <c r="C268" i="34"/>
  <c r="N273" i="33"/>
  <c r="D273" i="37" s="1"/>
  <c r="C273" i="11"/>
  <c r="C284" i="34"/>
  <c r="N18" i="33"/>
  <c r="D18" i="37" s="1"/>
  <c r="C18" i="11"/>
  <c r="C29" i="34"/>
  <c r="C160" i="11"/>
  <c r="C171" i="34"/>
  <c r="N160" i="33"/>
  <c r="D160" i="37" s="1"/>
  <c r="C224" i="11"/>
  <c r="C235" i="34"/>
  <c r="N224" i="33"/>
  <c r="D224" i="37" s="1"/>
  <c r="C286" i="11"/>
  <c r="C297" i="34"/>
  <c r="N286" i="33"/>
  <c r="D286" i="37" s="1"/>
  <c r="C228" i="11"/>
  <c r="C239" i="34"/>
  <c r="N228" i="33"/>
  <c r="D228" i="37" s="1"/>
  <c r="N303" i="33"/>
  <c r="D303" i="37" s="1"/>
  <c r="C303" i="11"/>
  <c r="C314" i="34"/>
  <c r="N287" i="33"/>
  <c r="D287" i="37" s="1"/>
  <c r="C287" i="11"/>
  <c r="C298" i="34"/>
  <c r="N255" i="33"/>
  <c r="D255" i="37" s="1"/>
  <c r="C255" i="11"/>
  <c r="C266" i="34"/>
  <c r="N223" i="33"/>
  <c r="D223" i="37" s="1"/>
  <c r="C223" i="11"/>
  <c r="C234" i="34"/>
  <c r="N191" i="33"/>
  <c r="D191" i="37" s="1"/>
  <c r="C191" i="11"/>
  <c r="C202" i="34"/>
  <c r="N143" i="33"/>
  <c r="D143" i="37" s="1"/>
  <c r="C143" i="11"/>
  <c r="C154" i="34"/>
  <c r="C142" i="11"/>
  <c r="C153" i="34"/>
  <c r="N142" i="33"/>
  <c r="D142" i="37" s="1"/>
  <c r="C150" i="11"/>
  <c r="C161" i="34"/>
  <c r="N150" i="33"/>
  <c r="D150" i="37" s="1"/>
  <c r="C158" i="11"/>
  <c r="C169" i="34"/>
  <c r="N158" i="33"/>
  <c r="D158" i="37" s="1"/>
  <c r="C166" i="11"/>
  <c r="C177" i="34"/>
  <c r="N166" i="33"/>
  <c r="D166" i="37" s="1"/>
  <c r="C174" i="11"/>
  <c r="C185" i="34"/>
  <c r="N174" i="33"/>
  <c r="D174" i="37" s="1"/>
  <c r="C182" i="11"/>
  <c r="C193" i="34"/>
  <c r="N182" i="33"/>
  <c r="D182" i="37" s="1"/>
  <c r="C190" i="11"/>
  <c r="C201" i="34"/>
  <c r="N190" i="33"/>
  <c r="D190" i="37" s="1"/>
  <c r="C198" i="11"/>
  <c r="C209" i="34"/>
  <c r="N198" i="33"/>
  <c r="D198" i="37" s="1"/>
  <c r="C206" i="11"/>
  <c r="C217" i="34"/>
  <c r="N206" i="33"/>
  <c r="D206" i="37" s="1"/>
  <c r="C214" i="11"/>
  <c r="C225" i="34"/>
  <c r="N214" i="33"/>
  <c r="D214" i="37" s="1"/>
  <c r="N22" i="33"/>
  <c r="D22" i="37" s="1"/>
  <c r="C22" i="11"/>
  <c r="C33" i="34"/>
  <c r="N48" i="33"/>
  <c r="D48" i="37" s="1"/>
  <c r="C48" i="11"/>
  <c r="C59" i="34"/>
  <c r="C156" i="11"/>
  <c r="C167" i="34"/>
  <c r="N156" i="33"/>
  <c r="D156" i="37" s="1"/>
  <c r="C188" i="11"/>
  <c r="C199" i="34"/>
  <c r="N188" i="33"/>
  <c r="D188" i="37" s="1"/>
  <c r="M219" i="49"/>
  <c r="E219" i="25"/>
  <c r="C218" i="11"/>
  <c r="C229" i="34"/>
  <c r="N218" i="33"/>
  <c r="D218" i="37" s="1"/>
  <c r="C226" i="11"/>
  <c r="C237" i="34"/>
  <c r="N226" i="33"/>
  <c r="D226" i="37" s="1"/>
  <c r="C234" i="11"/>
  <c r="C245" i="34"/>
  <c r="N234" i="33"/>
  <c r="D234" i="37" s="1"/>
  <c r="C242" i="11"/>
  <c r="C253" i="34"/>
  <c r="N242" i="33"/>
  <c r="D242" i="37" s="1"/>
  <c r="C250" i="11"/>
  <c r="C261" i="34"/>
  <c r="N250" i="33"/>
  <c r="D250" i="37" s="1"/>
  <c r="C258" i="11"/>
  <c r="C269" i="34"/>
  <c r="N258" i="33"/>
  <c r="D258" i="37" s="1"/>
  <c r="C266" i="11"/>
  <c r="C277" i="34"/>
  <c r="N266" i="33"/>
  <c r="D266" i="37" s="1"/>
  <c r="C274" i="11"/>
  <c r="C285" i="34"/>
  <c r="N274" i="33"/>
  <c r="D274" i="37" s="1"/>
  <c r="C282" i="11"/>
  <c r="C293" i="34"/>
  <c r="N282" i="33"/>
  <c r="D282" i="37" s="1"/>
  <c r="N26" i="33"/>
  <c r="D26" i="37" s="1"/>
  <c r="C26" i="11"/>
  <c r="C37" i="34"/>
  <c r="N60" i="33"/>
  <c r="D60" i="37" s="1"/>
  <c r="C60" i="11"/>
  <c r="C71" i="34"/>
  <c r="C168" i="11"/>
  <c r="C179" i="34"/>
  <c r="N168" i="33"/>
  <c r="D168" i="37" s="1"/>
  <c r="C200" i="11"/>
  <c r="C211" i="34"/>
  <c r="N200" i="33"/>
  <c r="D200" i="37" s="1"/>
  <c r="C232" i="11"/>
  <c r="C243" i="34"/>
  <c r="N232" i="33"/>
  <c r="D232" i="37" s="1"/>
  <c r="C264" i="11"/>
  <c r="C275" i="34"/>
  <c r="N264" i="33"/>
  <c r="D264" i="37" s="1"/>
  <c r="C290" i="11"/>
  <c r="C301" i="34"/>
  <c r="N290" i="33"/>
  <c r="D290" i="37" s="1"/>
  <c r="C306" i="11"/>
  <c r="C317" i="34"/>
  <c r="N306" i="33"/>
  <c r="D306" i="37" s="1"/>
  <c r="C236" i="11"/>
  <c r="C247" i="34"/>
  <c r="N236" i="33"/>
  <c r="D236" i="37" s="1"/>
  <c r="C268" i="11"/>
  <c r="C279" i="34"/>
  <c r="N268" i="33"/>
  <c r="D268" i="37" s="1"/>
  <c r="N309" i="33"/>
  <c r="D309" i="37" s="1"/>
  <c r="C309" i="11"/>
  <c r="C320" i="34"/>
  <c r="N301" i="33"/>
  <c r="D301" i="37" s="1"/>
  <c r="C301" i="11"/>
  <c r="C312" i="34"/>
  <c r="N293" i="33"/>
  <c r="D293" i="37" s="1"/>
  <c r="C293" i="11"/>
  <c r="C304" i="34"/>
  <c r="N283" i="33"/>
  <c r="D283" i="37" s="1"/>
  <c r="C283" i="11"/>
  <c r="C294" i="34"/>
  <c r="N267" i="33"/>
  <c r="D267" i="37" s="1"/>
  <c r="C267" i="11"/>
  <c r="C278" i="34"/>
  <c r="N251" i="33"/>
  <c r="D251" i="37" s="1"/>
  <c r="C251" i="11"/>
  <c r="C262" i="34"/>
  <c r="N235" i="33"/>
  <c r="D235" i="37" s="1"/>
  <c r="C235" i="11"/>
  <c r="C246" i="34"/>
  <c r="N219" i="33"/>
  <c r="D219" i="37" s="1"/>
  <c r="C219" i="11"/>
  <c r="C230" i="34"/>
  <c r="N203" i="33"/>
  <c r="D203" i="37" s="1"/>
  <c r="C203" i="11"/>
  <c r="C214" i="34"/>
  <c r="N187" i="33"/>
  <c r="D187" i="37" s="1"/>
  <c r="C187" i="11"/>
  <c r="C198" i="34"/>
  <c r="N171" i="33"/>
  <c r="D171" i="37" s="1"/>
  <c r="C171" i="11"/>
  <c r="C182" i="34"/>
  <c r="N155" i="33"/>
  <c r="D155" i="37" s="1"/>
  <c r="C155" i="11"/>
  <c r="C166" i="34"/>
  <c r="N137" i="33"/>
  <c r="D137" i="37" s="1"/>
  <c r="C137" i="11"/>
  <c r="C148" i="34"/>
  <c r="N121" i="33"/>
  <c r="D121" i="37" s="1"/>
  <c r="C121" i="11"/>
  <c r="C132" i="34"/>
  <c r="N105" i="33"/>
  <c r="D105" i="37" s="1"/>
  <c r="C105" i="11"/>
  <c r="C116" i="34"/>
  <c r="C89" i="11"/>
  <c r="C100" i="34"/>
  <c r="N89" i="33"/>
  <c r="D89" i="37" s="1"/>
  <c r="C73" i="11"/>
  <c r="C84" i="34"/>
  <c r="N73" i="33"/>
  <c r="D73" i="37" s="1"/>
  <c r="C63" i="11"/>
  <c r="C74" i="34"/>
  <c r="N63" i="33"/>
  <c r="D63" i="37" s="1"/>
  <c r="C47" i="11"/>
  <c r="C58" i="34"/>
  <c r="N47" i="33"/>
  <c r="D47" i="37" s="1"/>
  <c r="N16" i="33"/>
  <c r="D16" i="37" s="1"/>
  <c r="C16" i="11"/>
  <c r="C27" i="34"/>
  <c r="C27" i="11"/>
  <c r="C38" i="34"/>
  <c r="N27" i="33"/>
  <c r="D27" i="37" s="1"/>
  <c r="N58" i="33"/>
  <c r="D58" i="37" s="1"/>
  <c r="C58" i="11"/>
  <c r="C69" i="34"/>
  <c r="C25" i="11"/>
  <c r="C36" i="34"/>
  <c r="N25" i="33"/>
  <c r="D25" i="37" s="1"/>
  <c r="N96" i="33"/>
  <c r="D96" i="37" s="1"/>
  <c r="C96" i="11"/>
  <c r="C107" i="34"/>
  <c r="N128" i="33"/>
  <c r="D128" i="37" s="1"/>
  <c r="C128" i="11"/>
  <c r="C139" i="34"/>
  <c r="C53" i="11"/>
  <c r="C64" i="34"/>
  <c r="N53" i="33"/>
  <c r="D53" i="37" s="1"/>
  <c r="N78" i="33"/>
  <c r="D78" i="37" s="1"/>
  <c r="C78" i="11"/>
  <c r="C89" i="34"/>
  <c r="N94" i="33"/>
  <c r="D94" i="37" s="1"/>
  <c r="C94" i="11"/>
  <c r="C105" i="34"/>
  <c r="N110" i="33"/>
  <c r="D110" i="37" s="1"/>
  <c r="C110" i="11"/>
  <c r="C121" i="34"/>
  <c r="N126" i="33"/>
  <c r="D126" i="37" s="1"/>
  <c r="C126" i="11"/>
  <c r="C137" i="34"/>
  <c r="C7" i="11"/>
  <c r="C18" i="34"/>
  <c r="N7" i="33"/>
  <c r="D7" i="37" s="1"/>
  <c r="N46" i="33"/>
  <c r="D46" i="37" s="1"/>
  <c r="C46" i="11"/>
  <c r="C57" i="34"/>
  <c r="C21" i="11"/>
  <c r="C32" i="34"/>
  <c r="N21" i="33"/>
  <c r="D21" i="37" s="1"/>
  <c r="N84" i="33"/>
  <c r="D84" i="37" s="1"/>
  <c r="C84" i="11"/>
  <c r="C95" i="34"/>
  <c r="N116" i="33"/>
  <c r="D116" i="37" s="1"/>
  <c r="C116" i="11"/>
  <c r="C127" i="34"/>
  <c r="C41" i="11"/>
  <c r="C52" i="34"/>
  <c r="N41" i="33"/>
  <c r="D41" i="37" s="1"/>
  <c r="C71" i="11"/>
  <c r="C82" i="34"/>
  <c r="N71" i="33"/>
  <c r="D71" i="37" s="1"/>
  <c r="C87" i="11"/>
  <c r="C98" i="34"/>
  <c r="N87" i="33"/>
  <c r="D87" i="37" s="1"/>
  <c r="N103" i="33"/>
  <c r="D103" i="37" s="1"/>
  <c r="C103" i="11"/>
  <c r="C114" i="34"/>
  <c r="N119" i="33"/>
  <c r="D119" i="37" s="1"/>
  <c r="C119" i="11"/>
  <c r="C130" i="34"/>
  <c r="N135" i="33"/>
  <c r="D135" i="37" s="1"/>
  <c r="C135" i="11"/>
  <c r="C146" i="34"/>
  <c r="N145" i="33"/>
  <c r="D145" i="37" s="1"/>
  <c r="C145" i="11"/>
  <c r="C156" i="34"/>
  <c r="N153" i="33"/>
  <c r="D153" i="37" s="1"/>
  <c r="C153" i="11"/>
  <c r="C164" i="34"/>
  <c r="N161" i="33"/>
  <c r="D161" i="37" s="1"/>
  <c r="C161" i="11"/>
  <c r="C172" i="34"/>
  <c r="N169" i="33"/>
  <c r="D169" i="37" s="1"/>
  <c r="E170" i="25"/>
  <c r="M170" i="49"/>
  <c r="C169" i="11"/>
  <c r="C180" i="34"/>
  <c r="N177" i="33"/>
  <c r="D177" i="37" s="1"/>
  <c r="C177" i="11"/>
  <c r="C188" i="34"/>
  <c r="N185" i="33"/>
  <c r="D185" i="37" s="1"/>
  <c r="C185" i="11"/>
  <c r="C196" i="34"/>
  <c r="N193" i="33"/>
  <c r="D193" i="37" s="1"/>
  <c r="C193" i="11"/>
  <c r="C204" i="34"/>
  <c r="N201" i="33"/>
  <c r="D201" i="37" s="1"/>
  <c r="C201" i="11"/>
  <c r="C212" i="34"/>
  <c r="N209" i="33"/>
  <c r="D209" i="37" s="1"/>
  <c r="C209" i="11"/>
  <c r="C220" i="34"/>
  <c r="N217" i="33"/>
  <c r="D217" i="37" s="1"/>
  <c r="C217" i="11"/>
  <c r="C228" i="34"/>
  <c r="N30" i="33"/>
  <c r="D30" i="37" s="1"/>
  <c r="C30" i="11"/>
  <c r="C41" i="34"/>
  <c r="N56" i="33"/>
  <c r="D56" i="37" s="1"/>
  <c r="C56" i="11"/>
  <c r="C67" i="34"/>
  <c r="C164" i="11"/>
  <c r="C175" i="34"/>
  <c r="N164" i="33"/>
  <c r="D164" i="37" s="1"/>
  <c r="C196" i="11"/>
  <c r="C207" i="34"/>
  <c r="N196" i="33"/>
  <c r="D196" i="37" s="1"/>
  <c r="N221" i="33"/>
  <c r="D221" i="37" s="1"/>
  <c r="C221" i="11"/>
  <c r="C232" i="34"/>
  <c r="N229" i="33"/>
  <c r="D229" i="37" s="1"/>
  <c r="C229" i="11"/>
  <c r="C240" i="34"/>
  <c r="N237" i="33"/>
  <c r="D237" i="37" s="1"/>
  <c r="C237" i="11"/>
  <c r="C248" i="34"/>
  <c r="N245" i="33"/>
  <c r="D245" i="37" s="1"/>
  <c r="C245" i="11"/>
  <c r="C256" i="34"/>
  <c r="N253" i="33"/>
  <c r="D253" i="37" s="1"/>
  <c r="C253" i="11"/>
  <c r="C264" i="34"/>
  <c r="N261" i="33"/>
  <c r="D261" i="37" s="1"/>
  <c r="C261" i="11"/>
  <c r="C272" i="34"/>
  <c r="N269" i="33"/>
  <c r="D269" i="37" s="1"/>
  <c r="C269" i="11"/>
  <c r="C280" i="34"/>
  <c r="N277" i="33"/>
  <c r="D277" i="37" s="1"/>
  <c r="C277" i="11"/>
  <c r="C288" i="34"/>
  <c r="N285" i="33"/>
  <c r="D285" i="37" s="1"/>
  <c r="C285" i="11"/>
  <c r="C296" i="34"/>
  <c r="N36" i="33"/>
  <c r="D36" i="37" s="1"/>
  <c r="C36" i="11"/>
  <c r="C47" i="34"/>
  <c r="C144" i="11"/>
  <c r="C155" i="34"/>
  <c r="N144" i="33"/>
  <c r="D144" i="37" s="1"/>
  <c r="C176" i="11"/>
  <c r="C187" i="34"/>
  <c r="N176" i="33"/>
  <c r="D176" i="37" s="1"/>
  <c r="C208" i="11"/>
  <c r="C219" i="34"/>
  <c r="N208" i="33"/>
  <c r="D208" i="37" s="1"/>
  <c r="C240" i="11"/>
  <c r="C251" i="34"/>
  <c r="N240" i="33"/>
  <c r="D240" i="37" s="1"/>
  <c r="C272" i="11"/>
  <c r="C283" i="34"/>
  <c r="N272" i="33"/>
  <c r="D272" i="37" s="1"/>
  <c r="C294" i="11"/>
  <c r="C305" i="34"/>
  <c r="N294" i="33"/>
  <c r="D294" i="37" s="1"/>
  <c r="C310" i="11"/>
  <c r="C321" i="34"/>
  <c r="N310" i="33"/>
  <c r="D310" i="37" s="1"/>
  <c r="C244" i="11"/>
  <c r="C255" i="34"/>
  <c r="N244" i="33"/>
  <c r="D244" i="37" s="1"/>
  <c r="N307" i="33"/>
  <c r="D307" i="37" s="1"/>
  <c r="C307" i="11"/>
  <c r="C318" i="34"/>
  <c r="N299" i="33"/>
  <c r="D299" i="37" s="1"/>
  <c r="C299" i="11"/>
  <c r="C310" i="34"/>
  <c r="N291" i="33"/>
  <c r="D291" i="37" s="1"/>
  <c r="C291" i="11"/>
  <c r="C302" i="34"/>
  <c r="N279" i="33"/>
  <c r="D279" i="37" s="1"/>
  <c r="C279" i="11"/>
  <c r="C290" i="34"/>
  <c r="N263" i="33"/>
  <c r="D263" i="37" s="1"/>
  <c r="C263" i="11"/>
  <c r="C274" i="34"/>
  <c r="N247" i="33"/>
  <c r="D247" i="37" s="1"/>
  <c r="C247" i="11"/>
  <c r="C258" i="34"/>
  <c r="N231" i="33"/>
  <c r="D231" i="37" s="1"/>
  <c r="C231" i="11"/>
  <c r="C242" i="34"/>
  <c r="N215" i="33"/>
  <c r="D215" i="37" s="1"/>
  <c r="C215" i="11"/>
  <c r="C226" i="34"/>
  <c r="N199" i="33"/>
  <c r="D199" i="37" s="1"/>
  <c r="C199" i="11"/>
  <c r="C210" i="34"/>
  <c r="N183" i="33"/>
  <c r="D183" i="37" s="1"/>
  <c r="C183" i="11"/>
  <c r="C194" i="34"/>
  <c r="N167" i="33"/>
  <c r="D167" i="37" s="1"/>
  <c r="C167" i="11"/>
  <c r="C178" i="34"/>
  <c r="N151" i="33"/>
  <c r="D151" i="37" s="1"/>
  <c r="C151" i="11"/>
  <c r="C162" i="34"/>
  <c r="N133" i="33"/>
  <c r="D133" i="37" s="1"/>
  <c r="C133" i="11"/>
  <c r="C144" i="34"/>
  <c r="N117" i="33"/>
  <c r="D117" i="37" s="1"/>
  <c r="C117" i="11"/>
  <c r="C128" i="34"/>
  <c r="N101" i="33"/>
  <c r="D101" i="37" s="1"/>
  <c r="C101" i="11"/>
  <c r="C112" i="34"/>
  <c r="C85" i="11"/>
  <c r="C96" i="34"/>
  <c r="N85" i="33"/>
  <c r="D85" i="37" s="1"/>
  <c r="C69" i="11"/>
  <c r="C80" i="34"/>
  <c r="N69" i="33"/>
  <c r="D69" i="37" s="1"/>
  <c r="C59" i="11"/>
  <c r="C70" i="34"/>
  <c r="N59" i="33"/>
  <c r="D59" i="37" s="1"/>
  <c r="C43" i="11"/>
  <c r="C54" i="34"/>
  <c r="N43" i="33"/>
  <c r="D43" i="37" s="1"/>
  <c r="N28" i="33"/>
  <c r="D28" i="37" s="1"/>
  <c r="C28" i="11"/>
  <c r="C39" i="34"/>
  <c r="N12" i="33"/>
  <c r="D12" i="37" s="1"/>
  <c r="C12" i="11"/>
  <c r="C23" i="34"/>
  <c r="N34" i="33"/>
  <c r="D34" i="37" s="1"/>
  <c r="C34" i="11"/>
  <c r="C45" i="34"/>
  <c r="N66" i="33"/>
  <c r="D66" i="37" s="1"/>
  <c r="C66" i="11"/>
  <c r="C77" i="34"/>
  <c r="N72" i="33"/>
  <c r="D72" i="37" s="1"/>
  <c r="C72" i="11"/>
  <c r="C83" i="34"/>
  <c r="N104" i="33"/>
  <c r="D104" i="37" s="1"/>
  <c r="C104" i="11"/>
  <c r="C115" i="34"/>
  <c r="C136" i="11"/>
  <c r="C147" i="34"/>
  <c r="N136" i="33"/>
  <c r="D136" i="37" s="1"/>
  <c r="C61" i="11"/>
  <c r="C72" i="34"/>
  <c r="N61" i="33"/>
  <c r="D61" i="37" s="1"/>
  <c r="N82" i="33"/>
  <c r="D82" i="37" s="1"/>
  <c r="C82" i="11"/>
  <c r="C93" i="34"/>
  <c r="N98" i="33"/>
  <c r="D98" i="37" s="1"/>
  <c r="C98" i="11"/>
  <c r="C109" i="34"/>
  <c r="N114" i="33"/>
  <c r="D114" i="37" s="1"/>
  <c r="C114" i="11"/>
  <c r="C125" i="34"/>
  <c r="N130" i="33"/>
  <c r="D130" i="37" s="1"/>
  <c r="C130" i="11"/>
  <c r="C141" i="34"/>
  <c r="C15" i="11"/>
  <c r="C26" i="34"/>
  <c r="N15" i="33"/>
  <c r="D15" i="37" s="1"/>
  <c r="N54" i="33"/>
  <c r="D54" i="37" s="1"/>
  <c r="C54" i="11"/>
  <c r="C65" i="34"/>
  <c r="C29" i="11"/>
  <c r="C40" i="34"/>
  <c r="N29" i="33"/>
  <c r="D29" i="37" s="1"/>
  <c r="N92" i="33"/>
  <c r="D92" i="37" s="1"/>
  <c r="C92" i="11"/>
  <c r="C103" i="34"/>
  <c r="N124" i="33"/>
  <c r="D124" i="37" s="1"/>
  <c r="C124" i="11"/>
  <c r="C135" i="34"/>
  <c r="C49" i="11"/>
  <c r="C60" i="34"/>
  <c r="N49" i="33"/>
  <c r="D49" i="37" s="1"/>
  <c r="C75" i="11"/>
  <c r="C86" i="34"/>
  <c r="N75" i="33"/>
  <c r="D75" i="37" s="1"/>
  <c r="N91" i="33"/>
  <c r="D91" i="37" s="1"/>
  <c r="C91" i="11"/>
  <c r="C102" i="34"/>
  <c r="N107" i="33"/>
  <c r="D107" i="37" s="1"/>
  <c r="C107" i="11"/>
  <c r="C118" i="34"/>
  <c r="N123" i="33"/>
  <c r="D123" i="37" s="1"/>
  <c r="C123" i="11"/>
  <c r="C134" i="34"/>
  <c r="N139" i="33"/>
  <c r="D139" i="37" s="1"/>
  <c r="C139" i="11"/>
  <c r="C150" i="34"/>
  <c r="C146" i="11"/>
  <c r="C157" i="34"/>
  <c r="N146" i="33"/>
  <c r="D146" i="37" s="1"/>
  <c r="C154" i="11"/>
  <c r="C165" i="34"/>
  <c r="N154" i="33"/>
  <c r="D154" i="37" s="1"/>
  <c r="C162" i="11"/>
  <c r="C173" i="34"/>
  <c r="N162" i="33"/>
  <c r="D162" i="37" s="1"/>
  <c r="C170" i="11"/>
  <c r="C181" i="34"/>
  <c r="N170" i="33"/>
  <c r="D170" i="37" s="1"/>
  <c r="C178" i="11"/>
  <c r="C189" i="34"/>
  <c r="N178" i="33"/>
  <c r="D178" i="37" s="1"/>
  <c r="C186" i="11"/>
  <c r="C197" i="34"/>
  <c r="N186" i="33"/>
  <c r="D186" i="37" s="1"/>
  <c r="C194" i="11"/>
  <c r="C205" i="34"/>
  <c r="N194" i="33"/>
  <c r="D194" i="37" s="1"/>
  <c r="C202" i="11"/>
  <c r="C213" i="34"/>
  <c r="N202" i="33"/>
  <c r="D202" i="37" s="1"/>
  <c r="C210" i="11"/>
  <c r="C221" i="34"/>
  <c r="N210" i="33"/>
  <c r="D210" i="37" s="1"/>
  <c r="N6" i="33"/>
  <c r="D6" i="37" s="1"/>
  <c r="C6" i="11"/>
  <c r="C17" i="34"/>
  <c r="N32" i="33"/>
  <c r="D32" i="37" s="1"/>
  <c r="C32" i="11"/>
  <c r="C43" i="34"/>
  <c r="N64" i="33"/>
  <c r="D64" i="37" s="1"/>
  <c r="C64" i="11"/>
  <c r="C75" i="34"/>
  <c r="C172" i="11"/>
  <c r="C183" i="34"/>
  <c r="N172" i="33"/>
  <c r="D172" i="37" s="1"/>
  <c r="C204" i="11"/>
  <c r="C215" i="34"/>
  <c r="N204" i="33"/>
  <c r="D204" i="37" s="1"/>
  <c r="C222" i="11"/>
  <c r="C233" i="34"/>
  <c r="N222" i="33"/>
  <c r="D222" i="37" s="1"/>
  <c r="C230" i="11"/>
  <c r="C241" i="34"/>
  <c r="N230" i="33"/>
  <c r="D230" i="37" s="1"/>
  <c r="C238" i="11"/>
  <c r="C249" i="34"/>
  <c r="N238" i="33"/>
  <c r="D238" i="37" s="1"/>
  <c r="C246" i="11"/>
  <c r="C257" i="34"/>
  <c r="N246" i="33"/>
  <c r="D246" i="37" s="1"/>
  <c r="C254" i="11"/>
  <c r="C265" i="34"/>
  <c r="N254" i="33"/>
  <c r="D254" i="37" s="1"/>
  <c r="C262" i="11"/>
  <c r="C273" i="34"/>
  <c r="N262" i="33"/>
  <c r="D262" i="37" s="1"/>
  <c r="C270" i="11"/>
  <c r="C281" i="34"/>
  <c r="N270" i="33"/>
  <c r="D270" i="37" s="1"/>
  <c r="C278" i="11"/>
  <c r="C289" i="34"/>
  <c r="N278" i="33"/>
  <c r="D278" i="37" s="1"/>
  <c r="N10" i="33"/>
  <c r="D10" i="37" s="1"/>
  <c r="C10" i="11"/>
  <c r="C21" i="34"/>
  <c r="N44" i="33"/>
  <c r="D44" i="37" s="1"/>
  <c r="C44" i="11"/>
  <c r="C55" i="34"/>
  <c r="C152" i="11"/>
  <c r="C163" i="34"/>
  <c r="N152" i="33"/>
  <c r="D152" i="37" s="1"/>
  <c r="C184" i="11"/>
  <c r="C195" i="34"/>
  <c r="N184" i="33"/>
  <c r="D184" i="37" s="1"/>
  <c r="C216" i="11"/>
  <c r="C227" i="34"/>
  <c r="N216" i="33"/>
  <c r="D216" i="37" s="1"/>
  <c r="C248" i="11"/>
  <c r="C259" i="34"/>
  <c r="N248" i="33"/>
  <c r="D248" i="37" s="1"/>
  <c r="C298" i="11"/>
  <c r="C309" i="34"/>
  <c r="N298" i="33"/>
  <c r="D298" i="37" s="1"/>
  <c r="C220" i="11"/>
  <c r="C231" i="34"/>
  <c r="N220" i="33"/>
  <c r="D220" i="37" s="1"/>
  <c r="C252" i="11"/>
  <c r="C263" i="34"/>
  <c r="N252" i="33"/>
  <c r="D252" i="37" s="1"/>
  <c r="N313" i="33"/>
  <c r="D313" i="37" s="1"/>
  <c r="C313" i="11"/>
  <c r="C324" i="34"/>
  <c r="N305" i="33"/>
  <c r="D305" i="37" s="1"/>
  <c r="C305" i="11"/>
  <c r="C316" i="34"/>
  <c r="N297" i="33"/>
  <c r="D297" i="37" s="1"/>
  <c r="C297" i="11"/>
  <c r="C308" i="34"/>
  <c r="N289" i="33"/>
  <c r="D289" i="37" s="1"/>
  <c r="C289" i="11"/>
  <c r="C300" i="34"/>
  <c r="N275" i="33"/>
  <c r="D275" i="37" s="1"/>
  <c r="C275" i="11"/>
  <c r="C286" i="34"/>
  <c r="N259" i="33"/>
  <c r="D259" i="37" s="1"/>
  <c r="C259" i="11"/>
  <c r="C270" i="34"/>
  <c r="N243" i="33"/>
  <c r="D243" i="37" s="1"/>
  <c r="E244" i="25"/>
  <c r="M244" i="49"/>
  <c r="C243" i="11"/>
  <c r="C254" i="34"/>
  <c r="N227" i="33"/>
  <c r="D227" i="37" s="1"/>
  <c r="C227" i="11"/>
  <c r="C238" i="34"/>
  <c r="N211" i="33"/>
  <c r="D211" i="37" s="1"/>
  <c r="C211" i="11"/>
  <c r="C222" i="34"/>
  <c r="N195" i="33"/>
  <c r="D195" i="37" s="1"/>
  <c r="C195" i="11"/>
  <c r="C206" i="34"/>
  <c r="N179" i="33"/>
  <c r="D179" i="37" s="1"/>
  <c r="C179" i="11"/>
  <c r="C190" i="34"/>
  <c r="N163" i="33"/>
  <c r="D163" i="37" s="1"/>
  <c r="C163" i="11"/>
  <c r="C174" i="34"/>
  <c r="N147" i="33"/>
  <c r="D147" i="37" s="1"/>
  <c r="C147" i="11"/>
  <c r="C158" i="34"/>
  <c r="N129" i="33"/>
  <c r="D129" i="37" s="1"/>
  <c r="C129" i="11"/>
  <c r="C140" i="34"/>
  <c r="N113" i="33"/>
  <c r="D113" i="37" s="1"/>
  <c r="C113" i="11"/>
  <c r="C124" i="34"/>
  <c r="N97" i="33"/>
  <c r="D97" i="37" s="1"/>
  <c r="C97" i="11"/>
  <c r="C108" i="34"/>
  <c r="C81" i="11"/>
  <c r="C92" i="34"/>
  <c r="N81" i="33"/>
  <c r="D81" i="37" s="1"/>
  <c r="C140" i="11"/>
  <c r="C151" i="34"/>
  <c r="N140" i="33"/>
  <c r="D140" i="37" s="1"/>
  <c r="C55" i="11"/>
  <c r="C66" i="34"/>
  <c r="N55" i="33"/>
  <c r="D55" i="37" s="1"/>
  <c r="C39" i="11"/>
  <c r="C50" i="34"/>
  <c r="N39" i="33"/>
  <c r="D39" i="37" s="1"/>
  <c r="N24" i="33"/>
  <c r="D24" i="37" s="1"/>
  <c r="C24" i="11"/>
  <c r="C35" i="34"/>
  <c r="N8" i="33"/>
  <c r="D8" i="37" s="1"/>
  <c r="C8" i="11"/>
  <c r="C19" i="34"/>
  <c r="C31" i="11"/>
  <c r="C42" i="34"/>
  <c r="N31" i="33"/>
  <c r="D31" i="37" s="1"/>
  <c r="N42" i="33"/>
  <c r="D42" i="37" s="1"/>
  <c r="C42" i="11"/>
  <c r="C53" i="34"/>
  <c r="N80" i="33"/>
  <c r="D80" i="37" s="1"/>
  <c r="C80" i="11"/>
  <c r="C91" i="34"/>
  <c r="C37" i="11"/>
  <c r="C48" i="34"/>
  <c r="N37" i="33"/>
  <c r="D37" i="37" s="1"/>
  <c r="N86" i="33"/>
  <c r="D86" i="37" s="1"/>
  <c r="C86" i="11"/>
  <c r="C97" i="34"/>
  <c r="N118" i="33"/>
  <c r="D118" i="37" s="1"/>
  <c r="C118" i="11"/>
  <c r="C129" i="34"/>
  <c r="C23" i="11"/>
  <c r="C34" i="34"/>
  <c r="N23" i="33"/>
  <c r="D23" i="37" s="1"/>
  <c r="N68" i="33"/>
  <c r="D68" i="37" s="1"/>
  <c r="C68" i="11"/>
  <c r="C79" i="34"/>
  <c r="N100" i="33"/>
  <c r="D100" i="37" s="1"/>
  <c r="C100" i="11"/>
  <c r="C111" i="34"/>
  <c r="C79" i="11"/>
  <c r="C90" i="34"/>
  <c r="N79" i="33"/>
  <c r="D79" i="37" s="1"/>
  <c r="N111" i="33"/>
  <c r="D111" i="37" s="1"/>
  <c r="C111" i="11"/>
  <c r="C122" i="34"/>
  <c r="N141" i="33"/>
  <c r="D141" i="37" s="1"/>
  <c r="C141" i="11"/>
  <c r="C152" i="34"/>
  <c r="N157" i="33"/>
  <c r="D157" i="37" s="1"/>
  <c r="C157" i="11"/>
  <c r="C168" i="34"/>
  <c r="N173" i="33"/>
  <c r="D173" i="37" s="1"/>
  <c r="C173" i="11"/>
  <c r="C184" i="34"/>
  <c r="N189" i="33"/>
  <c r="D189" i="37" s="1"/>
  <c r="C189" i="11"/>
  <c r="C200" i="34"/>
  <c r="N205" i="33"/>
  <c r="D205" i="37" s="1"/>
  <c r="C205" i="11"/>
  <c r="C216" i="34"/>
  <c r="N14" i="33"/>
  <c r="D14" i="37" s="1"/>
  <c r="C14" i="11"/>
  <c r="C25" i="34"/>
  <c r="C148" i="11"/>
  <c r="C159" i="34"/>
  <c r="N148" i="33"/>
  <c r="D148" i="37" s="1"/>
  <c r="C212" i="11"/>
  <c r="C223" i="34"/>
  <c r="N212" i="33"/>
  <c r="D212" i="37" s="1"/>
  <c r="N233" i="33"/>
  <c r="D233" i="37" s="1"/>
  <c r="C233" i="11"/>
  <c r="C244" i="34"/>
  <c r="N249" i="33"/>
  <c r="D249" i="37" s="1"/>
  <c r="C249" i="11"/>
  <c r="C260" i="34"/>
  <c r="N265" i="33"/>
  <c r="D265" i="37" s="1"/>
  <c r="C265" i="11"/>
  <c r="C276" i="34"/>
  <c r="N281" i="33"/>
  <c r="D281" i="37" s="1"/>
  <c r="C281" i="11"/>
  <c r="C292" i="34"/>
  <c r="N52" i="33"/>
  <c r="D52" i="37" s="1"/>
  <c r="C52" i="11"/>
  <c r="C63" i="34"/>
  <c r="C192" i="11"/>
  <c r="C203" i="34"/>
  <c r="N192" i="33"/>
  <c r="D192" i="37" s="1"/>
  <c r="C256" i="11"/>
  <c r="C267" i="34"/>
  <c r="N256" i="33"/>
  <c r="D256" i="37" s="1"/>
  <c r="C302" i="11"/>
  <c r="C313" i="34"/>
  <c r="N302" i="33"/>
  <c r="D302" i="37" s="1"/>
  <c r="C260" i="11"/>
  <c r="C271" i="34"/>
  <c r="N260" i="33"/>
  <c r="D260" i="37" s="1"/>
  <c r="N311" i="33"/>
  <c r="D311" i="37" s="1"/>
  <c r="C311" i="11"/>
  <c r="C322" i="34"/>
  <c r="N295" i="33"/>
  <c r="D295" i="37" s="1"/>
  <c r="C295" i="11"/>
  <c r="C306" i="34"/>
  <c r="N271" i="33"/>
  <c r="D271" i="37" s="1"/>
  <c r="C271" i="11"/>
  <c r="C282" i="34"/>
  <c r="N239" i="33"/>
  <c r="D239" i="37" s="1"/>
  <c r="C239" i="11"/>
  <c r="C250" i="34"/>
  <c r="N207" i="33"/>
  <c r="D207" i="37" s="1"/>
  <c r="C207" i="11"/>
  <c r="C218" i="34"/>
  <c r="N175" i="33"/>
  <c r="D175" i="37" s="1"/>
  <c r="C175" i="11"/>
  <c r="C186" i="34"/>
  <c r="N159" i="33"/>
  <c r="D159" i="37" s="1"/>
  <c r="C159" i="11"/>
  <c r="C170" i="34"/>
  <c r="N125" i="33"/>
  <c r="D125" i="37" s="1"/>
  <c r="C125" i="11"/>
  <c r="C136" i="34"/>
  <c r="N109" i="33"/>
  <c r="D109" i="37" s="1"/>
  <c r="C109" i="11"/>
  <c r="C120" i="34"/>
  <c r="N93" i="33"/>
  <c r="D93" i="37" s="1"/>
  <c r="C93" i="11"/>
  <c r="C104" i="34"/>
  <c r="C77" i="11"/>
  <c r="C88" i="34"/>
  <c r="N77" i="33"/>
  <c r="D77" i="37" s="1"/>
  <c r="C67" i="11"/>
  <c r="C78" i="34"/>
  <c r="N67" i="33"/>
  <c r="D67" i="37" s="1"/>
  <c r="C51" i="11"/>
  <c r="C62" i="34"/>
  <c r="N51" i="33"/>
  <c r="D51" i="37" s="1"/>
  <c r="C35" i="11"/>
  <c r="C46" i="34"/>
  <c r="N35" i="33"/>
  <c r="D35" i="37" s="1"/>
  <c r="N20" i="33"/>
  <c r="D20" i="37" s="1"/>
  <c r="C20" i="11"/>
  <c r="C31" i="34"/>
  <c r="C19" i="11"/>
  <c r="C30" i="34"/>
  <c r="N19" i="33"/>
  <c r="D19" i="37" s="1"/>
  <c r="N50" i="33"/>
  <c r="D50" i="37" s="1"/>
  <c r="C50" i="11"/>
  <c r="C61" i="34"/>
  <c r="C17" i="11"/>
  <c r="C28" i="34"/>
  <c r="N17" i="33"/>
  <c r="D17" i="37" s="1"/>
  <c r="N88" i="33"/>
  <c r="D88" i="37" s="1"/>
  <c r="C88" i="11"/>
  <c r="C99" i="34"/>
  <c r="N120" i="33"/>
  <c r="D120" i="37" s="1"/>
  <c r="C120" i="11"/>
  <c r="C131" i="34"/>
  <c r="C45" i="11"/>
  <c r="C56" i="34"/>
  <c r="N45" i="33"/>
  <c r="D45" i="37" s="1"/>
  <c r="N74" i="33"/>
  <c r="D74" i="37" s="1"/>
  <c r="C74" i="11"/>
  <c r="C85" i="34"/>
  <c r="N90" i="33"/>
  <c r="D90" i="37" s="1"/>
  <c r="C90" i="11"/>
  <c r="C101" i="34"/>
  <c r="N106" i="33"/>
  <c r="D106" i="37" s="1"/>
  <c r="C106" i="11"/>
  <c r="C117" i="34"/>
  <c r="N122" i="33"/>
  <c r="D122" i="37" s="1"/>
  <c r="C122" i="11"/>
  <c r="C133" i="34"/>
  <c r="C138" i="11"/>
  <c r="C149" i="34"/>
  <c r="N138" i="33"/>
  <c r="D138" i="37" s="1"/>
  <c r="N38" i="33"/>
  <c r="D38" i="37" s="1"/>
  <c r="C38" i="11"/>
  <c r="C49" i="34"/>
  <c r="C13" i="11"/>
  <c r="C24" i="34"/>
  <c r="N13" i="33"/>
  <c r="D13" i="37" s="1"/>
  <c r="N76" i="33"/>
  <c r="D76" i="37" s="1"/>
  <c r="C76" i="11"/>
  <c r="C87" i="34"/>
  <c r="N108" i="33"/>
  <c r="D108" i="37" s="1"/>
  <c r="C108" i="11"/>
  <c r="C119" i="34"/>
  <c r="C33" i="11"/>
  <c r="C44" i="34"/>
  <c r="N33" i="33"/>
  <c r="D33" i="37" s="1"/>
  <c r="C65" i="11"/>
  <c r="C76" i="34"/>
  <c r="N65" i="33"/>
  <c r="D65" i="37" s="1"/>
  <c r="C83" i="11"/>
  <c r="C94" i="34"/>
  <c r="N83" i="33"/>
  <c r="D83" i="37" s="1"/>
  <c r="N99" i="33"/>
  <c r="D99" i="37" s="1"/>
  <c r="C99" i="11"/>
  <c r="C110" i="34"/>
  <c r="N115" i="33"/>
  <c r="D115" i="37" s="1"/>
  <c r="C115" i="11"/>
  <c r="C126" i="34"/>
  <c r="E208" i="25"/>
  <c r="E214" i="25"/>
  <c r="E107" i="25"/>
  <c r="E161" i="25"/>
  <c r="E242" i="25"/>
  <c r="E119" i="25"/>
  <c r="E190" i="25"/>
  <c r="E272" i="25"/>
  <c r="E234" i="25"/>
  <c r="E198" i="25"/>
  <c r="E112" i="25"/>
  <c r="E24" i="25"/>
  <c r="E126" i="25"/>
  <c r="E282" i="25"/>
  <c r="E304" i="25"/>
  <c r="E133" i="25"/>
  <c r="E193" i="25"/>
  <c r="E52" i="25"/>
  <c r="E78" i="25"/>
  <c r="E75" i="25"/>
  <c r="E38" i="25"/>
  <c r="E158" i="25"/>
  <c r="E225" i="25"/>
  <c r="E116" i="25"/>
  <c r="E15" i="25"/>
  <c r="E183" i="25"/>
  <c r="E157" i="25"/>
  <c r="E149" i="25"/>
  <c r="E139" i="25"/>
  <c r="E151" i="25"/>
  <c r="E261" i="25"/>
  <c r="E235" i="25"/>
  <c r="E110" i="25"/>
  <c r="E43" i="25"/>
  <c r="E61" i="25"/>
  <c r="E96" i="25"/>
  <c r="E19" i="25"/>
  <c r="E207" i="25"/>
  <c r="E23" i="25"/>
  <c r="E257" i="25"/>
  <c r="E169" i="25"/>
  <c r="E14" i="25"/>
  <c r="E103" i="25"/>
  <c r="E215" i="25"/>
  <c r="E265" i="25"/>
  <c r="E275" i="25"/>
  <c r="E267" i="25"/>
  <c r="E94" i="25"/>
  <c r="E166" i="25"/>
  <c r="E259" i="25"/>
  <c r="E80" i="25"/>
  <c r="E123" i="25"/>
  <c r="E109" i="25"/>
  <c r="E201" i="25"/>
  <c r="E36" i="25"/>
  <c r="E143" i="25"/>
  <c r="E150" i="25"/>
  <c r="E135" i="25"/>
  <c r="M80" i="49"/>
  <c r="M122" i="49"/>
  <c r="M142" i="49"/>
  <c r="M78" i="49"/>
  <c r="M192" i="49"/>
  <c r="M156" i="49"/>
  <c r="M213" i="49"/>
  <c r="M296" i="49"/>
  <c r="M159" i="49"/>
  <c r="M199" i="49"/>
  <c r="M250" i="49"/>
  <c r="M191" i="49"/>
  <c r="M266" i="49"/>
  <c r="M139" i="49"/>
  <c r="M204" i="49"/>
  <c r="M23" i="49"/>
  <c r="M94" i="49"/>
  <c r="M103" i="49"/>
  <c r="M58" i="49"/>
  <c r="M107" i="49"/>
  <c r="M149" i="49"/>
  <c r="M275" i="49"/>
  <c r="M112" i="49"/>
  <c r="M169" i="49"/>
  <c r="M100" i="49"/>
  <c r="M215" i="49"/>
  <c r="M79" i="49"/>
  <c r="M291" i="49"/>
  <c r="M161" i="49"/>
  <c r="M243" i="49"/>
  <c r="M63" i="49"/>
  <c r="M52" i="49"/>
  <c r="M269" i="49"/>
  <c r="M38" i="49"/>
  <c r="M21" i="49"/>
  <c r="M95" i="49"/>
  <c r="M175" i="49"/>
  <c r="M75" i="49"/>
  <c r="M198" i="49"/>
  <c r="M174" i="49"/>
  <c r="M41" i="49"/>
  <c r="M19" i="49"/>
  <c r="M49" i="49"/>
  <c r="M90" i="49"/>
  <c r="M190" i="49"/>
  <c r="M53" i="49"/>
  <c r="M26" i="49"/>
  <c r="M193" i="49"/>
  <c r="M10" i="49"/>
  <c r="M274" i="49"/>
  <c r="M268" i="49"/>
  <c r="M226" i="49"/>
  <c r="M81" i="49"/>
  <c r="M24" i="49"/>
  <c r="M87" i="49"/>
  <c r="M150" i="49"/>
  <c r="M18" i="49"/>
  <c r="M310" i="49"/>
  <c r="M61" i="49"/>
  <c r="M225" i="49"/>
  <c r="M189" i="49"/>
  <c r="M157" i="49"/>
  <c r="M85" i="49"/>
  <c r="M28" i="49"/>
  <c r="M208" i="49"/>
  <c r="M116" i="49"/>
  <c r="M59" i="49"/>
  <c r="M240" i="49"/>
  <c r="M143" i="49"/>
  <c r="M236" i="49"/>
  <c r="M222" i="49"/>
  <c r="M34" i="49"/>
  <c r="M91" i="49"/>
  <c r="M235" i="49"/>
  <c r="M265" i="49"/>
  <c r="M283" i="49"/>
  <c r="C288" i="11"/>
  <c r="C299" i="34"/>
  <c r="N288" i="33"/>
  <c r="D288" i="37" s="1"/>
  <c r="C304" i="11"/>
  <c r="C315" i="34"/>
  <c r="N304" i="33"/>
  <c r="D304" i="37" s="1"/>
  <c r="E137" i="9"/>
  <c r="M131" i="33"/>
  <c r="F18" i="48"/>
  <c r="C292" i="11"/>
  <c r="C303" i="34"/>
  <c r="N292" i="33"/>
  <c r="D292" i="37" s="1"/>
  <c r="C308" i="11"/>
  <c r="C319" i="34"/>
  <c r="N308" i="33"/>
  <c r="D308" i="37" s="1"/>
  <c r="C276" i="11"/>
  <c r="C287" i="34"/>
  <c r="N276" i="33"/>
  <c r="D276" i="37" s="1"/>
  <c r="C296" i="11"/>
  <c r="C307" i="34"/>
  <c r="N296" i="33"/>
  <c r="D296" i="37" s="1"/>
  <c r="C312" i="11"/>
  <c r="C323" i="34"/>
  <c r="N312" i="33"/>
  <c r="D312" i="37" s="1"/>
  <c r="C280" i="11"/>
  <c r="C291" i="34"/>
  <c r="N280" i="33"/>
  <c r="D280" i="37" s="1"/>
  <c r="C284" i="11"/>
  <c r="C295" i="34"/>
  <c r="N284" i="33"/>
  <c r="D284" i="37" s="1"/>
  <c r="C300" i="11"/>
  <c r="C311" i="34"/>
  <c r="N300" i="33"/>
  <c r="D300" i="37" s="1"/>
  <c r="E89" i="25"/>
  <c r="E295" i="25"/>
  <c r="E296" i="25"/>
  <c r="E274" i="25"/>
  <c r="E240" i="25"/>
  <c r="E228" i="25"/>
  <c r="M152" i="49"/>
  <c r="M121" i="49"/>
  <c r="M88" i="49"/>
  <c r="M245" i="49"/>
  <c r="M138" i="49"/>
  <c r="M137" i="49"/>
  <c r="M66" i="49"/>
  <c r="M37" i="49"/>
  <c r="M127" i="49"/>
  <c r="E127" i="25"/>
  <c r="M101" i="49"/>
  <c r="E101" i="25"/>
  <c r="M287" i="49"/>
  <c r="M135" i="49"/>
  <c r="E11" i="9"/>
  <c r="M313" i="49"/>
  <c r="M6" i="49"/>
  <c r="L314" i="33"/>
  <c r="C6" i="9" s="1"/>
  <c r="C7" i="9" s="1"/>
  <c r="E313" i="25"/>
  <c r="H288" i="11" l="1"/>
  <c r="I288" i="11" s="1"/>
  <c r="L288" i="11"/>
  <c r="M288" i="11" s="1"/>
  <c r="L115" i="11"/>
  <c r="M115" i="11" s="1"/>
  <c r="H115" i="11"/>
  <c r="I115" i="11" s="1"/>
  <c r="H65" i="11"/>
  <c r="I65" i="11" s="1"/>
  <c r="L65" i="11"/>
  <c r="M65" i="11" s="1"/>
  <c r="H76" i="11"/>
  <c r="I76" i="11" s="1"/>
  <c r="L76" i="11"/>
  <c r="M76" i="11" s="1"/>
  <c r="H13" i="11"/>
  <c r="I13" i="11" s="1"/>
  <c r="L13" i="11"/>
  <c r="M13" i="11" s="1"/>
  <c r="L38" i="11"/>
  <c r="M38" i="11" s="1"/>
  <c r="H38" i="11"/>
  <c r="I38" i="11" s="1"/>
  <c r="H138" i="11"/>
  <c r="I138" i="11" s="1"/>
  <c r="L138" i="11"/>
  <c r="M138" i="11" s="1"/>
  <c r="L122" i="11"/>
  <c r="M122" i="11" s="1"/>
  <c r="H122" i="11"/>
  <c r="I122" i="11" s="1"/>
  <c r="H90" i="11"/>
  <c r="I90" i="11" s="1"/>
  <c r="L90" i="11"/>
  <c r="M90" i="11" s="1"/>
  <c r="H88" i="11"/>
  <c r="I88" i="11" s="1"/>
  <c r="L88" i="11"/>
  <c r="M88" i="11" s="1"/>
  <c r="H17" i="11"/>
  <c r="I17" i="11" s="1"/>
  <c r="L17" i="11"/>
  <c r="M17" i="11" s="1"/>
  <c r="H50" i="11"/>
  <c r="I50" i="11" s="1"/>
  <c r="L50" i="11"/>
  <c r="M50" i="11" s="1"/>
  <c r="H19" i="11"/>
  <c r="I19" i="11" s="1"/>
  <c r="L19" i="11"/>
  <c r="M19" i="11" s="1"/>
  <c r="H20" i="11"/>
  <c r="I20" i="11" s="1"/>
  <c r="L20" i="11"/>
  <c r="M20" i="11" s="1"/>
  <c r="L35" i="11"/>
  <c r="M35" i="11" s="1"/>
  <c r="H35" i="11"/>
  <c r="I35" i="11" s="1"/>
  <c r="H67" i="11"/>
  <c r="I67" i="11" s="1"/>
  <c r="L67" i="11"/>
  <c r="M67" i="11" s="1"/>
  <c r="L109" i="11"/>
  <c r="M109" i="11" s="1"/>
  <c r="H109" i="11"/>
  <c r="I109" i="11" s="1"/>
  <c r="H159" i="11"/>
  <c r="I159" i="11" s="1"/>
  <c r="L159" i="11"/>
  <c r="M159" i="11" s="1"/>
  <c r="H207" i="11"/>
  <c r="I207" i="11" s="1"/>
  <c r="L207" i="11"/>
  <c r="M207" i="11" s="1"/>
  <c r="H271" i="11"/>
  <c r="I271" i="11" s="1"/>
  <c r="L271" i="11"/>
  <c r="M271" i="11" s="1"/>
  <c r="H311" i="11"/>
  <c r="I311" i="11" s="1"/>
  <c r="L311" i="11"/>
  <c r="M311" i="11" s="1"/>
  <c r="H260" i="11"/>
  <c r="I260" i="11" s="1"/>
  <c r="L260" i="11"/>
  <c r="M260" i="11" s="1"/>
  <c r="H256" i="11"/>
  <c r="I256" i="11" s="1"/>
  <c r="L256" i="11"/>
  <c r="M256" i="11" s="1"/>
  <c r="H281" i="11"/>
  <c r="I281" i="11" s="1"/>
  <c r="L281" i="11"/>
  <c r="M281" i="11" s="1"/>
  <c r="H249" i="11"/>
  <c r="I249" i="11" s="1"/>
  <c r="L249" i="11"/>
  <c r="M249" i="11" s="1"/>
  <c r="H148" i="11"/>
  <c r="I148" i="11" s="1"/>
  <c r="L148" i="11"/>
  <c r="M148" i="11" s="1"/>
  <c r="H14" i="11"/>
  <c r="I14" i="11" s="1"/>
  <c r="L14" i="11"/>
  <c r="M14" i="11" s="1"/>
  <c r="H189" i="11"/>
  <c r="I189" i="11" s="1"/>
  <c r="L189" i="11"/>
  <c r="M189" i="11" s="1"/>
  <c r="H157" i="11"/>
  <c r="I157" i="11" s="1"/>
  <c r="L157" i="11"/>
  <c r="M157" i="11" s="1"/>
  <c r="L111" i="11"/>
  <c r="M111" i="11" s="1"/>
  <c r="H111" i="11"/>
  <c r="I111" i="11" s="1"/>
  <c r="H79" i="11"/>
  <c r="I79" i="11" s="1"/>
  <c r="L79" i="11"/>
  <c r="M79" i="11" s="1"/>
  <c r="L100" i="11"/>
  <c r="M100" i="11" s="1"/>
  <c r="H100" i="11"/>
  <c r="I100" i="11" s="1"/>
  <c r="H86" i="11"/>
  <c r="I86" i="11" s="1"/>
  <c r="L86" i="11"/>
  <c r="M86" i="11" s="1"/>
  <c r="L37" i="11"/>
  <c r="M37" i="11" s="1"/>
  <c r="H37" i="11"/>
  <c r="I37" i="11" s="1"/>
  <c r="H80" i="11"/>
  <c r="I80" i="11" s="1"/>
  <c r="L80" i="11"/>
  <c r="M80" i="11" s="1"/>
  <c r="H24" i="11"/>
  <c r="I24" i="11" s="1"/>
  <c r="L24" i="11"/>
  <c r="M24" i="11" s="1"/>
  <c r="L39" i="11"/>
  <c r="M39" i="11" s="1"/>
  <c r="H39" i="11"/>
  <c r="I39" i="11" s="1"/>
  <c r="H140" i="11"/>
  <c r="I140" i="11" s="1"/>
  <c r="L140" i="11"/>
  <c r="M140" i="11" s="1"/>
  <c r="L113" i="11"/>
  <c r="M113" i="11" s="1"/>
  <c r="H113" i="11"/>
  <c r="I113" i="11" s="1"/>
  <c r="H147" i="11"/>
  <c r="I147" i="11" s="1"/>
  <c r="L147" i="11"/>
  <c r="M147" i="11" s="1"/>
  <c r="H179" i="11"/>
  <c r="I179" i="11" s="1"/>
  <c r="L179" i="11"/>
  <c r="M179" i="11" s="1"/>
  <c r="H211" i="11"/>
  <c r="I211" i="11" s="1"/>
  <c r="L211" i="11"/>
  <c r="M211" i="11" s="1"/>
  <c r="L243" i="11"/>
  <c r="M243" i="11" s="1"/>
  <c r="H243" i="11"/>
  <c r="I243" i="11" s="1"/>
  <c r="H275" i="11"/>
  <c r="I275" i="11" s="1"/>
  <c r="L275" i="11"/>
  <c r="M275" i="11" s="1"/>
  <c r="H297" i="11"/>
  <c r="I297" i="11" s="1"/>
  <c r="L297" i="11"/>
  <c r="M297" i="11" s="1"/>
  <c r="H313" i="11"/>
  <c r="I313" i="11" s="1"/>
  <c r="L313" i="11"/>
  <c r="M313" i="11" s="1"/>
  <c r="H252" i="11"/>
  <c r="I252" i="11" s="1"/>
  <c r="L252" i="11"/>
  <c r="M252" i="11" s="1"/>
  <c r="H298" i="11"/>
  <c r="I298" i="11" s="1"/>
  <c r="L298" i="11"/>
  <c r="M298" i="11" s="1"/>
  <c r="H216" i="11"/>
  <c r="I216" i="11" s="1"/>
  <c r="L216" i="11"/>
  <c r="M216" i="11" s="1"/>
  <c r="H152" i="11"/>
  <c r="I152" i="11" s="1"/>
  <c r="L152" i="11"/>
  <c r="M152" i="11" s="1"/>
  <c r="L44" i="11"/>
  <c r="M44" i="11" s="1"/>
  <c r="H44" i="11"/>
  <c r="I44" i="11" s="1"/>
  <c r="H270" i="11"/>
  <c r="I270" i="11" s="1"/>
  <c r="L270" i="11"/>
  <c r="M270" i="11" s="1"/>
  <c r="H254" i="11"/>
  <c r="I254" i="11" s="1"/>
  <c r="L254" i="11"/>
  <c r="M254" i="11" s="1"/>
  <c r="H238" i="11"/>
  <c r="I238" i="11" s="1"/>
  <c r="L238" i="11"/>
  <c r="M238" i="11" s="1"/>
  <c r="H222" i="11"/>
  <c r="I222" i="11" s="1"/>
  <c r="L222" i="11"/>
  <c r="M222" i="11" s="1"/>
  <c r="H172" i="11"/>
  <c r="I172" i="11" s="1"/>
  <c r="L172" i="11"/>
  <c r="M172" i="11" s="1"/>
  <c r="H64" i="11"/>
  <c r="I64" i="11" s="1"/>
  <c r="L64" i="11"/>
  <c r="M64" i="11" s="1"/>
  <c r="H6" i="11"/>
  <c r="I6" i="11" s="1"/>
  <c r="L6" i="11"/>
  <c r="M6" i="11" s="1"/>
  <c r="H210" i="11"/>
  <c r="I210" i="11" s="1"/>
  <c r="L210" i="11"/>
  <c r="M210" i="11" s="1"/>
  <c r="H194" i="11"/>
  <c r="I194" i="11" s="1"/>
  <c r="L194" i="11"/>
  <c r="M194" i="11" s="1"/>
  <c r="H178" i="11"/>
  <c r="I178" i="11" s="1"/>
  <c r="L178" i="11"/>
  <c r="M178" i="11" s="1"/>
  <c r="H162" i="11"/>
  <c r="I162" i="11" s="1"/>
  <c r="L162" i="11"/>
  <c r="M162" i="11" s="1"/>
  <c r="H146" i="11"/>
  <c r="I146" i="11" s="1"/>
  <c r="L146" i="11"/>
  <c r="M146" i="11" s="1"/>
  <c r="H139" i="11"/>
  <c r="I139" i="11" s="1"/>
  <c r="L139" i="11"/>
  <c r="M139" i="11" s="1"/>
  <c r="L107" i="11"/>
  <c r="M107" i="11" s="1"/>
  <c r="H107" i="11"/>
  <c r="I107" i="11" s="1"/>
  <c r="H49" i="11"/>
  <c r="I49" i="11" s="1"/>
  <c r="L49" i="11"/>
  <c r="M49" i="11" s="1"/>
  <c r="L124" i="11"/>
  <c r="M124" i="11" s="1"/>
  <c r="H124" i="11"/>
  <c r="I124" i="11" s="1"/>
  <c r="L114" i="11"/>
  <c r="M114" i="11" s="1"/>
  <c r="H114" i="11"/>
  <c r="I114" i="11" s="1"/>
  <c r="H82" i="11"/>
  <c r="I82" i="11" s="1"/>
  <c r="L82" i="11"/>
  <c r="M82" i="11" s="1"/>
  <c r="H61" i="11"/>
  <c r="I61" i="11" s="1"/>
  <c r="L61" i="11"/>
  <c r="M61" i="11" s="1"/>
  <c r="H72" i="11"/>
  <c r="I72" i="11" s="1"/>
  <c r="L72" i="11"/>
  <c r="M72" i="11" s="1"/>
  <c r="H34" i="11"/>
  <c r="I34" i="11" s="1"/>
  <c r="L34" i="11"/>
  <c r="M34" i="11" s="1"/>
  <c r="H28" i="11"/>
  <c r="I28" i="11" s="1"/>
  <c r="L28" i="11"/>
  <c r="M28" i="11" s="1"/>
  <c r="L43" i="11"/>
  <c r="M43" i="11" s="1"/>
  <c r="H43" i="11"/>
  <c r="I43" i="11" s="1"/>
  <c r="H69" i="11"/>
  <c r="I69" i="11" s="1"/>
  <c r="L69" i="11"/>
  <c r="M69" i="11" s="1"/>
  <c r="L117" i="11"/>
  <c r="M117" i="11" s="1"/>
  <c r="H117" i="11"/>
  <c r="I117" i="11" s="1"/>
  <c r="H151" i="11"/>
  <c r="I151" i="11" s="1"/>
  <c r="L151" i="11"/>
  <c r="M151" i="11" s="1"/>
  <c r="H183" i="11"/>
  <c r="I183" i="11" s="1"/>
  <c r="L183" i="11"/>
  <c r="M183" i="11" s="1"/>
  <c r="H215" i="11"/>
  <c r="I215" i="11" s="1"/>
  <c r="L215" i="11"/>
  <c r="M215" i="11" s="1"/>
  <c r="H247" i="11"/>
  <c r="I247" i="11" s="1"/>
  <c r="L247" i="11"/>
  <c r="M247" i="11" s="1"/>
  <c r="H279" i="11"/>
  <c r="I279" i="11" s="1"/>
  <c r="L279" i="11"/>
  <c r="M279" i="11" s="1"/>
  <c r="H299" i="11"/>
  <c r="I299" i="11" s="1"/>
  <c r="L299" i="11"/>
  <c r="M299" i="11" s="1"/>
  <c r="H310" i="11"/>
  <c r="I310" i="11" s="1"/>
  <c r="L310" i="11"/>
  <c r="M310" i="11" s="1"/>
  <c r="H272" i="11"/>
  <c r="I272" i="11" s="1"/>
  <c r="L272" i="11"/>
  <c r="M272" i="11" s="1"/>
  <c r="H208" i="11"/>
  <c r="I208" i="11" s="1"/>
  <c r="L208" i="11"/>
  <c r="M208" i="11" s="1"/>
  <c r="H144" i="11"/>
  <c r="I144" i="11" s="1"/>
  <c r="L144" i="11"/>
  <c r="M144" i="11" s="1"/>
  <c r="L36" i="11"/>
  <c r="M36" i="11" s="1"/>
  <c r="H36" i="11"/>
  <c r="I36" i="11" s="1"/>
  <c r="H277" i="11"/>
  <c r="I277" i="11" s="1"/>
  <c r="L277" i="11"/>
  <c r="M277" i="11" s="1"/>
  <c r="H261" i="11"/>
  <c r="I261" i="11" s="1"/>
  <c r="L261" i="11"/>
  <c r="M261" i="11" s="1"/>
  <c r="H245" i="11"/>
  <c r="I245" i="11" s="1"/>
  <c r="L245" i="11"/>
  <c r="M245" i="11" s="1"/>
  <c r="H229" i="11"/>
  <c r="I229" i="11" s="1"/>
  <c r="L229" i="11"/>
  <c r="M229" i="11" s="1"/>
  <c r="H164" i="11"/>
  <c r="I164" i="11" s="1"/>
  <c r="L164" i="11"/>
  <c r="M164" i="11" s="1"/>
  <c r="H56" i="11"/>
  <c r="I56" i="11" s="1"/>
  <c r="L56" i="11"/>
  <c r="M56" i="11" s="1"/>
  <c r="H217" i="11"/>
  <c r="I217" i="11" s="1"/>
  <c r="L217" i="11"/>
  <c r="M217" i="11" s="1"/>
  <c r="H201" i="11"/>
  <c r="I201" i="11" s="1"/>
  <c r="L201" i="11"/>
  <c r="M201" i="11" s="1"/>
  <c r="H185" i="11"/>
  <c r="I185" i="11" s="1"/>
  <c r="L185" i="11"/>
  <c r="M185" i="11" s="1"/>
  <c r="L169" i="11"/>
  <c r="M169" i="11" s="1"/>
  <c r="H169" i="11"/>
  <c r="I169" i="11" s="1"/>
  <c r="H153" i="11"/>
  <c r="I153" i="11" s="1"/>
  <c r="L153" i="11"/>
  <c r="M153" i="11" s="1"/>
  <c r="H135" i="11"/>
  <c r="I135" i="11" s="1"/>
  <c r="L135" i="11"/>
  <c r="M135" i="11" s="1"/>
  <c r="L103" i="11"/>
  <c r="M103" i="11" s="1"/>
  <c r="H103" i="11"/>
  <c r="I103" i="11" s="1"/>
  <c r="H87" i="11"/>
  <c r="I87" i="11" s="1"/>
  <c r="L87" i="11"/>
  <c r="M87" i="11" s="1"/>
  <c r="L41" i="11"/>
  <c r="M41" i="11" s="1"/>
  <c r="H41" i="11"/>
  <c r="I41" i="11" s="1"/>
  <c r="L116" i="11"/>
  <c r="M116" i="11" s="1"/>
  <c r="H116" i="11"/>
  <c r="I116" i="11" s="1"/>
  <c r="L110" i="11"/>
  <c r="M110" i="11" s="1"/>
  <c r="H110" i="11"/>
  <c r="I110" i="11" s="1"/>
  <c r="H78" i="11"/>
  <c r="I78" i="11" s="1"/>
  <c r="L78" i="11"/>
  <c r="M78" i="11" s="1"/>
  <c r="H53" i="11"/>
  <c r="I53" i="11" s="1"/>
  <c r="L53" i="11"/>
  <c r="M53" i="11" s="1"/>
  <c r="H128" i="11"/>
  <c r="I128" i="11" s="1"/>
  <c r="L128" i="11"/>
  <c r="M128" i="11" s="1"/>
  <c r="H63" i="11"/>
  <c r="I63" i="11" s="1"/>
  <c r="L63" i="11"/>
  <c r="M63" i="11" s="1"/>
  <c r="H89" i="11"/>
  <c r="I89" i="11" s="1"/>
  <c r="L89" i="11"/>
  <c r="M89" i="11" s="1"/>
  <c r="L105" i="11"/>
  <c r="M105" i="11" s="1"/>
  <c r="H105" i="11"/>
  <c r="I105" i="11" s="1"/>
  <c r="H137" i="11"/>
  <c r="I137" i="11" s="1"/>
  <c r="L137" i="11"/>
  <c r="M137" i="11" s="1"/>
  <c r="H171" i="11"/>
  <c r="I171" i="11" s="1"/>
  <c r="L171" i="11"/>
  <c r="M171" i="11" s="1"/>
  <c r="H203" i="11"/>
  <c r="I203" i="11" s="1"/>
  <c r="L203" i="11"/>
  <c r="M203" i="11" s="1"/>
  <c r="H235" i="11"/>
  <c r="I235" i="11" s="1"/>
  <c r="L235" i="11"/>
  <c r="M235" i="11" s="1"/>
  <c r="H267" i="11"/>
  <c r="I267" i="11" s="1"/>
  <c r="L267" i="11"/>
  <c r="M267" i="11" s="1"/>
  <c r="H293" i="11"/>
  <c r="I293" i="11" s="1"/>
  <c r="L293" i="11"/>
  <c r="M293" i="11" s="1"/>
  <c r="H309" i="11"/>
  <c r="I309" i="11" s="1"/>
  <c r="L309" i="11"/>
  <c r="M309" i="11" s="1"/>
  <c r="H268" i="11"/>
  <c r="I268" i="11" s="1"/>
  <c r="L268" i="11"/>
  <c r="M268" i="11" s="1"/>
  <c r="H306" i="11"/>
  <c r="I306" i="11" s="1"/>
  <c r="L306" i="11"/>
  <c r="M306" i="11" s="1"/>
  <c r="H264" i="11"/>
  <c r="I264" i="11" s="1"/>
  <c r="L264" i="11"/>
  <c r="M264" i="11" s="1"/>
  <c r="H200" i="11"/>
  <c r="I200" i="11" s="1"/>
  <c r="L200" i="11"/>
  <c r="M200" i="11" s="1"/>
  <c r="H26" i="11"/>
  <c r="I26" i="11" s="1"/>
  <c r="L26" i="11"/>
  <c r="M26" i="11" s="1"/>
  <c r="H282" i="11"/>
  <c r="I282" i="11" s="1"/>
  <c r="L282" i="11"/>
  <c r="M282" i="11" s="1"/>
  <c r="H266" i="11"/>
  <c r="I266" i="11" s="1"/>
  <c r="L266" i="11"/>
  <c r="M266" i="11" s="1"/>
  <c r="H250" i="11"/>
  <c r="I250" i="11" s="1"/>
  <c r="L250" i="11"/>
  <c r="M250" i="11" s="1"/>
  <c r="H234" i="11"/>
  <c r="I234" i="11" s="1"/>
  <c r="L234" i="11"/>
  <c r="M234" i="11" s="1"/>
  <c r="L218" i="11"/>
  <c r="M218" i="11" s="1"/>
  <c r="H218" i="11"/>
  <c r="I218" i="11" s="1"/>
  <c r="H156" i="11"/>
  <c r="I156" i="11" s="1"/>
  <c r="L156" i="11"/>
  <c r="M156" i="11" s="1"/>
  <c r="H48" i="11"/>
  <c r="I48" i="11" s="1"/>
  <c r="L48" i="11"/>
  <c r="M48" i="11" s="1"/>
  <c r="H206" i="11"/>
  <c r="I206" i="11" s="1"/>
  <c r="L206" i="11"/>
  <c r="M206" i="11" s="1"/>
  <c r="H190" i="11"/>
  <c r="I190" i="11" s="1"/>
  <c r="L190" i="11"/>
  <c r="M190" i="11" s="1"/>
  <c r="H174" i="11"/>
  <c r="I174" i="11" s="1"/>
  <c r="L174" i="11"/>
  <c r="M174" i="11" s="1"/>
  <c r="H158" i="11"/>
  <c r="I158" i="11" s="1"/>
  <c r="L158" i="11"/>
  <c r="M158" i="11" s="1"/>
  <c r="H142" i="11"/>
  <c r="I142" i="11" s="1"/>
  <c r="L142" i="11"/>
  <c r="M142" i="11" s="1"/>
  <c r="H143" i="11"/>
  <c r="I143" i="11" s="1"/>
  <c r="L143" i="11"/>
  <c r="M143" i="11" s="1"/>
  <c r="H223" i="11"/>
  <c r="I223" i="11" s="1"/>
  <c r="L223" i="11"/>
  <c r="M223" i="11" s="1"/>
  <c r="H287" i="11"/>
  <c r="I287" i="11" s="1"/>
  <c r="L287" i="11"/>
  <c r="M287" i="11" s="1"/>
  <c r="H286" i="11"/>
  <c r="I286" i="11" s="1"/>
  <c r="L286" i="11"/>
  <c r="M286" i="11" s="1"/>
  <c r="H160" i="11"/>
  <c r="I160" i="11" s="1"/>
  <c r="L160" i="11"/>
  <c r="M160" i="11" s="1"/>
  <c r="H18" i="11"/>
  <c r="I18" i="11" s="1"/>
  <c r="L18" i="11"/>
  <c r="M18" i="11" s="1"/>
  <c r="H257" i="11"/>
  <c r="I257" i="11" s="1"/>
  <c r="L257" i="11"/>
  <c r="M257" i="11" s="1"/>
  <c r="H225" i="11"/>
  <c r="I225" i="11" s="1"/>
  <c r="L225" i="11"/>
  <c r="M225" i="11" s="1"/>
  <c r="H180" i="11"/>
  <c r="I180" i="11" s="1"/>
  <c r="L180" i="11"/>
  <c r="M180" i="11" s="1"/>
  <c r="L40" i="11"/>
  <c r="M40" i="11" s="1"/>
  <c r="H40" i="11"/>
  <c r="I40" i="11" s="1"/>
  <c r="H197" i="11"/>
  <c r="I197" i="11" s="1"/>
  <c r="L197" i="11"/>
  <c r="M197" i="11" s="1"/>
  <c r="H165" i="11"/>
  <c r="I165" i="11" s="1"/>
  <c r="L165" i="11"/>
  <c r="M165" i="11" s="1"/>
  <c r="L127" i="11"/>
  <c r="M127" i="11" s="1"/>
  <c r="H127" i="11"/>
  <c r="I127" i="11" s="1"/>
  <c r="H62" i="11"/>
  <c r="I62" i="11" s="1"/>
  <c r="L62" i="11"/>
  <c r="M62" i="11" s="1"/>
  <c r="L102" i="11"/>
  <c r="M102" i="11" s="1"/>
  <c r="H102" i="11"/>
  <c r="I102" i="11" s="1"/>
  <c r="L112" i="11"/>
  <c r="M112" i="11" s="1"/>
  <c r="H112" i="11"/>
  <c r="I112" i="11" s="1"/>
  <c r="H9" i="11"/>
  <c r="I9" i="11" s="1"/>
  <c r="L9" i="11"/>
  <c r="M9" i="11" s="1"/>
  <c r="H300" i="11"/>
  <c r="I300" i="11" s="1"/>
  <c r="L300" i="11"/>
  <c r="M300" i="11" s="1"/>
  <c r="H280" i="11"/>
  <c r="I280" i="11" s="1"/>
  <c r="L280" i="11"/>
  <c r="M280" i="11" s="1"/>
  <c r="H296" i="11"/>
  <c r="I296" i="11" s="1"/>
  <c r="L296" i="11"/>
  <c r="M296" i="11" s="1"/>
  <c r="H308" i="11"/>
  <c r="I308" i="11" s="1"/>
  <c r="L308" i="11"/>
  <c r="M308" i="11" s="1"/>
  <c r="H284" i="11"/>
  <c r="I284" i="11" s="1"/>
  <c r="L284" i="11"/>
  <c r="M284" i="11" s="1"/>
  <c r="H312" i="11"/>
  <c r="I312" i="11" s="1"/>
  <c r="L312" i="11"/>
  <c r="M312" i="11" s="1"/>
  <c r="H276" i="11"/>
  <c r="I276" i="11" s="1"/>
  <c r="L276" i="11"/>
  <c r="M276" i="11" s="1"/>
  <c r="H292" i="11"/>
  <c r="I292" i="11" s="1"/>
  <c r="L292" i="11"/>
  <c r="M292" i="11" s="1"/>
  <c r="N131" i="33"/>
  <c r="D131" i="37" s="1"/>
  <c r="C131" i="11"/>
  <c r="C142" i="34"/>
  <c r="E132" i="25"/>
  <c r="M132" i="49"/>
  <c r="H304" i="11"/>
  <c r="I304" i="11" s="1"/>
  <c r="L304" i="11"/>
  <c r="M304" i="11" s="1"/>
  <c r="H99" i="11"/>
  <c r="I99" i="11" s="1"/>
  <c r="L99" i="11"/>
  <c r="M99" i="11" s="1"/>
  <c r="H83" i="11"/>
  <c r="I83" i="11" s="1"/>
  <c r="L83" i="11"/>
  <c r="M83" i="11" s="1"/>
  <c r="H33" i="11"/>
  <c r="I33" i="11" s="1"/>
  <c r="L33" i="11"/>
  <c r="M33" i="11" s="1"/>
  <c r="L108" i="11"/>
  <c r="M108" i="11" s="1"/>
  <c r="H108" i="11"/>
  <c r="I108" i="11" s="1"/>
  <c r="L106" i="11"/>
  <c r="M106" i="11" s="1"/>
  <c r="H106" i="11"/>
  <c r="I106" i="11" s="1"/>
  <c r="H74" i="11"/>
  <c r="I74" i="11" s="1"/>
  <c r="L74" i="11"/>
  <c r="M74" i="11" s="1"/>
  <c r="L45" i="11"/>
  <c r="M45" i="11" s="1"/>
  <c r="H45" i="11"/>
  <c r="I45" i="11" s="1"/>
  <c r="L120" i="11"/>
  <c r="M120" i="11" s="1"/>
  <c r="H120" i="11"/>
  <c r="I120" i="11" s="1"/>
  <c r="H51" i="11"/>
  <c r="I51" i="11" s="1"/>
  <c r="L51" i="11"/>
  <c r="M51" i="11" s="1"/>
  <c r="H77" i="11"/>
  <c r="I77" i="11" s="1"/>
  <c r="L77" i="11"/>
  <c r="M77" i="11" s="1"/>
  <c r="H93" i="11"/>
  <c r="I93" i="11" s="1"/>
  <c r="L93" i="11"/>
  <c r="M93" i="11" s="1"/>
  <c r="L125" i="11"/>
  <c r="M125" i="11" s="1"/>
  <c r="H125" i="11"/>
  <c r="I125" i="11" s="1"/>
  <c r="H175" i="11"/>
  <c r="I175" i="11" s="1"/>
  <c r="L175" i="11"/>
  <c r="M175" i="11" s="1"/>
  <c r="H239" i="11"/>
  <c r="I239" i="11" s="1"/>
  <c r="L239" i="11"/>
  <c r="M239" i="11" s="1"/>
  <c r="H295" i="11"/>
  <c r="I295" i="11" s="1"/>
  <c r="L295" i="11"/>
  <c r="M295" i="11" s="1"/>
  <c r="H302" i="11"/>
  <c r="I302" i="11" s="1"/>
  <c r="L302" i="11"/>
  <c r="M302" i="11" s="1"/>
  <c r="H192" i="11"/>
  <c r="I192" i="11" s="1"/>
  <c r="L192" i="11"/>
  <c r="M192" i="11" s="1"/>
  <c r="H52" i="11"/>
  <c r="I52" i="11" s="1"/>
  <c r="L52" i="11"/>
  <c r="M52" i="11" s="1"/>
  <c r="H265" i="11"/>
  <c r="I265" i="11" s="1"/>
  <c r="L265" i="11"/>
  <c r="M265" i="11" s="1"/>
  <c r="H233" i="11"/>
  <c r="I233" i="11" s="1"/>
  <c r="L233" i="11"/>
  <c r="M233" i="11" s="1"/>
  <c r="H212" i="11"/>
  <c r="I212" i="11" s="1"/>
  <c r="L212" i="11"/>
  <c r="M212" i="11" s="1"/>
  <c r="H205" i="11"/>
  <c r="I205" i="11" s="1"/>
  <c r="L205" i="11"/>
  <c r="M205" i="11" s="1"/>
  <c r="H173" i="11"/>
  <c r="I173" i="11" s="1"/>
  <c r="L173" i="11"/>
  <c r="M173" i="11" s="1"/>
  <c r="H141" i="11"/>
  <c r="I141" i="11" s="1"/>
  <c r="L141" i="11"/>
  <c r="M141" i="11" s="1"/>
  <c r="H68" i="11"/>
  <c r="I68" i="11" s="1"/>
  <c r="L68" i="11"/>
  <c r="M68" i="11" s="1"/>
  <c r="H23" i="11"/>
  <c r="I23" i="11" s="1"/>
  <c r="L23" i="11"/>
  <c r="M23" i="11" s="1"/>
  <c r="L118" i="11"/>
  <c r="M118" i="11" s="1"/>
  <c r="H118" i="11"/>
  <c r="I118" i="11" s="1"/>
  <c r="L42" i="11"/>
  <c r="M42" i="11" s="1"/>
  <c r="H42" i="11"/>
  <c r="I42" i="11" s="1"/>
  <c r="H31" i="11"/>
  <c r="I31" i="11" s="1"/>
  <c r="L31" i="11"/>
  <c r="M31" i="11" s="1"/>
  <c r="H8" i="11"/>
  <c r="I8" i="11" s="1"/>
  <c r="L8" i="11"/>
  <c r="M8" i="11" s="1"/>
  <c r="H55" i="11"/>
  <c r="I55" i="11" s="1"/>
  <c r="L55" i="11"/>
  <c r="M55" i="11" s="1"/>
  <c r="H81" i="11"/>
  <c r="I81" i="11" s="1"/>
  <c r="L81" i="11"/>
  <c r="M81" i="11" s="1"/>
  <c r="H97" i="11"/>
  <c r="I97" i="11" s="1"/>
  <c r="L97" i="11"/>
  <c r="M97" i="11" s="1"/>
  <c r="H129" i="11"/>
  <c r="I129" i="11" s="1"/>
  <c r="L129" i="11"/>
  <c r="M129" i="11" s="1"/>
  <c r="H163" i="11"/>
  <c r="I163" i="11" s="1"/>
  <c r="L163" i="11"/>
  <c r="M163" i="11" s="1"/>
  <c r="L195" i="11"/>
  <c r="M195" i="11" s="1"/>
  <c r="H195" i="11"/>
  <c r="I195" i="11" s="1"/>
  <c r="H227" i="11"/>
  <c r="I227" i="11" s="1"/>
  <c r="L227" i="11"/>
  <c r="M227" i="11" s="1"/>
  <c r="H259" i="11"/>
  <c r="I259" i="11" s="1"/>
  <c r="L259" i="11"/>
  <c r="M259" i="11" s="1"/>
  <c r="H289" i="11"/>
  <c r="I289" i="11" s="1"/>
  <c r="L289" i="11"/>
  <c r="M289" i="11" s="1"/>
  <c r="H305" i="11"/>
  <c r="I305" i="11" s="1"/>
  <c r="L305" i="11"/>
  <c r="M305" i="11" s="1"/>
  <c r="H220" i="11"/>
  <c r="I220" i="11" s="1"/>
  <c r="L220" i="11"/>
  <c r="M220" i="11" s="1"/>
  <c r="H248" i="11"/>
  <c r="I248" i="11" s="1"/>
  <c r="L248" i="11"/>
  <c r="M248" i="11" s="1"/>
  <c r="H184" i="11"/>
  <c r="I184" i="11" s="1"/>
  <c r="L184" i="11"/>
  <c r="M184" i="11" s="1"/>
  <c r="H10" i="11"/>
  <c r="I10" i="11" s="1"/>
  <c r="L10" i="11"/>
  <c r="M10" i="11" s="1"/>
  <c r="H278" i="11"/>
  <c r="I278" i="11" s="1"/>
  <c r="L278" i="11"/>
  <c r="M278" i="11" s="1"/>
  <c r="H262" i="11"/>
  <c r="I262" i="11" s="1"/>
  <c r="L262" i="11"/>
  <c r="M262" i="11" s="1"/>
  <c r="H246" i="11"/>
  <c r="I246" i="11" s="1"/>
  <c r="L246" i="11"/>
  <c r="M246" i="11" s="1"/>
  <c r="H230" i="11"/>
  <c r="I230" i="11" s="1"/>
  <c r="L230" i="11"/>
  <c r="M230" i="11" s="1"/>
  <c r="H204" i="11"/>
  <c r="I204" i="11" s="1"/>
  <c r="L204" i="11"/>
  <c r="M204" i="11" s="1"/>
  <c r="H32" i="11"/>
  <c r="I32" i="11" s="1"/>
  <c r="L32" i="11"/>
  <c r="M32" i="11" s="1"/>
  <c r="H202" i="11"/>
  <c r="I202" i="11" s="1"/>
  <c r="L202" i="11"/>
  <c r="M202" i="11" s="1"/>
  <c r="H186" i="11"/>
  <c r="I186" i="11" s="1"/>
  <c r="L186" i="11"/>
  <c r="M186" i="11" s="1"/>
  <c r="H170" i="11"/>
  <c r="I170" i="11" s="1"/>
  <c r="L170" i="11"/>
  <c r="M170" i="11" s="1"/>
  <c r="H154" i="11"/>
  <c r="I154" i="11" s="1"/>
  <c r="L154" i="11"/>
  <c r="M154" i="11" s="1"/>
  <c r="L123" i="11"/>
  <c r="M123" i="11" s="1"/>
  <c r="H123" i="11"/>
  <c r="I123" i="11" s="1"/>
  <c r="H91" i="11"/>
  <c r="I91" i="11" s="1"/>
  <c r="L91" i="11"/>
  <c r="M91" i="11" s="1"/>
  <c r="H75" i="11"/>
  <c r="I75" i="11" s="1"/>
  <c r="L75" i="11"/>
  <c r="M75" i="11" s="1"/>
  <c r="H92" i="11"/>
  <c r="I92" i="11" s="1"/>
  <c r="L92" i="11"/>
  <c r="M92" i="11" s="1"/>
  <c r="H29" i="11"/>
  <c r="I29" i="11" s="1"/>
  <c r="L29" i="11"/>
  <c r="M29" i="11" s="1"/>
  <c r="H54" i="11"/>
  <c r="I54" i="11" s="1"/>
  <c r="L54" i="11"/>
  <c r="M54" i="11" s="1"/>
  <c r="H15" i="11"/>
  <c r="I15" i="11" s="1"/>
  <c r="L15" i="11"/>
  <c r="M15" i="11" s="1"/>
  <c r="H130" i="11"/>
  <c r="I130" i="11" s="1"/>
  <c r="L130" i="11"/>
  <c r="M130" i="11" s="1"/>
  <c r="H98" i="11"/>
  <c r="I98" i="11" s="1"/>
  <c r="L98" i="11"/>
  <c r="M98" i="11" s="1"/>
  <c r="H136" i="11"/>
  <c r="I136" i="11" s="1"/>
  <c r="L136" i="11"/>
  <c r="M136" i="11" s="1"/>
  <c r="L104" i="11"/>
  <c r="M104" i="11" s="1"/>
  <c r="H104" i="11"/>
  <c r="I104" i="11" s="1"/>
  <c r="H66" i="11"/>
  <c r="I66" i="11" s="1"/>
  <c r="L66" i="11"/>
  <c r="M66" i="11" s="1"/>
  <c r="H12" i="11"/>
  <c r="I12" i="11" s="1"/>
  <c r="L12" i="11"/>
  <c r="M12" i="11" s="1"/>
  <c r="H59" i="11"/>
  <c r="I59" i="11" s="1"/>
  <c r="L59" i="11"/>
  <c r="M59" i="11" s="1"/>
  <c r="H85" i="11"/>
  <c r="I85" i="11" s="1"/>
  <c r="L85" i="11"/>
  <c r="M85" i="11" s="1"/>
  <c r="L101" i="11"/>
  <c r="M101" i="11" s="1"/>
  <c r="H101" i="11"/>
  <c r="I101" i="11" s="1"/>
  <c r="H133" i="11"/>
  <c r="I133" i="11" s="1"/>
  <c r="L133" i="11"/>
  <c r="M133" i="11" s="1"/>
  <c r="H167" i="11"/>
  <c r="I167" i="11" s="1"/>
  <c r="L167" i="11"/>
  <c r="M167" i="11" s="1"/>
  <c r="H199" i="11"/>
  <c r="I199" i="11" s="1"/>
  <c r="L199" i="11"/>
  <c r="M199" i="11" s="1"/>
  <c r="H231" i="11"/>
  <c r="I231" i="11" s="1"/>
  <c r="L231" i="11"/>
  <c r="M231" i="11" s="1"/>
  <c r="H263" i="11"/>
  <c r="I263" i="11" s="1"/>
  <c r="L263" i="11"/>
  <c r="M263" i="11" s="1"/>
  <c r="H291" i="11"/>
  <c r="I291" i="11" s="1"/>
  <c r="L291" i="11"/>
  <c r="M291" i="11" s="1"/>
  <c r="H307" i="11"/>
  <c r="I307" i="11" s="1"/>
  <c r="L307" i="11"/>
  <c r="M307" i="11" s="1"/>
  <c r="H244" i="11"/>
  <c r="I244" i="11" s="1"/>
  <c r="L244" i="11"/>
  <c r="M244" i="11" s="1"/>
  <c r="H294" i="11"/>
  <c r="I294" i="11" s="1"/>
  <c r="L294" i="11"/>
  <c r="M294" i="11" s="1"/>
  <c r="H240" i="11"/>
  <c r="I240" i="11" s="1"/>
  <c r="L240" i="11"/>
  <c r="M240" i="11" s="1"/>
  <c r="H176" i="11"/>
  <c r="I176" i="11" s="1"/>
  <c r="L176" i="11"/>
  <c r="M176" i="11" s="1"/>
  <c r="H285" i="11"/>
  <c r="I285" i="11" s="1"/>
  <c r="L285" i="11"/>
  <c r="M285" i="11" s="1"/>
  <c r="H269" i="11"/>
  <c r="I269" i="11" s="1"/>
  <c r="L269" i="11"/>
  <c r="M269" i="11" s="1"/>
  <c r="H253" i="11"/>
  <c r="I253" i="11" s="1"/>
  <c r="L253" i="11"/>
  <c r="M253" i="11" s="1"/>
  <c r="H237" i="11"/>
  <c r="I237" i="11" s="1"/>
  <c r="L237" i="11"/>
  <c r="M237" i="11" s="1"/>
  <c r="H221" i="11"/>
  <c r="I221" i="11" s="1"/>
  <c r="L221" i="11"/>
  <c r="M221" i="11" s="1"/>
  <c r="H196" i="11"/>
  <c r="I196" i="11" s="1"/>
  <c r="L196" i="11"/>
  <c r="M196" i="11" s="1"/>
  <c r="H30" i="11"/>
  <c r="I30" i="11" s="1"/>
  <c r="L30" i="11"/>
  <c r="M30" i="11" s="1"/>
  <c r="H209" i="11"/>
  <c r="I209" i="11" s="1"/>
  <c r="L209" i="11"/>
  <c r="M209" i="11" s="1"/>
  <c r="H193" i="11"/>
  <c r="I193" i="11" s="1"/>
  <c r="L193" i="11"/>
  <c r="M193" i="11" s="1"/>
  <c r="H177" i="11"/>
  <c r="I177" i="11" s="1"/>
  <c r="L177" i="11"/>
  <c r="M177" i="11" s="1"/>
  <c r="H161" i="11"/>
  <c r="I161" i="11" s="1"/>
  <c r="L161" i="11"/>
  <c r="M161" i="11" s="1"/>
  <c r="H145" i="11"/>
  <c r="I145" i="11" s="1"/>
  <c r="L145" i="11"/>
  <c r="M145" i="11" s="1"/>
  <c r="L119" i="11"/>
  <c r="M119" i="11" s="1"/>
  <c r="H119" i="11"/>
  <c r="I119" i="11" s="1"/>
  <c r="H71" i="11"/>
  <c r="I71" i="11" s="1"/>
  <c r="L71" i="11"/>
  <c r="M71" i="11" s="1"/>
  <c r="H84" i="11"/>
  <c r="I84" i="11" s="1"/>
  <c r="L84" i="11"/>
  <c r="M84" i="11" s="1"/>
  <c r="H21" i="11"/>
  <c r="I21" i="11" s="1"/>
  <c r="L21" i="11"/>
  <c r="M21" i="11" s="1"/>
  <c r="L46" i="11"/>
  <c r="M46" i="11" s="1"/>
  <c r="H46" i="11"/>
  <c r="I46" i="11" s="1"/>
  <c r="H7" i="11"/>
  <c r="I7" i="11" s="1"/>
  <c r="L7" i="11"/>
  <c r="M7" i="11" s="1"/>
  <c r="L126" i="11"/>
  <c r="M126" i="11" s="1"/>
  <c r="H126" i="11"/>
  <c r="I126" i="11" s="1"/>
  <c r="H94" i="11"/>
  <c r="I94" i="11" s="1"/>
  <c r="L94" i="11"/>
  <c r="M94" i="11" s="1"/>
  <c r="H96" i="11"/>
  <c r="I96" i="11" s="1"/>
  <c r="L96" i="11"/>
  <c r="M96" i="11" s="1"/>
  <c r="H25" i="11"/>
  <c r="I25" i="11" s="1"/>
  <c r="L25" i="11"/>
  <c r="M25" i="11" s="1"/>
  <c r="H58" i="11"/>
  <c r="I58" i="11" s="1"/>
  <c r="L58" i="11"/>
  <c r="M58" i="11" s="1"/>
  <c r="H27" i="11"/>
  <c r="I27" i="11" s="1"/>
  <c r="L27" i="11"/>
  <c r="M27" i="11" s="1"/>
  <c r="H16" i="11"/>
  <c r="I16" i="11" s="1"/>
  <c r="L16" i="11"/>
  <c r="M16" i="11" s="1"/>
  <c r="L47" i="11"/>
  <c r="M47" i="11" s="1"/>
  <c r="H47" i="11"/>
  <c r="I47" i="11" s="1"/>
  <c r="H73" i="11"/>
  <c r="I73" i="11" s="1"/>
  <c r="L73" i="11"/>
  <c r="M73" i="11" s="1"/>
  <c r="L121" i="11"/>
  <c r="M121" i="11" s="1"/>
  <c r="H121" i="11"/>
  <c r="I121" i="11" s="1"/>
  <c r="H155" i="11"/>
  <c r="I155" i="11" s="1"/>
  <c r="L155" i="11"/>
  <c r="M155" i="11" s="1"/>
  <c r="H187" i="11"/>
  <c r="I187" i="11" s="1"/>
  <c r="L187" i="11"/>
  <c r="M187" i="11" s="1"/>
  <c r="H219" i="11"/>
  <c r="I219" i="11" s="1"/>
  <c r="L219" i="11"/>
  <c r="M219" i="11" s="1"/>
  <c r="H251" i="11"/>
  <c r="I251" i="11" s="1"/>
  <c r="L251" i="11"/>
  <c r="M251" i="11" s="1"/>
  <c r="H283" i="11"/>
  <c r="I283" i="11" s="1"/>
  <c r="L283" i="11"/>
  <c r="M283" i="11" s="1"/>
  <c r="H301" i="11"/>
  <c r="I301" i="11" s="1"/>
  <c r="L301" i="11"/>
  <c r="M301" i="11" s="1"/>
  <c r="H236" i="11"/>
  <c r="I236" i="11" s="1"/>
  <c r="L236" i="11"/>
  <c r="M236" i="11" s="1"/>
  <c r="H290" i="11"/>
  <c r="I290" i="11" s="1"/>
  <c r="L290" i="11"/>
  <c r="M290" i="11" s="1"/>
  <c r="H232" i="11"/>
  <c r="I232" i="11" s="1"/>
  <c r="L232" i="11"/>
  <c r="M232" i="11" s="1"/>
  <c r="H168" i="11"/>
  <c r="I168" i="11" s="1"/>
  <c r="L168" i="11"/>
  <c r="M168" i="11" s="1"/>
  <c r="H60" i="11"/>
  <c r="I60" i="11" s="1"/>
  <c r="L60" i="11"/>
  <c r="M60" i="11" s="1"/>
  <c r="H274" i="11"/>
  <c r="I274" i="11" s="1"/>
  <c r="L274" i="11"/>
  <c r="M274" i="11" s="1"/>
  <c r="H258" i="11"/>
  <c r="I258" i="11" s="1"/>
  <c r="L258" i="11"/>
  <c r="M258" i="11" s="1"/>
  <c r="H242" i="11"/>
  <c r="I242" i="11" s="1"/>
  <c r="L242" i="11"/>
  <c r="M242" i="11" s="1"/>
  <c r="H226" i="11"/>
  <c r="I226" i="11" s="1"/>
  <c r="L226" i="11"/>
  <c r="M226" i="11" s="1"/>
  <c r="H188" i="11"/>
  <c r="I188" i="11" s="1"/>
  <c r="L188" i="11"/>
  <c r="M188" i="11" s="1"/>
  <c r="H22" i="11"/>
  <c r="I22" i="11" s="1"/>
  <c r="L22" i="11"/>
  <c r="M22" i="11" s="1"/>
  <c r="H214" i="11"/>
  <c r="I214" i="11" s="1"/>
  <c r="L214" i="11"/>
  <c r="M214" i="11" s="1"/>
  <c r="H198" i="11"/>
  <c r="I198" i="11" s="1"/>
  <c r="L198" i="11"/>
  <c r="M198" i="11" s="1"/>
  <c r="H182" i="11"/>
  <c r="I182" i="11" s="1"/>
  <c r="L182" i="11"/>
  <c r="M182" i="11" s="1"/>
  <c r="H166" i="11"/>
  <c r="I166" i="11" s="1"/>
  <c r="L166" i="11"/>
  <c r="M166" i="11" s="1"/>
  <c r="H150" i="11"/>
  <c r="I150" i="11" s="1"/>
  <c r="L150" i="11"/>
  <c r="M150" i="11" s="1"/>
  <c r="H191" i="11"/>
  <c r="I191" i="11" s="1"/>
  <c r="L191" i="11"/>
  <c r="M191" i="11" s="1"/>
  <c r="H255" i="11"/>
  <c r="I255" i="11" s="1"/>
  <c r="L255" i="11"/>
  <c r="M255" i="11" s="1"/>
  <c r="H303" i="11"/>
  <c r="I303" i="11" s="1"/>
  <c r="L303" i="11"/>
  <c r="M303" i="11" s="1"/>
  <c r="H228" i="11"/>
  <c r="I228" i="11" s="1"/>
  <c r="L228" i="11"/>
  <c r="M228" i="11" s="1"/>
  <c r="H224" i="11"/>
  <c r="I224" i="11" s="1"/>
  <c r="L224" i="11"/>
  <c r="M224" i="11" s="1"/>
  <c r="H273" i="11"/>
  <c r="I273" i="11" s="1"/>
  <c r="L273" i="11"/>
  <c r="M273" i="11" s="1"/>
  <c r="H241" i="11"/>
  <c r="I241" i="11" s="1"/>
  <c r="L241" i="11"/>
  <c r="M241" i="11" s="1"/>
  <c r="H213" i="11"/>
  <c r="I213" i="11" s="1"/>
  <c r="L213" i="11"/>
  <c r="M213" i="11" s="1"/>
  <c r="H181" i="11"/>
  <c r="I181" i="11" s="1"/>
  <c r="L181" i="11"/>
  <c r="M181" i="11" s="1"/>
  <c r="H149" i="11"/>
  <c r="I149" i="11" s="1"/>
  <c r="L149" i="11"/>
  <c r="M149" i="11" s="1"/>
  <c r="H95" i="11"/>
  <c r="I95" i="11" s="1"/>
  <c r="L95" i="11"/>
  <c r="M95" i="11" s="1"/>
  <c r="H57" i="11"/>
  <c r="I57" i="11" s="1"/>
  <c r="L57" i="11"/>
  <c r="M57" i="11" s="1"/>
  <c r="H132" i="11"/>
  <c r="I132" i="11" s="1"/>
  <c r="L132" i="11"/>
  <c r="M132" i="11" s="1"/>
  <c r="H134" i="11"/>
  <c r="I134" i="11" s="1"/>
  <c r="L134" i="11"/>
  <c r="M134" i="11" s="1"/>
  <c r="H70" i="11"/>
  <c r="I70" i="11" s="1"/>
  <c r="L70" i="11"/>
  <c r="M70" i="11" s="1"/>
  <c r="H11" i="11"/>
  <c r="I11" i="11" s="1"/>
  <c r="L11" i="11"/>
  <c r="M11" i="11" s="1"/>
  <c r="E320" i="9"/>
  <c r="M314" i="33"/>
  <c r="N314" i="33" s="1"/>
  <c r="C16" i="34"/>
  <c r="N5" i="33"/>
  <c r="C5" i="11"/>
  <c r="E6" i="25"/>
  <c r="C325" i="34" l="1"/>
  <c r="F15" i="34" s="1"/>
  <c r="E315" i="25"/>
  <c r="H131" i="11"/>
  <c r="I131" i="11" s="1"/>
  <c r="L131" i="11"/>
  <c r="M131" i="11" s="1"/>
  <c r="O86" i="33"/>
  <c r="O88" i="33"/>
  <c r="O312" i="33"/>
  <c r="O308" i="33"/>
  <c r="O304" i="33"/>
  <c r="O300" i="33"/>
  <c r="O296" i="33"/>
  <c r="O292" i="33"/>
  <c r="O288" i="33"/>
  <c r="O284" i="33"/>
  <c r="O279" i="33"/>
  <c r="O313" i="33"/>
  <c r="O309" i="33"/>
  <c r="O305" i="33"/>
  <c r="O301" i="33"/>
  <c r="O297" i="33"/>
  <c r="O293" i="33"/>
  <c r="O289" i="33"/>
  <c r="O285" i="33"/>
  <c r="O277" i="33"/>
  <c r="O271" i="33"/>
  <c r="O267" i="33"/>
  <c r="O263" i="33"/>
  <c r="O259" i="33"/>
  <c r="O255" i="33"/>
  <c r="O251" i="33"/>
  <c r="O247" i="33"/>
  <c r="O243" i="33"/>
  <c r="O239" i="33"/>
  <c r="O235" i="33"/>
  <c r="O231" i="33"/>
  <c r="O227" i="33"/>
  <c r="O223" i="33"/>
  <c r="O219" i="33"/>
  <c r="O215" i="33"/>
  <c r="O211" i="33"/>
  <c r="O207" i="33"/>
  <c r="O203" i="33"/>
  <c r="O199" i="33"/>
  <c r="O195" i="33"/>
  <c r="O191" i="33"/>
  <c r="O187" i="33"/>
  <c r="O183" i="33"/>
  <c r="O179" i="33"/>
  <c r="O175" i="33"/>
  <c r="O171" i="33"/>
  <c r="O167" i="33"/>
  <c r="O163" i="33"/>
  <c r="O159" i="33"/>
  <c r="O155" i="33"/>
  <c r="O151" i="33"/>
  <c r="O147" i="33"/>
  <c r="O143" i="33"/>
  <c r="O139" i="33"/>
  <c r="O280" i="33"/>
  <c r="O276" i="33"/>
  <c r="O273" i="33"/>
  <c r="O269" i="33"/>
  <c r="O265" i="33"/>
  <c r="O261" i="33"/>
  <c r="O257" i="33"/>
  <c r="O253" i="33"/>
  <c r="O249" i="33"/>
  <c r="O245" i="33"/>
  <c r="O241" i="33"/>
  <c r="O237" i="33"/>
  <c r="O233" i="33"/>
  <c r="O229" i="33"/>
  <c r="O225" i="33"/>
  <c r="O221" i="33"/>
  <c r="O217" i="33"/>
  <c r="O213" i="33"/>
  <c r="O209" i="33"/>
  <c r="O205" i="33"/>
  <c r="O201" i="33"/>
  <c r="O197" i="33"/>
  <c r="O193" i="33"/>
  <c r="O189" i="33"/>
  <c r="O185" i="33"/>
  <c r="O181" i="33"/>
  <c r="O177" i="33"/>
  <c r="O173" i="33"/>
  <c r="O169" i="33"/>
  <c r="O165" i="33"/>
  <c r="O161" i="33"/>
  <c r="O157" i="33"/>
  <c r="O153" i="33"/>
  <c r="O149" i="33"/>
  <c r="O145" i="33"/>
  <c r="O141" i="33"/>
  <c r="O137" i="33"/>
  <c r="O135" i="33"/>
  <c r="O131" i="33"/>
  <c r="O127" i="33"/>
  <c r="O123" i="33"/>
  <c r="O119" i="33"/>
  <c r="O115" i="33"/>
  <c r="O111" i="33"/>
  <c r="O107" i="33"/>
  <c r="O103" i="33"/>
  <c r="O99" i="33"/>
  <c r="O95" i="33"/>
  <c r="O91" i="33"/>
  <c r="O132" i="33"/>
  <c r="O128" i="33"/>
  <c r="O124" i="33"/>
  <c r="O120" i="33"/>
  <c r="O116" i="33"/>
  <c r="O112" i="33"/>
  <c r="O108" i="33"/>
  <c r="O104" i="33"/>
  <c r="O100" i="33"/>
  <c r="O96" i="33"/>
  <c r="O92" i="33"/>
  <c r="O89" i="33"/>
  <c r="O85" i="33"/>
  <c r="O81" i="33"/>
  <c r="O77" i="33"/>
  <c r="O73" i="33"/>
  <c r="O69" i="33"/>
  <c r="O65" i="33"/>
  <c r="O61" i="33"/>
  <c r="O57" i="33"/>
  <c r="O53" i="33"/>
  <c r="O49" i="33"/>
  <c r="O45" i="33"/>
  <c r="O41" i="33"/>
  <c r="O37" i="33"/>
  <c r="O33" i="33"/>
  <c r="O29" i="33"/>
  <c r="O25" i="33"/>
  <c r="O21" i="33"/>
  <c r="O17" i="33"/>
  <c r="O13" i="33"/>
  <c r="O9" i="33"/>
  <c r="O83" i="33"/>
  <c r="O79" i="33"/>
  <c r="O75" i="33"/>
  <c r="O71" i="33"/>
  <c r="O67" i="33"/>
  <c r="O63" i="33"/>
  <c r="O59" i="33"/>
  <c r="O55" i="33"/>
  <c r="O51" i="33"/>
  <c r="O47" i="33"/>
  <c r="O43" i="33"/>
  <c r="O39" i="33"/>
  <c r="O35" i="33"/>
  <c r="O31" i="33"/>
  <c r="O27" i="33"/>
  <c r="O23" i="33"/>
  <c r="O19" i="33"/>
  <c r="O15" i="33"/>
  <c r="O11" i="33"/>
  <c r="O7" i="33"/>
  <c r="O311" i="33"/>
  <c r="O307" i="33"/>
  <c r="O303" i="33"/>
  <c r="O299" i="33"/>
  <c r="O295" i="33"/>
  <c r="O291" i="33"/>
  <c r="O287" i="33"/>
  <c r="O283" i="33"/>
  <c r="O275" i="33"/>
  <c r="O310" i="33"/>
  <c r="O306" i="33"/>
  <c r="O302" i="33"/>
  <c r="O298" i="33"/>
  <c r="O294" i="33"/>
  <c r="O290" i="33"/>
  <c r="O286" i="33"/>
  <c r="O281" i="33"/>
  <c r="O272" i="33"/>
  <c r="O268" i="33"/>
  <c r="O264" i="33"/>
  <c r="O260" i="33"/>
  <c r="O256" i="33"/>
  <c r="O252" i="33"/>
  <c r="O248" i="33"/>
  <c r="O244" i="33"/>
  <c r="O240" i="33"/>
  <c r="O236" i="33"/>
  <c r="O232" i="33"/>
  <c r="O228" i="33"/>
  <c r="O224" i="33"/>
  <c r="O220" i="33"/>
  <c r="O216" i="33"/>
  <c r="O212" i="33"/>
  <c r="O208" i="33"/>
  <c r="O204" i="33"/>
  <c r="O200" i="33"/>
  <c r="O196" i="33"/>
  <c r="O192" i="33"/>
  <c r="O188" i="33"/>
  <c r="O184" i="33"/>
  <c r="O180" i="33"/>
  <c r="O176" i="33"/>
  <c r="O172" i="33"/>
  <c r="O168" i="33"/>
  <c r="O164" i="33"/>
  <c r="O160" i="33"/>
  <c r="O156" i="33"/>
  <c r="O152" i="33"/>
  <c r="O148" i="33"/>
  <c r="O144" i="33"/>
  <c r="O140" i="33"/>
  <c r="O282" i="33"/>
  <c r="O278" i="33"/>
  <c r="O274" i="33"/>
  <c r="O270" i="33"/>
  <c r="O266" i="33"/>
  <c r="O262" i="33"/>
  <c r="O258" i="33"/>
  <c r="O254" i="33"/>
  <c r="O250" i="33"/>
  <c r="O246" i="33"/>
  <c r="O242" i="33"/>
  <c r="O238" i="33"/>
  <c r="O234" i="33"/>
  <c r="O230" i="33"/>
  <c r="O226" i="33"/>
  <c r="O222" i="33"/>
  <c r="O218" i="33"/>
  <c r="O214" i="33"/>
  <c r="O210" i="33"/>
  <c r="O206" i="33"/>
  <c r="O202" i="33"/>
  <c r="O198" i="33"/>
  <c r="O194" i="33"/>
  <c r="O190" i="33"/>
  <c r="O186" i="33"/>
  <c r="O182" i="33"/>
  <c r="O178" i="33"/>
  <c r="O174" i="33"/>
  <c r="O170" i="33"/>
  <c r="O166" i="33"/>
  <c r="O162" i="33"/>
  <c r="O158" i="33"/>
  <c r="O154" i="33"/>
  <c r="O150" i="33"/>
  <c r="O146" i="33"/>
  <c r="O142" i="33"/>
  <c r="O138" i="33"/>
  <c r="O136" i="33"/>
  <c r="O133" i="33"/>
  <c r="O129" i="33"/>
  <c r="O125" i="33"/>
  <c r="O121" i="33"/>
  <c r="O117" i="33"/>
  <c r="O113" i="33"/>
  <c r="O109" i="33"/>
  <c r="O105" i="33"/>
  <c r="O101" i="33"/>
  <c r="O97" i="33"/>
  <c r="O93" i="33"/>
  <c r="O134" i="33"/>
  <c r="O130" i="33"/>
  <c r="O126" i="33"/>
  <c r="O122" i="33"/>
  <c r="O118" i="33"/>
  <c r="O114" i="33"/>
  <c r="O110" i="33"/>
  <c r="O106" i="33"/>
  <c r="O102" i="33"/>
  <c r="O98" i="33"/>
  <c r="O94" i="33"/>
  <c r="O90" i="33"/>
  <c r="O87" i="33"/>
  <c r="O84" i="33"/>
  <c r="O80" i="33"/>
  <c r="O76" i="33"/>
  <c r="O72" i="33"/>
  <c r="O68" i="33"/>
  <c r="O64" i="33"/>
  <c r="O60" i="33"/>
  <c r="O56" i="33"/>
  <c r="O52" i="33"/>
  <c r="O48" i="33"/>
  <c r="O44" i="33"/>
  <c r="O40" i="33"/>
  <c r="O36" i="33"/>
  <c r="O32" i="33"/>
  <c r="O28" i="33"/>
  <c r="O24" i="33"/>
  <c r="O20" i="33"/>
  <c r="O16" i="33"/>
  <c r="O12" i="33"/>
  <c r="O8" i="33"/>
  <c r="O82" i="33"/>
  <c r="O78" i="33"/>
  <c r="O74" i="33"/>
  <c r="O70" i="33"/>
  <c r="O66" i="33"/>
  <c r="O62" i="33"/>
  <c r="O58" i="33"/>
  <c r="O54" i="33"/>
  <c r="O50" i="33"/>
  <c r="O46" i="33"/>
  <c r="O42" i="33"/>
  <c r="O38" i="33"/>
  <c r="O34" i="33"/>
  <c r="O30" i="33"/>
  <c r="O26" i="33"/>
  <c r="O22" i="33"/>
  <c r="O18" i="33"/>
  <c r="O14" i="33"/>
  <c r="O10" i="33"/>
  <c r="O6" i="33"/>
  <c r="O5" i="33"/>
  <c r="H5" i="11"/>
  <c r="L5" i="11"/>
  <c r="M315" i="49"/>
  <c r="N5" i="49" s="1"/>
  <c r="N244" i="49" s="1"/>
  <c r="O244" i="49" s="1"/>
  <c r="M244" i="25" s="1"/>
  <c r="D314" i="37"/>
  <c r="D5" i="34"/>
  <c r="E4" i="9"/>
  <c r="D4" i="9" s="1"/>
  <c r="G40" i="40"/>
  <c r="G42" i="40" s="1"/>
  <c r="D8" i="34"/>
  <c r="D6" i="34"/>
  <c r="C314" i="11"/>
  <c r="D5" i="37"/>
  <c r="E7" i="37" l="1"/>
  <c r="F7" i="37" s="1"/>
  <c r="I7" i="37" s="1"/>
  <c r="G18" i="34" s="1"/>
  <c r="H18" i="34" s="1"/>
  <c r="E9" i="37"/>
  <c r="F9" i="37" s="1"/>
  <c r="I9" i="37" s="1"/>
  <c r="G20" i="34" s="1"/>
  <c r="H20" i="34" s="1"/>
  <c r="E11" i="37"/>
  <c r="F11" i="37" s="1"/>
  <c r="I11" i="37" s="1"/>
  <c r="G22" i="34" s="1"/>
  <c r="H22" i="34" s="1"/>
  <c r="E13" i="37"/>
  <c r="F13" i="37" s="1"/>
  <c r="I13" i="37" s="1"/>
  <c r="G24" i="34" s="1"/>
  <c r="H24" i="34" s="1"/>
  <c r="E15" i="37"/>
  <c r="F15" i="37" s="1"/>
  <c r="I15" i="37" s="1"/>
  <c r="G26" i="34" s="1"/>
  <c r="H26" i="34" s="1"/>
  <c r="E17" i="37"/>
  <c r="F17" i="37" s="1"/>
  <c r="I17" i="37" s="1"/>
  <c r="G28" i="34" s="1"/>
  <c r="H28" i="34" s="1"/>
  <c r="E19" i="37"/>
  <c r="F19" i="37" s="1"/>
  <c r="I19" i="37" s="1"/>
  <c r="G30" i="34" s="1"/>
  <c r="H30" i="34" s="1"/>
  <c r="E21" i="37"/>
  <c r="F21" i="37" s="1"/>
  <c r="I21" i="37" s="1"/>
  <c r="G32" i="34" s="1"/>
  <c r="H32" i="34" s="1"/>
  <c r="E23" i="37"/>
  <c r="F23" i="37" s="1"/>
  <c r="I23" i="37" s="1"/>
  <c r="G34" i="34" s="1"/>
  <c r="H34" i="34" s="1"/>
  <c r="E25" i="37"/>
  <c r="F25" i="37" s="1"/>
  <c r="I25" i="37" s="1"/>
  <c r="G36" i="34" s="1"/>
  <c r="H36" i="34" s="1"/>
  <c r="E27" i="37"/>
  <c r="F27" i="37" s="1"/>
  <c r="I27" i="37" s="1"/>
  <c r="G38" i="34" s="1"/>
  <c r="H38" i="34" s="1"/>
  <c r="E29" i="37"/>
  <c r="F29" i="37" s="1"/>
  <c r="I29" i="37" s="1"/>
  <c r="G40" i="34" s="1"/>
  <c r="H40" i="34" s="1"/>
  <c r="E31" i="37"/>
  <c r="F31" i="37" s="1"/>
  <c r="I31" i="37" s="1"/>
  <c r="G42" i="34" s="1"/>
  <c r="H42" i="34" s="1"/>
  <c r="E33" i="37"/>
  <c r="F33" i="37" s="1"/>
  <c r="I33" i="37" s="1"/>
  <c r="G44" i="34" s="1"/>
  <c r="H44" i="34" s="1"/>
  <c r="E35" i="37"/>
  <c r="F35" i="37" s="1"/>
  <c r="I35" i="37" s="1"/>
  <c r="G46" i="34" s="1"/>
  <c r="H46" i="34" s="1"/>
  <c r="E37" i="37"/>
  <c r="F37" i="37" s="1"/>
  <c r="I37" i="37" s="1"/>
  <c r="G48" i="34" s="1"/>
  <c r="H48" i="34" s="1"/>
  <c r="E39" i="37"/>
  <c r="F39" i="37" s="1"/>
  <c r="I39" i="37" s="1"/>
  <c r="G50" i="34" s="1"/>
  <c r="H50" i="34" s="1"/>
  <c r="E41" i="37"/>
  <c r="F41" i="37" s="1"/>
  <c r="I41" i="37" s="1"/>
  <c r="G52" i="34" s="1"/>
  <c r="H52" i="34" s="1"/>
  <c r="E45" i="37"/>
  <c r="F45" i="37" s="1"/>
  <c r="I45" i="37" s="1"/>
  <c r="G56" i="34" s="1"/>
  <c r="H56" i="34" s="1"/>
  <c r="E49" i="37"/>
  <c r="F49" i="37" s="1"/>
  <c r="I49" i="37" s="1"/>
  <c r="G60" i="34" s="1"/>
  <c r="H60" i="34" s="1"/>
  <c r="E51" i="37"/>
  <c r="F51" i="37" s="1"/>
  <c r="I51" i="37" s="1"/>
  <c r="G62" i="34" s="1"/>
  <c r="H62" i="34" s="1"/>
  <c r="E53" i="37"/>
  <c r="F53" i="37" s="1"/>
  <c r="I53" i="37" s="1"/>
  <c r="G64" i="34" s="1"/>
  <c r="H64" i="34" s="1"/>
  <c r="E55" i="37"/>
  <c r="F55" i="37" s="1"/>
  <c r="I55" i="37" s="1"/>
  <c r="G66" i="34" s="1"/>
  <c r="H66" i="34" s="1"/>
  <c r="E57" i="37"/>
  <c r="F57" i="37" s="1"/>
  <c r="I57" i="37" s="1"/>
  <c r="G68" i="34" s="1"/>
  <c r="H68" i="34" s="1"/>
  <c r="E59" i="37"/>
  <c r="F59" i="37" s="1"/>
  <c r="I59" i="37" s="1"/>
  <c r="G70" i="34" s="1"/>
  <c r="H70" i="34" s="1"/>
  <c r="E61" i="37"/>
  <c r="F61" i="37" s="1"/>
  <c r="I61" i="37" s="1"/>
  <c r="G72" i="34" s="1"/>
  <c r="H72" i="34" s="1"/>
  <c r="E63" i="37"/>
  <c r="F63" i="37" s="1"/>
  <c r="I63" i="37" s="1"/>
  <c r="G74" i="34" s="1"/>
  <c r="H74" i="34" s="1"/>
  <c r="E65" i="37"/>
  <c r="F65" i="37" s="1"/>
  <c r="I65" i="37" s="1"/>
  <c r="G76" i="34" s="1"/>
  <c r="H76" i="34" s="1"/>
  <c r="E67" i="37"/>
  <c r="F67" i="37" s="1"/>
  <c r="I67" i="37" s="1"/>
  <c r="G78" i="34" s="1"/>
  <c r="H78" i="34" s="1"/>
  <c r="E69" i="37"/>
  <c r="F69" i="37" s="1"/>
  <c r="I69" i="37" s="1"/>
  <c r="G80" i="34" s="1"/>
  <c r="H80" i="34" s="1"/>
  <c r="E71" i="37"/>
  <c r="F71" i="37" s="1"/>
  <c r="I71" i="37" s="1"/>
  <c r="G82" i="34" s="1"/>
  <c r="H82" i="34" s="1"/>
  <c r="E73" i="37"/>
  <c r="F73" i="37" s="1"/>
  <c r="I73" i="37" s="1"/>
  <c r="G84" i="34" s="1"/>
  <c r="H84" i="34" s="1"/>
  <c r="E75" i="37"/>
  <c r="F75" i="37" s="1"/>
  <c r="I75" i="37" s="1"/>
  <c r="G86" i="34" s="1"/>
  <c r="H86" i="34" s="1"/>
  <c r="E77" i="37"/>
  <c r="F77" i="37" s="1"/>
  <c r="I77" i="37" s="1"/>
  <c r="G88" i="34" s="1"/>
  <c r="H88" i="34" s="1"/>
  <c r="E79" i="37"/>
  <c r="F79" i="37" s="1"/>
  <c r="I79" i="37" s="1"/>
  <c r="G90" i="34" s="1"/>
  <c r="H90" i="34" s="1"/>
  <c r="E81" i="37"/>
  <c r="F81" i="37" s="1"/>
  <c r="I81" i="37" s="1"/>
  <c r="G92" i="34" s="1"/>
  <c r="H92" i="34" s="1"/>
  <c r="E83" i="37"/>
  <c r="F83" i="37" s="1"/>
  <c r="I83" i="37" s="1"/>
  <c r="G94" i="34" s="1"/>
  <c r="H94" i="34" s="1"/>
  <c r="E85" i="37"/>
  <c r="F85" i="37" s="1"/>
  <c r="I85" i="37" s="1"/>
  <c r="G96" i="34" s="1"/>
  <c r="H96" i="34" s="1"/>
  <c r="E87" i="37"/>
  <c r="F87" i="37" s="1"/>
  <c r="I87" i="37" s="1"/>
  <c r="G98" i="34" s="1"/>
  <c r="H98" i="34" s="1"/>
  <c r="E89" i="37"/>
  <c r="F89" i="37" s="1"/>
  <c r="I89" i="37" s="1"/>
  <c r="G100" i="34" s="1"/>
  <c r="H100" i="34" s="1"/>
  <c r="E91" i="37"/>
  <c r="F91" i="37" s="1"/>
  <c r="I91" i="37" s="1"/>
  <c r="G102" i="34" s="1"/>
  <c r="H102" i="34" s="1"/>
  <c r="E93" i="37"/>
  <c r="F93" i="37" s="1"/>
  <c r="I93" i="37" s="1"/>
  <c r="G104" i="34" s="1"/>
  <c r="H104" i="34" s="1"/>
  <c r="E95" i="37"/>
  <c r="F95" i="37" s="1"/>
  <c r="I95" i="37" s="1"/>
  <c r="G106" i="34" s="1"/>
  <c r="H106" i="34" s="1"/>
  <c r="E97" i="37"/>
  <c r="F97" i="37" s="1"/>
  <c r="I97" i="37" s="1"/>
  <c r="G108" i="34" s="1"/>
  <c r="H108" i="34" s="1"/>
  <c r="E101" i="37"/>
  <c r="F101" i="37" s="1"/>
  <c r="I101" i="37" s="1"/>
  <c r="G112" i="34" s="1"/>
  <c r="H112" i="34" s="1"/>
  <c r="E105" i="37"/>
  <c r="F105" i="37" s="1"/>
  <c r="I105" i="37" s="1"/>
  <c r="G116" i="34" s="1"/>
  <c r="H116" i="34" s="1"/>
  <c r="E109" i="37"/>
  <c r="F109" i="37" s="1"/>
  <c r="I109" i="37" s="1"/>
  <c r="G120" i="34" s="1"/>
  <c r="H120" i="34" s="1"/>
  <c r="E113" i="37"/>
  <c r="F113" i="37" s="1"/>
  <c r="I113" i="37" s="1"/>
  <c r="G124" i="34" s="1"/>
  <c r="H124" i="34" s="1"/>
  <c r="E117" i="37"/>
  <c r="F117" i="37" s="1"/>
  <c r="I117" i="37" s="1"/>
  <c r="G128" i="34" s="1"/>
  <c r="H128" i="34" s="1"/>
  <c r="E122" i="37"/>
  <c r="F122" i="37" s="1"/>
  <c r="I122" i="37" s="1"/>
  <c r="G133" i="34" s="1"/>
  <c r="H133" i="34" s="1"/>
  <c r="E124" i="37"/>
  <c r="F124" i="37" s="1"/>
  <c r="I124" i="37" s="1"/>
  <c r="G135" i="34" s="1"/>
  <c r="H135" i="34" s="1"/>
  <c r="E126" i="37"/>
  <c r="F126" i="37" s="1"/>
  <c r="I126" i="37" s="1"/>
  <c r="G137" i="34" s="1"/>
  <c r="H137" i="34" s="1"/>
  <c r="E128" i="37"/>
  <c r="F128" i="37" s="1"/>
  <c r="I128" i="37" s="1"/>
  <c r="G139" i="34" s="1"/>
  <c r="H139" i="34" s="1"/>
  <c r="E130" i="37"/>
  <c r="F130" i="37" s="1"/>
  <c r="I130" i="37" s="1"/>
  <c r="G141" i="34" s="1"/>
  <c r="H141" i="34" s="1"/>
  <c r="E132" i="37"/>
  <c r="F132" i="37" s="1"/>
  <c r="I132" i="37" s="1"/>
  <c r="G143" i="34" s="1"/>
  <c r="H143" i="34" s="1"/>
  <c r="E134" i="37"/>
  <c r="F134" i="37" s="1"/>
  <c r="I134" i="37" s="1"/>
  <c r="G145" i="34" s="1"/>
  <c r="H145" i="34" s="1"/>
  <c r="E136" i="37"/>
  <c r="F136" i="37" s="1"/>
  <c r="I136" i="37" s="1"/>
  <c r="G147" i="34" s="1"/>
  <c r="H147" i="34" s="1"/>
  <c r="E138" i="37"/>
  <c r="F138" i="37" s="1"/>
  <c r="I138" i="37" s="1"/>
  <c r="G149" i="34" s="1"/>
  <c r="H149" i="34" s="1"/>
  <c r="E140" i="37"/>
  <c r="F140" i="37" s="1"/>
  <c r="I140" i="37" s="1"/>
  <c r="G151" i="34" s="1"/>
  <c r="H151" i="34" s="1"/>
  <c r="E142" i="37"/>
  <c r="F142" i="37" s="1"/>
  <c r="I142" i="37" s="1"/>
  <c r="G153" i="34" s="1"/>
  <c r="H153" i="34" s="1"/>
  <c r="E144" i="37"/>
  <c r="F144" i="37" s="1"/>
  <c r="I144" i="37" s="1"/>
  <c r="G155" i="34" s="1"/>
  <c r="H155" i="34" s="1"/>
  <c r="E146" i="37"/>
  <c r="F146" i="37" s="1"/>
  <c r="I146" i="37" s="1"/>
  <c r="G157" i="34" s="1"/>
  <c r="H157" i="34" s="1"/>
  <c r="E148" i="37"/>
  <c r="F148" i="37" s="1"/>
  <c r="I148" i="37" s="1"/>
  <c r="G159" i="34" s="1"/>
  <c r="H159" i="34" s="1"/>
  <c r="E150" i="37"/>
  <c r="F150" i="37" s="1"/>
  <c r="I150" i="37" s="1"/>
  <c r="G161" i="34" s="1"/>
  <c r="H161" i="34" s="1"/>
  <c r="E152" i="37"/>
  <c r="F152" i="37" s="1"/>
  <c r="I152" i="37" s="1"/>
  <c r="G163" i="34" s="1"/>
  <c r="H163" i="34" s="1"/>
  <c r="E154" i="37"/>
  <c r="F154" i="37" s="1"/>
  <c r="I154" i="37" s="1"/>
  <c r="G165" i="34" s="1"/>
  <c r="H165" i="34" s="1"/>
  <c r="E156" i="37"/>
  <c r="F156" i="37" s="1"/>
  <c r="I156" i="37" s="1"/>
  <c r="G167" i="34" s="1"/>
  <c r="H167" i="34" s="1"/>
  <c r="E158" i="37"/>
  <c r="F158" i="37" s="1"/>
  <c r="I158" i="37" s="1"/>
  <c r="G169" i="34" s="1"/>
  <c r="H169" i="34" s="1"/>
  <c r="E160" i="37"/>
  <c r="F160" i="37" s="1"/>
  <c r="I160" i="37" s="1"/>
  <c r="G171" i="34" s="1"/>
  <c r="H171" i="34" s="1"/>
  <c r="E162" i="37"/>
  <c r="F162" i="37" s="1"/>
  <c r="I162" i="37" s="1"/>
  <c r="G173" i="34" s="1"/>
  <c r="H173" i="34" s="1"/>
  <c r="E164" i="37"/>
  <c r="F164" i="37" s="1"/>
  <c r="I164" i="37" s="1"/>
  <c r="G175" i="34" s="1"/>
  <c r="H175" i="34" s="1"/>
  <c r="E166" i="37"/>
  <c r="F166" i="37" s="1"/>
  <c r="I166" i="37" s="1"/>
  <c r="G177" i="34" s="1"/>
  <c r="H177" i="34" s="1"/>
  <c r="E168" i="37"/>
  <c r="F168" i="37" s="1"/>
  <c r="I168" i="37" s="1"/>
  <c r="G179" i="34" s="1"/>
  <c r="H179" i="34" s="1"/>
  <c r="E170" i="37"/>
  <c r="F170" i="37" s="1"/>
  <c r="I170" i="37" s="1"/>
  <c r="G181" i="34" s="1"/>
  <c r="H181" i="34" s="1"/>
  <c r="E172" i="37"/>
  <c r="F172" i="37" s="1"/>
  <c r="I172" i="37" s="1"/>
  <c r="G183" i="34" s="1"/>
  <c r="H183" i="34" s="1"/>
  <c r="E174" i="37"/>
  <c r="F174" i="37" s="1"/>
  <c r="I174" i="37" s="1"/>
  <c r="G185" i="34" s="1"/>
  <c r="H185" i="34" s="1"/>
  <c r="E176" i="37"/>
  <c r="F176" i="37" s="1"/>
  <c r="I176" i="37" s="1"/>
  <c r="G187" i="34" s="1"/>
  <c r="H187" i="34" s="1"/>
  <c r="E43" i="37"/>
  <c r="F43" i="37" s="1"/>
  <c r="I43" i="37" s="1"/>
  <c r="G54" i="34" s="1"/>
  <c r="H54" i="34" s="1"/>
  <c r="E47" i="37"/>
  <c r="F47" i="37" s="1"/>
  <c r="I47" i="37" s="1"/>
  <c r="G58" i="34" s="1"/>
  <c r="H58" i="34" s="1"/>
  <c r="E99" i="37"/>
  <c r="F99" i="37" s="1"/>
  <c r="I99" i="37" s="1"/>
  <c r="G110" i="34" s="1"/>
  <c r="H110" i="34" s="1"/>
  <c r="E103" i="37"/>
  <c r="F103" i="37" s="1"/>
  <c r="I103" i="37" s="1"/>
  <c r="G114" i="34" s="1"/>
  <c r="H114" i="34" s="1"/>
  <c r="E107" i="37"/>
  <c r="F107" i="37" s="1"/>
  <c r="I107" i="37" s="1"/>
  <c r="G118" i="34" s="1"/>
  <c r="H118" i="34" s="1"/>
  <c r="E111" i="37"/>
  <c r="F111" i="37" s="1"/>
  <c r="I111" i="37" s="1"/>
  <c r="G122" i="34" s="1"/>
  <c r="H122" i="34" s="1"/>
  <c r="E115" i="37"/>
  <c r="F115" i="37" s="1"/>
  <c r="I115" i="37" s="1"/>
  <c r="G126" i="34" s="1"/>
  <c r="H126" i="34" s="1"/>
  <c r="E119" i="37"/>
  <c r="F119" i="37" s="1"/>
  <c r="I119" i="37" s="1"/>
  <c r="G130" i="34" s="1"/>
  <c r="H130" i="34" s="1"/>
  <c r="E196" i="37"/>
  <c r="F196" i="37" s="1"/>
  <c r="I196" i="37" s="1"/>
  <c r="G207" i="34" s="1"/>
  <c r="H207" i="34" s="1"/>
  <c r="E200" i="37"/>
  <c r="F200" i="37" s="1"/>
  <c r="I200" i="37" s="1"/>
  <c r="G211" i="34" s="1"/>
  <c r="H211" i="34" s="1"/>
  <c r="E204" i="37"/>
  <c r="F204" i="37" s="1"/>
  <c r="I204" i="37" s="1"/>
  <c r="G215" i="34" s="1"/>
  <c r="H215" i="34" s="1"/>
  <c r="E208" i="37"/>
  <c r="F208" i="37" s="1"/>
  <c r="I208" i="37" s="1"/>
  <c r="G219" i="34" s="1"/>
  <c r="H219" i="34" s="1"/>
  <c r="E212" i="37"/>
  <c r="F212" i="37" s="1"/>
  <c r="I212" i="37" s="1"/>
  <c r="G223" i="34" s="1"/>
  <c r="H223" i="34" s="1"/>
  <c r="E216" i="37"/>
  <c r="F216" i="37" s="1"/>
  <c r="I216" i="37" s="1"/>
  <c r="G227" i="34" s="1"/>
  <c r="H227" i="34" s="1"/>
  <c r="E220" i="37"/>
  <c r="F220" i="37" s="1"/>
  <c r="I220" i="37" s="1"/>
  <c r="G231" i="34" s="1"/>
  <c r="H231" i="34" s="1"/>
  <c r="E224" i="37"/>
  <c r="F224" i="37" s="1"/>
  <c r="I224" i="37" s="1"/>
  <c r="G235" i="34" s="1"/>
  <c r="H235" i="34" s="1"/>
  <c r="E225" i="37"/>
  <c r="F225" i="37" s="1"/>
  <c r="I225" i="37" s="1"/>
  <c r="G236" i="34" s="1"/>
  <c r="H236" i="34" s="1"/>
  <c r="E227" i="37"/>
  <c r="F227" i="37" s="1"/>
  <c r="I227" i="37" s="1"/>
  <c r="G238" i="34" s="1"/>
  <c r="H238" i="34" s="1"/>
  <c r="E229" i="37"/>
  <c r="F229" i="37" s="1"/>
  <c r="I229" i="37" s="1"/>
  <c r="G240" i="34" s="1"/>
  <c r="H240" i="34" s="1"/>
  <c r="E231" i="37"/>
  <c r="F231" i="37" s="1"/>
  <c r="I231" i="37" s="1"/>
  <c r="G242" i="34" s="1"/>
  <c r="H242" i="34" s="1"/>
  <c r="E233" i="37"/>
  <c r="F233" i="37" s="1"/>
  <c r="I233" i="37" s="1"/>
  <c r="G244" i="34" s="1"/>
  <c r="H244" i="34" s="1"/>
  <c r="E235" i="37"/>
  <c r="F235" i="37" s="1"/>
  <c r="I235" i="37" s="1"/>
  <c r="G246" i="34" s="1"/>
  <c r="H246" i="34" s="1"/>
  <c r="E237" i="37"/>
  <c r="F237" i="37" s="1"/>
  <c r="I237" i="37" s="1"/>
  <c r="G248" i="34" s="1"/>
  <c r="H248" i="34" s="1"/>
  <c r="E239" i="37"/>
  <c r="F239" i="37" s="1"/>
  <c r="I239" i="37" s="1"/>
  <c r="G250" i="34" s="1"/>
  <c r="H250" i="34" s="1"/>
  <c r="E241" i="37"/>
  <c r="F241" i="37" s="1"/>
  <c r="I241" i="37" s="1"/>
  <c r="G252" i="34" s="1"/>
  <c r="H252" i="34" s="1"/>
  <c r="E243" i="37"/>
  <c r="F243" i="37" s="1"/>
  <c r="I243" i="37" s="1"/>
  <c r="G254" i="34" s="1"/>
  <c r="H254" i="34" s="1"/>
  <c r="E245" i="37"/>
  <c r="F245" i="37" s="1"/>
  <c r="I245" i="37" s="1"/>
  <c r="G256" i="34" s="1"/>
  <c r="H256" i="34" s="1"/>
  <c r="E247" i="37"/>
  <c r="F247" i="37" s="1"/>
  <c r="I247" i="37" s="1"/>
  <c r="G258" i="34" s="1"/>
  <c r="H258" i="34" s="1"/>
  <c r="E249" i="37"/>
  <c r="F249" i="37" s="1"/>
  <c r="I249" i="37" s="1"/>
  <c r="G260" i="34" s="1"/>
  <c r="H260" i="34" s="1"/>
  <c r="E251" i="37"/>
  <c r="F251" i="37" s="1"/>
  <c r="I251" i="37" s="1"/>
  <c r="G262" i="34" s="1"/>
  <c r="H262" i="34" s="1"/>
  <c r="E253" i="37"/>
  <c r="F253" i="37" s="1"/>
  <c r="I253" i="37" s="1"/>
  <c r="G264" i="34" s="1"/>
  <c r="H264" i="34" s="1"/>
  <c r="E255" i="37"/>
  <c r="F255" i="37" s="1"/>
  <c r="I255" i="37" s="1"/>
  <c r="G266" i="34" s="1"/>
  <c r="H266" i="34" s="1"/>
  <c r="E257" i="37"/>
  <c r="F257" i="37" s="1"/>
  <c r="I257" i="37" s="1"/>
  <c r="G268" i="34" s="1"/>
  <c r="H268" i="34" s="1"/>
  <c r="E259" i="37"/>
  <c r="F259" i="37" s="1"/>
  <c r="I259" i="37" s="1"/>
  <c r="G270" i="34" s="1"/>
  <c r="H270" i="34" s="1"/>
  <c r="E261" i="37"/>
  <c r="F261" i="37" s="1"/>
  <c r="I261" i="37" s="1"/>
  <c r="G272" i="34" s="1"/>
  <c r="H272" i="34" s="1"/>
  <c r="E263" i="37"/>
  <c r="F263" i="37" s="1"/>
  <c r="I263" i="37" s="1"/>
  <c r="G274" i="34" s="1"/>
  <c r="H274" i="34" s="1"/>
  <c r="E265" i="37"/>
  <c r="F265" i="37" s="1"/>
  <c r="I265" i="37" s="1"/>
  <c r="G276" i="34" s="1"/>
  <c r="H276" i="34" s="1"/>
  <c r="E267" i="37"/>
  <c r="F267" i="37" s="1"/>
  <c r="I267" i="37" s="1"/>
  <c r="G278" i="34" s="1"/>
  <c r="H278" i="34" s="1"/>
  <c r="E269" i="37"/>
  <c r="F269" i="37" s="1"/>
  <c r="I269" i="37" s="1"/>
  <c r="G280" i="34" s="1"/>
  <c r="H280" i="34" s="1"/>
  <c r="E271" i="37"/>
  <c r="F271" i="37" s="1"/>
  <c r="I271" i="37" s="1"/>
  <c r="G282" i="34" s="1"/>
  <c r="H282" i="34" s="1"/>
  <c r="E273" i="37"/>
  <c r="F273" i="37" s="1"/>
  <c r="I273" i="37" s="1"/>
  <c r="G284" i="34" s="1"/>
  <c r="H284" i="34" s="1"/>
  <c r="E275" i="37"/>
  <c r="F275" i="37" s="1"/>
  <c r="I275" i="37" s="1"/>
  <c r="G286" i="34" s="1"/>
  <c r="H286" i="34" s="1"/>
  <c r="E277" i="37"/>
  <c r="F277" i="37" s="1"/>
  <c r="I277" i="37" s="1"/>
  <c r="G288" i="34" s="1"/>
  <c r="H288" i="34" s="1"/>
  <c r="E279" i="37"/>
  <c r="F279" i="37" s="1"/>
  <c r="I279" i="37" s="1"/>
  <c r="G290" i="34" s="1"/>
  <c r="H290" i="34" s="1"/>
  <c r="E281" i="37"/>
  <c r="F281" i="37" s="1"/>
  <c r="I281" i="37" s="1"/>
  <c r="G292" i="34" s="1"/>
  <c r="H292" i="34" s="1"/>
  <c r="E283" i="37"/>
  <c r="F283" i="37" s="1"/>
  <c r="I283" i="37" s="1"/>
  <c r="G294" i="34" s="1"/>
  <c r="H294" i="34" s="1"/>
  <c r="E285" i="37"/>
  <c r="F285" i="37" s="1"/>
  <c r="I285" i="37" s="1"/>
  <c r="G296" i="34" s="1"/>
  <c r="H296" i="34" s="1"/>
  <c r="E287" i="37"/>
  <c r="F287" i="37" s="1"/>
  <c r="I287" i="37" s="1"/>
  <c r="G298" i="34" s="1"/>
  <c r="H298" i="34" s="1"/>
  <c r="E289" i="37"/>
  <c r="F289" i="37" s="1"/>
  <c r="I289" i="37" s="1"/>
  <c r="G300" i="34" s="1"/>
  <c r="H300" i="34" s="1"/>
  <c r="E291" i="37"/>
  <c r="F291" i="37" s="1"/>
  <c r="I291" i="37" s="1"/>
  <c r="G302" i="34" s="1"/>
  <c r="H302" i="34" s="1"/>
  <c r="E293" i="37"/>
  <c r="F293" i="37" s="1"/>
  <c r="I293" i="37" s="1"/>
  <c r="G304" i="34" s="1"/>
  <c r="H304" i="34" s="1"/>
  <c r="E295" i="37"/>
  <c r="F295" i="37" s="1"/>
  <c r="I295" i="37" s="1"/>
  <c r="G306" i="34" s="1"/>
  <c r="H306" i="34" s="1"/>
  <c r="E297" i="37"/>
  <c r="F297" i="37" s="1"/>
  <c r="I297" i="37" s="1"/>
  <c r="G308" i="34" s="1"/>
  <c r="H308" i="34" s="1"/>
  <c r="E299" i="37"/>
  <c r="F299" i="37" s="1"/>
  <c r="I299" i="37" s="1"/>
  <c r="G310" i="34" s="1"/>
  <c r="H310" i="34" s="1"/>
  <c r="E301" i="37"/>
  <c r="F301" i="37" s="1"/>
  <c r="I301" i="37" s="1"/>
  <c r="G312" i="34" s="1"/>
  <c r="H312" i="34" s="1"/>
  <c r="E303" i="37"/>
  <c r="F303" i="37" s="1"/>
  <c r="I303" i="37" s="1"/>
  <c r="G314" i="34" s="1"/>
  <c r="H314" i="34" s="1"/>
  <c r="E305" i="37"/>
  <c r="F305" i="37" s="1"/>
  <c r="I305" i="37" s="1"/>
  <c r="G316" i="34" s="1"/>
  <c r="H316" i="34" s="1"/>
  <c r="E307" i="37"/>
  <c r="F307" i="37" s="1"/>
  <c r="I307" i="37" s="1"/>
  <c r="G318" i="34" s="1"/>
  <c r="H318" i="34" s="1"/>
  <c r="E309" i="37"/>
  <c r="F309" i="37" s="1"/>
  <c r="I309" i="37" s="1"/>
  <c r="G320" i="34" s="1"/>
  <c r="H320" i="34" s="1"/>
  <c r="E311" i="37"/>
  <c r="F311" i="37" s="1"/>
  <c r="I311" i="37" s="1"/>
  <c r="G322" i="34" s="1"/>
  <c r="H322" i="34" s="1"/>
  <c r="E313" i="37"/>
  <c r="F313" i="37" s="1"/>
  <c r="I313" i="37" s="1"/>
  <c r="G324" i="34" s="1"/>
  <c r="H324" i="34" s="1"/>
  <c r="E178" i="37"/>
  <c r="F178" i="37" s="1"/>
  <c r="I178" i="37" s="1"/>
  <c r="G189" i="34" s="1"/>
  <c r="H189" i="34" s="1"/>
  <c r="E180" i="37"/>
  <c r="F180" i="37" s="1"/>
  <c r="I180" i="37" s="1"/>
  <c r="G191" i="34" s="1"/>
  <c r="H191" i="34" s="1"/>
  <c r="E182" i="37"/>
  <c r="F182" i="37" s="1"/>
  <c r="I182" i="37" s="1"/>
  <c r="G193" i="34" s="1"/>
  <c r="H193" i="34" s="1"/>
  <c r="E184" i="37"/>
  <c r="F184" i="37" s="1"/>
  <c r="I184" i="37" s="1"/>
  <c r="G195" i="34" s="1"/>
  <c r="H195" i="34" s="1"/>
  <c r="E186" i="37"/>
  <c r="F186" i="37" s="1"/>
  <c r="I186" i="37" s="1"/>
  <c r="G197" i="34" s="1"/>
  <c r="H197" i="34" s="1"/>
  <c r="E188" i="37"/>
  <c r="F188" i="37" s="1"/>
  <c r="I188" i="37" s="1"/>
  <c r="G199" i="34" s="1"/>
  <c r="H199" i="34" s="1"/>
  <c r="E190" i="37"/>
  <c r="F190" i="37" s="1"/>
  <c r="I190" i="37" s="1"/>
  <c r="G201" i="34" s="1"/>
  <c r="H201" i="34" s="1"/>
  <c r="E192" i="37"/>
  <c r="F192" i="37" s="1"/>
  <c r="I192" i="37" s="1"/>
  <c r="G203" i="34" s="1"/>
  <c r="H203" i="34" s="1"/>
  <c r="E194" i="37"/>
  <c r="F194" i="37" s="1"/>
  <c r="I194" i="37" s="1"/>
  <c r="G205" i="34" s="1"/>
  <c r="H205" i="34" s="1"/>
  <c r="E198" i="37"/>
  <c r="F198" i="37" s="1"/>
  <c r="I198" i="37" s="1"/>
  <c r="G209" i="34" s="1"/>
  <c r="H209" i="34" s="1"/>
  <c r="E202" i="37"/>
  <c r="F202" i="37" s="1"/>
  <c r="I202" i="37" s="1"/>
  <c r="G213" i="34" s="1"/>
  <c r="H213" i="34" s="1"/>
  <c r="E206" i="37"/>
  <c r="F206" i="37" s="1"/>
  <c r="I206" i="37" s="1"/>
  <c r="G217" i="34" s="1"/>
  <c r="H217" i="34" s="1"/>
  <c r="E210" i="37"/>
  <c r="F210" i="37" s="1"/>
  <c r="I210" i="37" s="1"/>
  <c r="G221" i="34" s="1"/>
  <c r="H221" i="34" s="1"/>
  <c r="E214" i="37"/>
  <c r="F214" i="37" s="1"/>
  <c r="I214" i="37" s="1"/>
  <c r="G225" i="34" s="1"/>
  <c r="H225" i="34" s="1"/>
  <c r="E218" i="37"/>
  <c r="F218" i="37" s="1"/>
  <c r="I218" i="37" s="1"/>
  <c r="G229" i="34" s="1"/>
  <c r="H229" i="34" s="1"/>
  <c r="E222" i="37"/>
  <c r="F222" i="37" s="1"/>
  <c r="I222" i="37" s="1"/>
  <c r="G233" i="34" s="1"/>
  <c r="H233" i="34" s="1"/>
  <c r="E288" i="37"/>
  <c r="F288" i="37" s="1"/>
  <c r="I288" i="37" s="1"/>
  <c r="G299" i="34" s="1"/>
  <c r="H299" i="34" s="1"/>
  <c r="E106" i="37"/>
  <c r="F106" i="37" s="1"/>
  <c r="I106" i="37" s="1"/>
  <c r="G117" i="34" s="1"/>
  <c r="H117" i="34" s="1"/>
  <c r="E120" i="37"/>
  <c r="F120" i="37" s="1"/>
  <c r="I120" i="37" s="1"/>
  <c r="G131" i="34" s="1"/>
  <c r="H131" i="34" s="1"/>
  <c r="E175" i="37"/>
  <c r="F175" i="37" s="1"/>
  <c r="I175" i="37" s="1"/>
  <c r="G186" i="34" s="1"/>
  <c r="H186" i="34" s="1"/>
  <c r="E256" i="37"/>
  <c r="F256" i="37" s="1"/>
  <c r="I256" i="37" s="1"/>
  <c r="G267" i="34" s="1"/>
  <c r="H267" i="34" s="1"/>
  <c r="E205" i="37"/>
  <c r="F205" i="37" s="1"/>
  <c r="I205" i="37" s="1"/>
  <c r="G216" i="34" s="1"/>
  <c r="H216" i="34" s="1"/>
  <c r="E141" i="37"/>
  <c r="F141" i="37" s="1"/>
  <c r="I141" i="37" s="1"/>
  <c r="G152" i="34" s="1"/>
  <c r="H152" i="34" s="1"/>
  <c r="E118" i="37"/>
  <c r="F118" i="37" s="1"/>
  <c r="I118" i="37" s="1"/>
  <c r="G129" i="34" s="1"/>
  <c r="H129" i="34" s="1"/>
  <c r="E8" i="37"/>
  <c r="F8" i="37" s="1"/>
  <c r="I8" i="37" s="1"/>
  <c r="G19" i="34" s="1"/>
  <c r="H19" i="34" s="1"/>
  <c r="E163" i="37"/>
  <c r="F163" i="37" s="1"/>
  <c r="I163" i="37" s="1"/>
  <c r="G174" i="34" s="1"/>
  <c r="H174" i="34" s="1"/>
  <c r="E252" i="37"/>
  <c r="F252" i="37" s="1"/>
  <c r="I252" i="37" s="1"/>
  <c r="G263" i="34" s="1"/>
  <c r="H263" i="34" s="1"/>
  <c r="E10" i="37"/>
  <c r="F10" i="37" s="1"/>
  <c r="I10" i="37" s="1"/>
  <c r="G21" i="34" s="1"/>
  <c r="H21" i="34" s="1"/>
  <c r="E254" i="37"/>
  <c r="F254" i="37" s="1"/>
  <c r="I254" i="37" s="1"/>
  <c r="G265" i="34" s="1"/>
  <c r="H265" i="34" s="1"/>
  <c r="E32" i="37"/>
  <c r="F32" i="37" s="1"/>
  <c r="I32" i="37" s="1"/>
  <c r="G43" i="34" s="1"/>
  <c r="H43" i="34" s="1"/>
  <c r="E92" i="37"/>
  <c r="F92" i="37" s="1"/>
  <c r="I92" i="37" s="1"/>
  <c r="G103" i="34" s="1"/>
  <c r="H103" i="34" s="1"/>
  <c r="E98" i="37"/>
  <c r="F98" i="37" s="1"/>
  <c r="I98" i="37" s="1"/>
  <c r="G109" i="34" s="1"/>
  <c r="H109" i="34" s="1"/>
  <c r="E66" i="37"/>
  <c r="F66" i="37" s="1"/>
  <c r="I66" i="37" s="1"/>
  <c r="G77" i="34" s="1"/>
  <c r="H77" i="34" s="1"/>
  <c r="E133" i="37"/>
  <c r="F133" i="37" s="1"/>
  <c r="I133" i="37" s="1"/>
  <c r="G144" i="34" s="1"/>
  <c r="H144" i="34" s="1"/>
  <c r="E199" i="37"/>
  <c r="F199" i="37" s="1"/>
  <c r="I199" i="37" s="1"/>
  <c r="G210" i="34" s="1"/>
  <c r="H210" i="34" s="1"/>
  <c r="E272" i="37"/>
  <c r="F272" i="37" s="1"/>
  <c r="I272" i="37" s="1"/>
  <c r="G283" i="34" s="1"/>
  <c r="H283" i="34" s="1"/>
  <c r="E30" i="37"/>
  <c r="F30" i="37" s="1"/>
  <c r="I30" i="37" s="1"/>
  <c r="G41" i="34" s="1"/>
  <c r="H41" i="34" s="1"/>
  <c r="E193" i="37"/>
  <c r="F193" i="37" s="1"/>
  <c r="I193" i="37" s="1"/>
  <c r="G204" i="34" s="1"/>
  <c r="H204" i="34" s="1"/>
  <c r="E161" i="37"/>
  <c r="F161" i="37" s="1"/>
  <c r="I161" i="37" s="1"/>
  <c r="G172" i="34" s="1"/>
  <c r="H172" i="34" s="1"/>
  <c r="E84" i="37"/>
  <c r="F84" i="37" s="1"/>
  <c r="I84" i="37" s="1"/>
  <c r="G95" i="34" s="1"/>
  <c r="H95" i="34" s="1"/>
  <c r="E94" i="37"/>
  <c r="F94" i="37" s="1"/>
  <c r="I94" i="37" s="1"/>
  <c r="G105" i="34" s="1"/>
  <c r="H105" i="34" s="1"/>
  <c r="E58" i="37"/>
  <c r="F58" i="37" s="1"/>
  <c r="I58" i="37" s="1"/>
  <c r="G69" i="34" s="1"/>
  <c r="H69" i="34" s="1"/>
  <c r="E121" i="37"/>
  <c r="F121" i="37" s="1"/>
  <c r="I121" i="37" s="1"/>
  <c r="G132" i="34" s="1"/>
  <c r="H132" i="34" s="1"/>
  <c r="E187" i="37"/>
  <c r="F187" i="37" s="1"/>
  <c r="I187" i="37" s="1"/>
  <c r="G198" i="34" s="1"/>
  <c r="H198" i="34" s="1"/>
  <c r="E268" i="37"/>
  <c r="F268" i="37" s="1"/>
  <c r="I268" i="37" s="1"/>
  <c r="G279" i="34" s="1"/>
  <c r="H279" i="34" s="1"/>
  <c r="E264" i="37"/>
  <c r="F264" i="37" s="1"/>
  <c r="I264" i="37" s="1"/>
  <c r="G275" i="34" s="1"/>
  <c r="H275" i="34" s="1"/>
  <c r="E282" i="37"/>
  <c r="F282" i="37" s="1"/>
  <c r="I282" i="37" s="1"/>
  <c r="G293" i="34" s="1"/>
  <c r="H293" i="34" s="1"/>
  <c r="E250" i="37"/>
  <c r="F250" i="37" s="1"/>
  <c r="I250" i="37" s="1"/>
  <c r="G261" i="34" s="1"/>
  <c r="H261" i="34" s="1"/>
  <c r="E22" i="37"/>
  <c r="F22" i="37" s="1"/>
  <c r="I22" i="37" s="1"/>
  <c r="G33" i="34" s="1"/>
  <c r="H33" i="34" s="1"/>
  <c r="E286" i="37"/>
  <c r="F286" i="37" s="1"/>
  <c r="I286" i="37" s="1"/>
  <c r="G297" i="34" s="1"/>
  <c r="H297" i="34" s="1"/>
  <c r="E181" i="37"/>
  <c r="F181" i="37" s="1"/>
  <c r="I181" i="37" s="1"/>
  <c r="G192" i="34" s="1"/>
  <c r="H192" i="34" s="1"/>
  <c r="E70" i="37"/>
  <c r="F70" i="37" s="1"/>
  <c r="I70" i="37" s="1"/>
  <c r="G81" i="34" s="1"/>
  <c r="H81" i="34" s="1"/>
  <c r="E280" i="37"/>
  <c r="F280" i="37" s="1"/>
  <c r="I280" i="37" s="1"/>
  <c r="G291" i="34" s="1"/>
  <c r="H291" i="34" s="1"/>
  <c r="E308" i="37"/>
  <c r="F308" i="37" s="1"/>
  <c r="I308" i="37" s="1"/>
  <c r="G319" i="34" s="1"/>
  <c r="H319" i="34" s="1"/>
  <c r="E312" i="37"/>
  <c r="F312" i="37" s="1"/>
  <c r="I312" i="37" s="1"/>
  <c r="G323" i="34" s="1"/>
  <c r="H323" i="34" s="1"/>
  <c r="E292" i="37"/>
  <c r="F292" i="37" s="1"/>
  <c r="I292" i="37" s="1"/>
  <c r="G303" i="34" s="1"/>
  <c r="H303" i="34" s="1"/>
  <c r="E304" i="37"/>
  <c r="F304" i="37" s="1"/>
  <c r="I304" i="37" s="1"/>
  <c r="G315" i="34" s="1"/>
  <c r="H315" i="34" s="1"/>
  <c r="E38" i="37"/>
  <c r="F38" i="37" s="1"/>
  <c r="I38" i="37" s="1"/>
  <c r="G49" i="34" s="1"/>
  <c r="H49" i="34" s="1"/>
  <c r="E88" i="37"/>
  <c r="F88" i="37" s="1"/>
  <c r="I88" i="37" s="1"/>
  <c r="G99" i="34" s="1"/>
  <c r="H99" i="34" s="1"/>
  <c r="E20" i="37"/>
  <c r="F20" i="37" s="1"/>
  <c r="I20" i="37" s="1"/>
  <c r="G31" i="34" s="1"/>
  <c r="H31" i="34" s="1"/>
  <c r="E207" i="37"/>
  <c r="F207" i="37" s="1"/>
  <c r="I207" i="37" s="1"/>
  <c r="G218" i="34" s="1"/>
  <c r="H218" i="34" s="1"/>
  <c r="E14" i="37"/>
  <c r="F14" i="37" s="1"/>
  <c r="I14" i="37" s="1"/>
  <c r="G25" i="34" s="1"/>
  <c r="H25" i="34" s="1"/>
  <c r="E157" i="37"/>
  <c r="F157" i="37" s="1"/>
  <c r="I157" i="37" s="1"/>
  <c r="G168" i="34" s="1"/>
  <c r="H168" i="34" s="1"/>
  <c r="E86" i="37"/>
  <c r="F86" i="37" s="1"/>
  <c r="I86" i="37" s="1"/>
  <c r="G97" i="34" s="1"/>
  <c r="H97" i="34" s="1"/>
  <c r="E24" i="37"/>
  <c r="F24" i="37" s="1"/>
  <c r="I24" i="37" s="1"/>
  <c r="G35" i="34" s="1"/>
  <c r="H35" i="34" s="1"/>
  <c r="E179" i="37"/>
  <c r="F179" i="37" s="1"/>
  <c r="I179" i="37" s="1"/>
  <c r="G190" i="34" s="1"/>
  <c r="H190" i="34" s="1"/>
  <c r="E248" i="37"/>
  <c r="F248" i="37" s="1"/>
  <c r="I248" i="37" s="1"/>
  <c r="G259" i="34" s="1"/>
  <c r="H259" i="34" s="1"/>
  <c r="E278" i="37"/>
  <c r="F278" i="37" s="1"/>
  <c r="I278" i="37" s="1"/>
  <c r="G289" i="34" s="1"/>
  <c r="H289" i="34" s="1"/>
  <c r="E246" i="37"/>
  <c r="F246" i="37" s="1"/>
  <c r="I246" i="37" s="1"/>
  <c r="G257" i="34" s="1"/>
  <c r="H257" i="34" s="1"/>
  <c r="E64" i="37"/>
  <c r="F64" i="37" s="1"/>
  <c r="I64" i="37" s="1"/>
  <c r="G75" i="34" s="1"/>
  <c r="H75" i="34" s="1"/>
  <c r="E139" i="37"/>
  <c r="F139" i="37" s="1"/>
  <c r="I139" i="37" s="1"/>
  <c r="G150" i="34" s="1"/>
  <c r="H150" i="34" s="1"/>
  <c r="E82" i="37"/>
  <c r="F82" i="37" s="1"/>
  <c r="I82" i="37" s="1"/>
  <c r="G93" i="34" s="1"/>
  <c r="H93" i="34" s="1"/>
  <c r="E34" i="37"/>
  <c r="F34" i="37" s="1"/>
  <c r="I34" i="37" s="1"/>
  <c r="G45" i="34" s="1"/>
  <c r="H45" i="34" s="1"/>
  <c r="E151" i="37"/>
  <c r="F151" i="37" s="1"/>
  <c r="I151" i="37" s="1"/>
  <c r="G162" i="34" s="1"/>
  <c r="H162" i="34" s="1"/>
  <c r="E215" i="37"/>
  <c r="F215" i="37" s="1"/>
  <c r="I215" i="37" s="1"/>
  <c r="G226" i="34" s="1"/>
  <c r="H226" i="34" s="1"/>
  <c r="E294" i="37"/>
  <c r="F294" i="37" s="1"/>
  <c r="I294" i="37" s="1"/>
  <c r="G305" i="34" s="1"/>
  <c r="H305" i="34" s="1"/>
  <c r="E36" i="37"/>
  <c r="F36" i="37" s="1"/>
  <c r="I36" i="37" s="1"/>
  <c r="G47" i="34" s="1"/>
  <c r="H47" i="34" s="1"/>
  <c r="E217" i="37"/>
  <c r="F217" i="37" s="1"/>
  <c r="I217" i="37" s="1"/>
  <c r="G228" i="34" s="1"/>
  <c r="H228" i="34" s="1"/>
  <c r="E185" i="37"/>
  <c r="F185" i="37" s="1"/>
  <c r="I185" i="37" s="1"/>
  <c r="G196" i="34" s="1"/>
  <c r="H196" i="34" s="1"/>
  <c r="E153" i="37"/>
  <c r="F153" i="37" s="1"/>
  <c r="I153" i="37" s="1"/>
  <c r="G164" i="34" s="1"/>
  <c r="H164" i="34" s="1"/>
  <c r="E116" i="37"/>
  <c r="F116" i="37" s="1"/>
  <c r="I116" i="37" s="1"/>
  <c r="G127" i="34" s="1"/>
  <c r="H127" i="34" s="1"/>
  <c r="E78" i="37"/>
  <c r="F78" i="37" s="1"/>
  <c r="I78" i="37" s="1"/>
  <c r="G89" i="34" s="1"/>
  <c r="H89" i="34" s="1"/>
  <c r="E171" i="37"/>
  <c r="F171" i="37" s="1"/>
  <c r="I171" i="37" s="1"/>
  <c r="G182" i="34" s="1"/>
  <c r="H182" i="34" s="1"/>
  <c r="E236" i="37"/>
  <c r="F236" i="37" s="1"/>
  <c r="I236" i="37" s="1"/>
  <c r="G247" i="34" s="1"/>
  <c r="H247" i="34" s="1"/>
  <c r="E232" i="37"/>
  <c r="F232" i="37" s="1"/>
  <c r="I232" i="37" s="1"/>
  <c r="G243" i="34" s="1"/>
  <c r="H243" i="34" s="1"/>
  <c r="E274" i="37"/>
  <c r="F274" i="37" s="1"/>
  <c r="I274" i="37" s="1"/>
  <c r="G285" i="34" s="1"/>
  <c r="H285" i="34" s="1"/>
  <c r="E242" i="37"/>
  <c r="F242" i="37" s="1"/>
  <c r="I242" i="37" s="1"/>
  <c r="G253" i="34" s="1"/>
  <c r="H253" i="34" s="1"/>
  <c r="E48" i="37"/>
  <c r="F48" i="37" s="1"/>
  <c r="I48" i="37" s="1"/>
  <c r="G59" i="34" s="1"/>
  <c r="H59" i="34" s="1"/>
  <c r="E223" i="37"/>
  <c r="F223" i="37" s="1"/>
  <c r="I223" i="37" s="1"/>
  <c r="G234" i="34" s="1"/>
  <c r="H234" i="34" s="1"/>
  <c r="E18" i="37"/>
  <c r="F18" i="37" s="1"/>
  <c r="I18" i="37" s="1"/>
  <c r="G29" i="34" s="1"/>
  <c r="H29" i="34" s="1"/>
  <c r="E197" i="37"/>
  <c r="F197" i="37" s="1"/>
  <c r="I197" i="37" s="1"/>
  <c r="G208" i="34" s="1"/>
  <c r="H208" i="34" s="1"/>
  <c r="E127" i="37"/>
  <c r="F127" i="37" s="1"/>
  <c r="I127" i="37" s="1"/>
  <c r="G138" i="34" s="1"/>
  <c r="H138" i="34" s="1"/>
  <c r="E102" i="37"/>
  <c r="F102" i="37" s="1"/>
  <c r="I102" i="37" s="1"/>
  <c r="G113" i="34" s="1"/>
  <c r="H113" i="34" s="1"/>
  <c r="E108" i="37"/>
  <c r="F108" i="37" s="1"/>
  <c r="I108" i="37" s="1"/>
  <c r="G119" i="34" s="1"/>
  <c r="H119" i="34" s="1"/>
  <c r="E74" i="37"/>
  <c r="F74" i="37" s="1"/>
  <c r="I74" i="37" s="1"/>
  <c r="G85" i="34" s="1"/>
  <c r="H85" i="34" s="1"/>
  <c r="E125" i="37"/>
  <c r="F125" i="37" s="1"/>
  <c r="I125" i="37" s="1"/>
  <c r="G136" i="34" s="1"/>
  <c r="H136" i="34" s="1"/>
  <c r="E260" i="37"/>
  <c r="F260" i="37" s="1"/>
  <c r="I260" i="37" s="1"/>
  <c r="G271" i="34" s="1"/>
  <c r="H271" i="34" s="1"/>
  <c r="E52" i="37"/>
  <c r="F52" i="37" s="1"/>
  <c r="I52" i="37" s="1"/>
  <c r="G63" i="34" s="1"/>
  <c r="H63" i="34" s="1"/>
  <c r="E173" i="37"/>
  <c r="F173" i="37" s="1"/>
  <c r="I173" i="37" s="1"/>
  <c r="G184" i="34" s="1"/>
  <c r="H184" i="34" s="1"/>
  <c r="E68" i="37"/>
  <c r="F68" i="37" s="1"/>
  <c r="I68" i="37" s="1"/>
  <c r="G79" i="34" s="1"/>
  <c r="H79" i="34" s="1"/>
  <c r="E42" i="37"/>
  <c r="F42" i="37" s="1"/>
  <c r="I42" i="37" s="1"/>
  <c r="G53" i="34" s="1"/>
  <c r="H53" i="34" s="1"/>
  <c r="E129" i="37"/>
  <c r="F129" i="37" s="1"/>
  <c r="I129" i="37" s="1"/>
  <c r="G140" i="34" s="1"/>
  <c r="H140" i="34" s="1"/>
  <c r="E195" i="37"/>
  <c r="F195" i="37" s="1"/>
  <c r="I195" i="37" s="1"/>
  <c r="G206" i="34" s="1"/>
  <c r="H206" i="34" s="1"/>
  <c r="E298" i="37"/>
  <c r="F298" i="37" s="1"/>
  <c r="I298" i="37" s="1"/>
  <c r="G309" i="34" s="1"/>
  <c r="H309" i="34" s="1"/>
  <c r="E270" i="37"/>
  <c r="F270" i="37" s="1"/>
  <c r="I270" i="37" s="1"/>
  <c r="G281" i="34" s="1"/>
  <c r="H281" i="34" s="1"/>
  <c r="E238" i="37"/>
  <c r="F238" i="37" s="1"/>
  <c r="I238" i="37" s="1"/>
  <c r="G249" i="34" s="1"/>
  <c r="H249" i="34" s="1"/>
  <c r="E123" i="37"/>
  <c r="F123" i="37" s="1"/>
  <c r="I123" i="37" s="1"/>
  <c r="G134" i="34" s="1"/>
  <c r="H134" i="34" s="1"/>
  <c r="E54" i="37"/>
  <c r="F54" i="37" s="1"/>
  <c r="I54" i="37" s="1"/>
  <c r="G65" i="34" s="1"/>
  <c r="H65" i="34" s="1"/>
  <c r="E104" i="37"/>
  <c r="F104" i="37" s="1"/>
  <c r="I104" i="37" s="1"/>
  <c r="G115" i="34" s="1"/>
  <c r="H115" i="34" s="1"/>
  <c r="E12" i="37"/>
  <c r="F12" i="37" s="1"/>
  <c r="I12" i="37" s="1"/>
  <c r="G23" i="34" s="1"/>
  <c r="H23" i="34" s="1"/>
  <c r="E167" i="37"/>
  <c r="F167" i="37" s="1"/>
  <c r="I167" i="37" s="1"/>
  <c r="G178" i="34" s="1"/>
  <c r="H178" i="34" s="1"/>
  <c r="E310" i="37"/>
  <c r="F310" i="37" s="1"/>
  <c r="I310" i="37" s="1"/>
  <c r="G321" i="34" s="1"/>
  <c r="H321" i="34" s="1"/>
  <c r="E221" i="37"/>
  <c r="F221" i="37" s="1"/>
  <c r="I221" i="37" s="1"/>
  <c r="G232" i="34" s="1"/>
  <c r="H232" i="34" s="1"/>
  <c r="E209" i="37"/>
  <c r="F209" i="37" s="1"/>
  <c r="I209" i="37" s="1"/>
  <c r="G220" i="34" s="1"/>
  <c r="H220" i="34" s="1"/>
  <c r="E177" i="37"/>
  <c r="F177" i="37" s="1"/>
  <c r="I177" i="37" s="1"/>
  <c r="G188" i="34" s="1"/>
  <c r="H188" i="34" s="1"/>
  <c r="E145" i="37"/>
  <c r="F145" i="37" s="1"/>
  <c r="I145" i="37" s="1"/>
  <c r="G156" i="34" s="1"/>
  <c r="H156" i="34" s="1"/>
  <c r="E46" i="37"/>
  <c r="F46" i="37" s="1"/>
  <c r="I46" i="37" s="1"/>
  <c r="G57" i="34" s="1"/>
  <c r="H57" i="34" s="1"/>
  <c r="E96" i="37"/>
  <c r="F96" i="37" s="1"/>
  <c r="I96" i="37" s="1"/>
  <c r="G107" i="34" s="1"/>
  <c r="H107" i="34" s="1"/>
  <c r="E16" i="37"/>
  <c r="F16" i="37" s="1"/>
  <c r="I16" i="37" s="1"/>
  <c r="G27" i="34" s="1"/>
  <c r="H27" i="34" s="1"/>
  <c r="E155" i="37"/>
  <c r="F155" i="37" s="1"/>
  <c r="I155" i="37" s="1"/>
  <c r="G166" i="34" s="1"/>
  <c r="H166" i="34" s="1"/>
  <c r="E219" i="37"/>
  <c r="F219" i="37" s="1"/>
  <c r="I219" i="37" s="1"/>
  <c r="G230" i="34" s="1"/>
  <c r="H230" i="34" s="1"/>
  <c r="E306" i="37"/>
  <c r="F306" i="37" s="1"/>
  <c r="I306" i="37" s="1"/>
  <c r="G317" i="34" s="1"/>
  <c r="H317" i="34" s="1"/>
  <c r="E60" i="37"/>
  <c r="F60" i="37" s="1"/>
  <c r="I60" i="37" s="1"/>
  <c r="G71" i="34" s="1"/>
  <c r="H71" i="34" s="1"/>
  <c r="E266" i="37"/>
  <c r="F266" i="37" s="1"/>
  <c r="I266" i="37" s="1"/>
  <c r="G277" i="34" s="1"/>
  <c r="H277" i="34" s="1"/>
  <c r="E234" i="37"/>
  <c r="F234" i="37" s="1"/>
  <c r="I234" i="37" s="1"/>
  <c r="G245" i="34" s="1"/>
  <c r="H245" i="34" s="1"/>
  <c r="E191" i="37"/>
  <c r="F191" i="37" s="1"/>
  <c r="I191" i="37" s="1"/>
  <c r="G202" i="34" s="1"/>
  <c r="H202" i="34" s="1"/>
  <c r="E213" i="37"/>
  <c r="F213" i="37" s="1"/>
  <c r="I213" i="37" s="1"/>
  <c r="G224" i="34" s="1"/>
  <c r="H224" i="34" s="1"/>
  <c r="E149" i="37"/>
  <c r="F149" i="37" s="1"/>
  <c r="I149" i="37" s="1"/>
  <c r="G160" i="34" s="1"/>
  <c r="H160" i="34" s="1"/>
  <c r="E300" i="37"/>
  <c r="F300" i="37" s="1"/>
  <c r="I300" i="37" s="1"/>
  <c r="G311" i="34" s="1"/>
  <c r="H311" i="34" s="1"/>
  <c r="E296" i="37"/>
  <c r="F296" i="37" s="1"/>
  <c r="I296" i="37" s="1"/>
  <c r="G307" i="34" s="1"/>
  <c r="H307" i="34" s="1"/>
  <c r="E284" i="37"/>
  <c r="F284" i="37" s="1"/>
  <c r="I284" i="37" s="1"/>
  <c r="G295" i="34" s="1"/>
  <c r="H295" i="34" s="1"/>
  <c r="E276" i="37"/>
  <c r="F276" i="37" s="1"/>
  <c r="I276" i="37" s="1"/>
  <c r="G287" i="34" s="1"/>
  <c r="H287" i="34" s="1"/>
  <c r="E76" i="37"/>
  <c r="F76" i="37" s="1"/>
  <c r="I76" i="37" s="1"/>
  <c r="G87" i="34" s="1"/>
  <c r="H87" i="34" s="1"/>
  <c r="E90" i="37"/>
  <c r="F90" i="37" s="1"/>
  <c r="I90" i="37" s="1"/>
  <c r="G101" i="34" s="1"/>
  <c r="H101" i="34" s="1"/>
  <c r="E50" i="37"/>
  <c r="F50" i="37" s="1"/>
  <c r="I50" i="37" s="1"/>
  <c r="G61" i="34" s="1"/>
  <c r="H61" i="34" s="1"/>
  <c r="E159" i="37"/>
  <c r="F159" i="37" s="1"/>
  <c r="I159" i="37" s="1"/>
  <c r="G170" i="34" s="1"/>
  <c r="H170" i="34" s="1"/>
  <c r="E302" i="37"/>
  <c r="F302" i="37" s="1"/>
  <c r="I302" i="37" s="1"/>
  <c r="G313" i="34" s="1"/>
  <c r="H313" i="34" s="1"/>
  <c r="E189" i="37"/>
  <c r="F189" i="37" s="1"/>
  <c r="I189" i="37" s="1"/>
  <c r="G200" i="34" s="1"/>
  <c r="H200" i="34" s="1"/>
  <c r="E100" i="37"/>
  <c r="F100" i="37" s="1"/>
  <c r="I100" i="37" s="1"/>
  <c r="G111" i="34" s="1"/>
  <c r="H111" i="34" s="1"/>
  <c r="E80" i="37"/>
  <c r="F80" i="37" s="1"/>
  <c r="I80" i="37" s="1"/>
  <c r="G91" i="34" s="1"/>
  <c r="H91" i="34" s="1"/>
  <c r="E147" i="37"/>
  <c r="F147" i="37" s="1"/>
  <c r="I147" i="37" s="1"/>
  <c r="G158" i="34" s="1"/>
  <c r="H158" i="34" s="1"/>
  <c r="E211" i="37"/>
  <c r="F211" i="37" s="1"/>
  <c r="I211" i="37" s="1"/>
  <c r="G222" i="34" s="1"/>
  <c r="H222" i="34" s="1"/>
  <c r="E44" i="37"/>
  <c r="F44" i="37" s="1"/>
  <c r="I44" i="37" s="1"/>
  <c r="G55" i="34" s="1"/>
  <c r="H55" i="34" s="1"/>
  <c r="E262" i="37"/>
  <c r="F262" i="37" s="1"/>
  <c r="I262" i="37" s="1"/>
  <c r="G273" i="34" s="1"/>
  <c r="H273" i="34" s="1"/>
  <c r="E230" i="37"/>
  <c r="F230" i="37" s="1"/>
  <c r="I230" i="37" s="1"/>
  <c r="G241" i="34" s="1"/>
  <c r="H241" i="34" s="1"/>
  <c r="E6" i="37"/>
  <c r="F6" i="37" s="1"/>
  <c r="I6" i="37" s="1"/>
  <c r="G17" i="34" s="1"/>
  <c r="H17" i="34" s="1"/>
  <c r="E114" i="37"/>
  <c r="F114" i="37" s="1"/>
  <c r="I114" i="37" s="1"/>
  <c r="G125" i="34" s="1"/>
  <c r="H125" i="34" s="1"/>
  <c r="E72" i="37"/>
  <c r="F72" i="37" s="1"/>
  <c r="I72" i="37" s="1"/>
  <c r="G83" i="34" s="1"/>
  <c r="H83" i="34" s="1"/>
  <c r="E28" i="37"/>
  <c r="F28" i="37" s="1"/>
  <c r="I28" i="37" s="1"/>
  <c r="G39" i="34" s="1"/>
  <c r="H39" i="34" s="1"/>
  <c r="E183" i="37"/>
  <c r="F183" i="37" s="1"/>
  <c r="I183" i="37" s="1"/>
  <c r="G194" i="34" s="1"/>
  <c r="H194" i="34" s="1"/>
  <c r="E244" i="37"/>
  <c r="F244" i="37" s="1"/>
  <c r="I244" i="37" s="1"/>
  <c r="G255" i="34" s="1"/>
  <c r="H255" i="34" s="1"/>
  <c r="E240" i="37"/>
  <c r="F240" i="37" s="1"/>
  <c r="I240" i="37" s="1"/>
  <c r="G251" i="34" s="1"/>
  <c r="H251" i="34" s="1"/>
  <c r="E56" i="37"/>
  <c r="F56" i="37" s="1"/>
  <c r="I56" i="37" s="1"/>
  <c r="G67" i="34" s="1"/>
  <c r="H67" i="34" s="1"/>
  <c r="E201" i="37"/>
  <c r="F201" i="37" s="1"/>
  <c r="I201" i="37" s="1"/>
  <c r="G212" i="34" s="1"/>
  <c r="H212" i="34" s="1"/>
  <c r="E169" i="37"/>
  <c r="F169" i="37" s="1"/>
  <c r="I169" i="37" s="1"/>
  <c r="G180" i="34" s="1"/>
  <c r="H180" i="34" s="1"/>
  <c r="E135" i="37"/>
  <c r="F135" i="37" s="1"/>
  <c r="I135" i="37" s="1"/>
  <c r="G146" i="34" s="1"/>
  <c r="H146" i="34" s="1"/>
  <c r="E110" i="37"/>
  <c r="F110" i="37" s="1"/>
  <c r="I110" i="37" s="1"/>
  <c r="G121" i="34" s="1"/>
  <c r="H121" i="34" s="1"/>
  <c r="E137" i="37"/>
  <c r="F137" i="37" s="1"/>
  <c r="I137" i="37" s="1"/>
  <c r="G148" i="34" s="1"/>
  <c r="H148" i="34" s="1"/>
  <c r="E203" i="37"/>
  <c r="F203" i="37" s="1"/>
  <c r="I203" i="37" s="1"/>
  <c r="G214" i="34" s="1"/>
  <c r="H214" i="34" s="1"/>
  <c r="E290" i="37"/>
  <c r="F290" i="37" s="1"/>
  <c r="I290" i="37" s="1"/>
  <c r="G301" i="34" s="1"/>
  <c r="H301" i="34" s="1"/>
  <c r="E26" i="37"/>
  <c r="F26" i="37" s="1"/>
  <c r="I26" i="37" s="1"/>
  <c r="G37" i="34" s="1"/>
  <c r="H37" i="34" s="1"/>
  <c r="E258" i="37"/>
  <c r="F258" i="37" s="1"/>
  <c r="I258" i="37" s="1"/>
  <c r="G269" i="34" s="1"/>
  <c r="H269" i="34" s="1"/>
  <c r="E226" i="37"/>
  <c r="F226" i="37" s="1"/>
  <c r="I226" i="37" s="1"/>
  <c r="G237" i="34" s="1"/>
  <c r="H237" i="34" s="1"/>
  <c r="E143" i="37"/>
  <c r="F143" i="37" s="1"/>
  <c r="I143" i="37" s="1"/>
  <c r="G154" i="34" s="1"/>
  <c r="H154" i="34" s="1"/>
  <c r="E228" i="37"/>
  <c r="F228" i="37" s="1"/>
  <c r="I228" i="37" s="1"/>
  <c r="G239" i="34" s="1"/>
  <c r="H239" i="34" s="1"/>
  <c r="E40" i="37"/>
  <c r="F40" i="37" s="1"/>
  <c r="I40" i="37" s="1"/>
  <c r="G51" i="34" s="1"/>
  <c r="H51" i="34" s="1"/>
  <c r="E165" i="37"/>
  <c r="F165" i="37" s="1"/>
  <c r="I165" i="37" s="1"/>
  <c r="G176" i="34" s="1"/>
  <c r="H176" i="34" s="1"/>
  <c r="E62" i="37"/>
  <c r="F62" i="37" s="1"/>
  <c r="I62" i="37" s="1"/>
  <c r="G73" i="34" s="1"/>
  <c r="H73" i="34" s="1"/>
  <c r="E112" i="37"/>
  <c r="F112" i="37" s="1"/>
  <c r="I112" i="37" s="1"/>
  <c r="G123" i="34" s="1"/>
  <c r="H123" i="34" s="1"/>
  <c r="E131" i="37"/>
  <c r="F131" i="37" s="1"/>
  <c r="I131" i="37" s="1"/>
  <c r="G142" i="34" s="1"/>
  <c r="H142" i="34" s="1"/>
  <c r="N219" i="49"/>
  <c r="O219" i="49" s="1"/>
  <c r="M219" i="25" s="1"/>
  <c r="N170" i="49"/>
  <c r="O170" i="49" s="1"/>
  <c r="M170" i="25" s="1"/>
  <c r="N8" i="49"/>
  <c r="N7" i="49"/>
  <c r="N6" i="49"/>
  <c r="N105" i="49"/>
  <c r="O105" i="49" s="1"/>
  <c r="M105" i="25" s="1"/>
  <c r="E5" i="37"/>
  <c r="F5" i="37" s="1"/>
  <c r="I5" i="37" s="1"/>
  <c r="D5" i="9"/>
  <c r="D7" i="9"/>
  <c r="D6" i="9"/>
  <c r="I5" i="11"/>
  <c r="I314" i="11" s="1"/>
  <c r="K40" i="40" s="1"/>
  <c r="H314" i="11"/>
  <c r="M5" i="11"/>
  <c r="L314" i="11"/>
  <c r="M314" i="11" l="1"/>
  <c r="K41" i="40" s="1"/>
  <c r="F10" i="9"/>
  <c r="F30" i="48"/>
  <c r="N256" i="49"/>
  <c r="O256" i="49" s="1"/>
  <c r="M256" i="25" s="1"/>
  <c r="N301" i="49"/>
  <c r="O301" i="49" s="1"/>
  <c r="M301" i="25" s="1"/>
  <c r="N15" i="49"/>
  <c r="O15" i="49" s="1"/>
  <c r="M15" i="25" s="1"/>
  <c r="N58" i="49"/>
  <c r="O58" i="49" s="1"/>
  <c r="M58" i="25" s="1"/>
  <c r="N113" i="49"/>
  <c r="O113" i="49" s="1"/>
  <c r="M113" i="25" s="1"/>
  <c r="N75" i="49"/>
  <c r="O75" i="49" s="1"/>
  <c r="M75" i="25" s="1"/>
  <c r="N210" i="49"/>
  <c r="O210" i="49" s="1"/>
  <c r="M210" i="25" s="1"/>
  <c r="N40" i="49"/>
  <c r="O40" i="49" s="1"/>
  <c r="M40" i="25" s="1"/>
  <c r="N188" i="49"/>
  <c r="O188" i="49" s="1"/>
  <c r="M188" i="25" s="1"/>
  <c r="N300" i="49"/>
  <c r="O300" i="49" s="1"/>
  <c r="M300" i="25" s="1"/>
  <c r="N179" i="49"/>
  <c r="O179" i="49" s="1"/>
  <c r="M179" i="25" s="1"/>
  <c r="N288" i="49"/>
  <c r="O288" i="49" s="1"/>
  <c r="M288" i="25" s="1"/>
  <c r="N273" i="49"/>
  <c r="O273" i="49" s="1"/>
  <c r="M273" i="25" s="1"/>
  <c r="N35" i="49"/>
  <c r="O35" i="49" s="1"/>
  <c r="M35" i="25" s="1"/>
  <c r="N76" i="49"/>
  <c r="O76" i="49" s="1"/>
  <c r="M76" i="25" s="1"/>
  <c r="N245" i="49"/>
  <c r="O245" i="49" s="1"/>
  <c r="M245" i="25" s="1"/>
  <c r="N183" i="49"/>
  <c r="O183" i="49" s="1"/>
  <c r="M183" i="25" s="1"/>
  <c r="O7" i="49"/>
  <c r="M7" i="25" s="1"/>
  <c r="N177" i="49"/>
  <c r="O177" i="49" s="1"/>
  <c r="M177" i="25" s="1"/>
  <c r="N17" i="49"/>
  <c r="O17" i="49" s="1"/>
  <c r="M17" i="25" s="1"/>
  <c r="N124" i="49"/>
  <c r="O124" i="49" s="1"/>
  <c r="M124" i="25" s="1"/>
  <c r="N192" i="49"/>
  <c r="O192" i="49" s="1"/>
  <c r="M192" i="25" s="1"/>
  <c r="N110" i="49"/>
  <c r="O110" i="49" s="1"/>
  <c r="M110" i="25" s="1"/>
  <c r="N100" i="49"/>
  <c r="O100" i="49" s="1"/>
  <c r="M100" i="25" s="1"/>
  <c r="N66" i="49"/>
  <c r="O66" i="49" s="1"/>
  <c r="M66" i="25" s="1"/>
  <c r="N241" i="49"/>
  <c r="O241" i="49" s="1"/>
  <c r="M241" i="25" s="1"/>
  <c r="N22" i="49"/>
  <c r="O22" i="49" s="1"/>
  <c r="M22" i="25" s="1"/>
  <c r="N59" i="49"/>
  <c r="O59" i="49" s="1"/>
  <c r="M59" i="25" s="1"/>
  <c r="N181" i="49"/>
  <c r="O181" i="49" s="1"/>
  <c r="M181" i="25" s="1"/>
  <c r="N214" i="49"/>
  <c r="O214" i="49" s="1"/>
  <c r="M214" i="25" s="1"/>
  <c r="N270" i="49"/>
  <c r="O270" i="49" s="1"/>
  <c r="M270" i="25" s="1"/>
  <c r="N129" i="49"/>
  <c r="O129" i="49" s="1"/>
  <c r="M129" i="25" s="1"/>
  <c r="N99" i="49"/>
  <c r="O99" i="49" s="1"/>
  <c r="M99" i="25" s="1"/>
  <c r="N74" i="49"/>
  <c r="O74" i="49" s="1"/>
  <c r="M74" i="25" s="1"/>
  <c r="N225" i="49"/>
  <c r="O225" i="49" s="1"/>
  <c r="M225" i="25" s="1"/>
  <c r="N290" i="49"/>
  <c r="O290" i="49" s="1"/>
  <c r="M290" i="25" s="1"/>
  <c r="N18" i="49"/>
  <c r="O18" i="49" s="1"/>
  <c r="M18" i="25" s="1"/>
  <c r="N312" i="49"/>
  <c r="O312" i="49" s="1"/>
  <c r="M312" i="25" s="1"/>
  <c r="N156" i="49"/>
  <c r="O156" i="49" s="1"/>
  <c r="M156" i="25" s="1"/>
  <c r="N292" i="49"/>
  <c r="O292" i="49" s="1"/>
  <c r="M292" i="25" s="1"/>
  <c r="N291" i="49"/>
  <c r="O291" i="49" s="1"/>
  <c r="M291" i="25" s="1"/>
  <c r="N33" i="49"/>
  <c r="O33" i="49" s="1"/>
  <c r="M33" i="25" s="1"/>
  <c r="N97" i="49"/>
  <c r="O97" i="49" s="1"/>
  <c r="M97" i="25" s="1"/>
  <c r="N272" i="49"/>
  <c r="O272" i="49" s="1"/>
  <c r="M272" i="25" s="1"/>
  <c r="N118" i="49"/>
  <c r="O118" i="49" s="1"/>
  <c r="M118" i="25" s="1"/>
  <c r="N62" i="49"/>
  <c r="O62" i="49" s="1"/>
  <c r="M62" i="25" s="1"/>
  <c r="N178" i="49"/>
  <c r="O178" i="49" s="1"/>
  <c r="M178" i="25" s="1"/>
  <c r="N26" i="49"/>
  <c r="O26" i="49" s="1"/>
  <c r="M26" i="25" s="1"/>
  <c r="N186" i="49"/>
  <c r="O186" i="49" s="1"/>
  <c r="M186" i="25" s="1"/>
  <c r="N274" i="49"/>
  <c r="O274" i="49" s="1"/>
  <c r="M274" i="25" s="1"/>
  <c r="N141" i="49"/>
  <c r="O141" i="49" s="1"/>
  <c r="M141" i="25" s="1"/>
  <c r="N247" i="49"/>
  <c r="O247" i="49" s="1"/>
  <c r="M247" i="25" s="1"/>
  <c r="N80" i="49"/>
  <c r="O80" i="49" s="1"/>
  <c r="M80" i="25" s="1"/>
  <c r="N161" i="49"/>
  <c r="O161" i="49" s="1"/>
  <c r="M161" i="25" s="1"/>
  <c r="N71" i="49"/>
  <c r="O71" i="49" s="1"/>
  <c r="M71" i="25" s="1"/>
  <c r="N304" i="49"/>
  <c r="O304" i="49" s="1"/>
  <c r="M304" i="25" s="1"/>
  <c r="N255" i="49"/>
  <c r="O255" i="49" s="1"/>
  <c r="M255" i="25" s="1"/>
  <c r="N65" i="49"/>
  <c r="O65" i="49" s="1"/>
  <c r="M65" i="25" s="1"/>
  <c r="N289" i="49"/>
  <c r="O289" i="49" s="1"/>
  <c r="M289" i="25" s="1"/>
  <c r="N293" i="49"/>
  <c r="O293" i="49" s="1"/>
  <c r="M293" i="25" s="1"/>
  <c r="N222" i="49"/>
  <c r="O222" i="49" s="1"/>
  <c r="M222" i="25" s="1"/>
  <c r="N253" i="49"/>
  <c r="O253" i="49" s="1"/>
  <c r="M253" i="25" s="1"/>
  <c r="N302" i="49"/>
  <c r="O302" i="49" s="1"/>
  <c r="M302" i="25" s="1"/>
  <c r="N191" i="49"/>
  <c r="O191" i="49" s="1"/>
  <c r="M191" i="25" s="1"/>
  <c r="N132" i="49"/>
  <c r="O132" i="49" s="1"/>
  <c r="M132" i="25" s="1"/>
  <c r="N10" i="49"/>
  <c r="O10" i="49" s="1"/>
  <c r="M10" i="25" s="1"/>
  <c r="N57" i="49"/>
  <c r="O57" i="49" s="1"/>
  <c r="M57" i="25" s="1"/>
  <c r="N45" i="49"/>
  <c r="O45" i="49" s="1"/>
  <c r="M45" i="25" s="1"/>
  <c r="N313" i="49"/>
  <c r="O313" i="49" s="1"/>
  <c r="M313" i="25" s="1"/>
  <c r="N258" i="49"/>
  <c r="O258" i="49" s="1"/>
  <c r="M258" i="25" s="1"/>
  <c r="N64" i="49"/>
  <c r="O64" i="49" s="1"/>
  <c r="M64" i="25" s="1"/>
  <c r="N148" i="49"/>
  <c r="O148" i="49" s="1"/>
  <c r="M148" i="25" s="1"/>
  <c r="N306" i="49"/>
  <c r="O306" i="49" s="1"/>
  <c r="M306" i="25" s="1"/>
  <c r="N82" i="49"/>
  <c r="O82" i="49" s="1"/>
  <c r="M82" i="25" s="1"/>
  <c r="N310" i="49"/>
  <c r="O310" i="49" s="1"/>
  <c r="M310" i="25" s="1"/>
  <c r="N127" i="49"/>
  <c r="O127" i="49" s="1"/>
  <c r="M127" i="25" s="1"/>
  <c r="N164" i="49"/>
  <c r="O164" i="49" s="1"/>
  <c r="M164" i="25" s="1"/>
  <c r="N123" i="49"/>
  <c r="O123" i="49" s="1"/>
  <c r="M123" i="25" s="1"/>
  <c r="N307" i="49"/>
  <c r="O307" i="49" s="1"/>
  <c r="M307" i="25" s="1"/>
  <c r="N128" i="49"/>
  <c r="O128" i="49" s="1"/>
  <c r="M128" i="25" s="1"/>
  <c r="N279" i="49"/>
  <c r="O279" i="49" s="1"/>
  <c r="M279" i="25" s="1"/>
  <c r="N55" i="49"/>
  <c r="O55" i="49" s="1"/>
  <c r="M55" i="25" s="1"/>
  <c r="N261" i="49"/>
  <c r="O261" i="49" s="1"/>
  <c r="M261" i="25" s="1"/>
  <c r="N9" i="49"/>
  <c r="O9" i="49" s="1"/>
  <c r="M9" i="25" s="1"/>
  <c r="N77" i="49"/>
  <c r="O77" i="49" s="1"/>
  <c r="M77" i="25" s="1"/>
  <c r="N16" i="49"/>
  <c r="O16" i="49" s="1"/>
  <c r="M16" i="25" s="1"/>
  <c r="N189" i="49"/>
  <c r="O189" i="49" s="1"/>
  <c r="M189" i="25" s="1"/>
  <c r="N19" i="49"/>
  <c r="O19" i="49" s="1"/>
  <c r="M19" i="25" s="1"/>
  <c r="N104" i="49"/>
  <c r="O104" i="49" s="1"/>
  <c r="M104" i="25" s="1"/>
  <c r="N155" i="49"/>
  <c r="O155" i="49" s="1"/>
  <c r="M155" i="25" s="1"/>
  <c r="N103" i="49"/>
  <c r="O103" i="49" s="1"/>
  <c r="M103" i="25" s="1"/>
  <c r="N199" i="49"/>
  <c r="O199" i="49" s="1"/>
  <c r="M199" i="25" s="1"/>
  <c r="N134" i="49"/>
  <c r="O134" i="49" s="1"/>
  <c r="M134" i="25" s="1"/>
  <c r="O8" i="49"/>
  <c r="M8" i="25" s="1"/>
  <c r="N196" i="49"/>
  <c r="O196" i="49" s="1"/>
  <c r="M196" i="25" s="1"/>
  <c r="N32" i="49"/>
  <c r="O32" i="49" s="1"/>
  <c r="M32" i="25" s="1"/>
  <c r="N98" i="49"/>
  <c r="O98" i="49" s="1"/>
  <c r="M98" i="25" s="1"/>
  <c r="N120" i="49"/>
  <c r="O120" i="49" s="1"/>
  <c r="M120" i="25" s="1"/>
  <c r="N38" i="49"/>
  <c r="O38" i="49" s="1"/>
  <c r="M38" i="25" s="1"/>
  <c r="N130" i="49"/>
  <c r="O130" i="49" s="1"/>
  <c r="M130" i="25" s="1"/>
  <c r="N227" i="49"/>
  <c r="O227" i="49" s="1"/>
  <c r="M227" i="25" s="1"/>
  <c r="N91" i="49"/>
  <c r="O91" i="49" s="1"/>
  <c r="M91" i="25" s="1"/>
  <c r="N116" i="49"/>
  <c r="O116" i="49" s="1"/>
  <c r="M116" i="25" s="1"/>
  <c r="N234" i="49"/>
  <c r="O234" i="49" s="1"/>
  <c r="M234" i="25" s="1"/>
  <c r="N79" i="49"/>
  <c r="O79" i="49" s="1"/>
  <c r="M79" i="25" s="1"/>
  <c r="N34" i="49"/>
  <c r="O34" i="49" s="1"/>
  <c r="M34" i="25" s="1"/>
  <c r="N151" i="49"/>
  <c r="O151" i="49" s="1"/>
  <c r="M151" i="25" s="1"/>
  <c r="N239" i="49"/>
  <c r="O239" i="49" s="1"/>
  <c r="M239" i="25" s="1"/>
  <c r="N168" i="49"/>
  <c r="O168" i="49" s="1"/>
  <c r="M168" i="25" s="1"/>
  <c r="N157" i="49"/>
  <c r="O157" i="49" s="1"/>
  <c r="M157" i="25" s="1"/>
  <c r="N14" i="49"/>
  <c r="O14" i="49" s="1"/>
  <c r="M14" i="25" s="1"/>
  <c r="N299" i="49"/>
  <c r="O299" i="49" s="1"/>
  <c r="M299" i="25" s="1"/>
  <c r="N114" i="49"/>
  <c r="O114" i="49" s="1"/>
  <c r="M114" i="25" s="1"/>
  <c r="N257" i="49"/>
  <c r="O257" i="49" s="1"/>
  <c r="M257" i="25" s="1"/>
  <c r="N49" i="49"/>
  <c r="O49" i="49" s="1"/>
  <c r="M49" i="25" s="1"/>
  <c r="N295" i="49"/>
  <c r="O295" i="49" s="1"/>
  <c r="M295" i="25" s="1"/>
  <c r="N217" i="49"/>
  <c r="O217" i="49" s="1"/>
  <c r="M217" i="25" s="1"/>
  <c r="N85" i="49"/>
  <c r="O85" i="49" s="1"/>
  <c r="M85" i="25" s="1"/>
  <c r="N180" i="49"/>
  <c r="O180" i="49" s="1"/>
  <c r="M180" i="25" s="1"/>
  <c r="N86" i="49"/>
  <c r="O86" i="49" s="1"/>
  <c r="M86" i="25" s="1"/>
  <c r="N39" i="49"/>
  <c r="O39" i="49" s="1"/>
  <c r="M39" i="25" s="1"/>
  <c r="N286" i="49"/>
  <c r="O286" i="49" s="1"/>
  <c r="M286" i="25" s="1"/>
  <c r="N240" i="49"/>
  <c r="O240" i="49" s="1"/>
  <c r="M240" i="25" s="1"/>
  <c r="N143" i="49"/>
  <c r="O143" i="49" s="1"/>
  <c r="M143" i="25" s="1"/>
  <c r="N184" i="49"/>
  <c r="O184" i="49" s="1"/>
  <c r="M184" i="25" s="1"/>
  <c r="N21" i="49"/>
  <c r="O21" i="49" s="1"/>
  <c r="M21" i="25" s="1"/>
  <c r="N149" i="49"/>
  <c r="O149" i="49" s="1"/>
  <c r="M149" i="25" s="1"/>
  <c r="N248" i="49"/>
  <c r="O248" i="49" s="1"/>
  <c r="M248" i="25" s="1"/>
  <c r="N193" i="49"/>
  <c r="O193" i="49" s="1"/>
  <c r="M193" i="25" s="1"/>
  <c r="N122" i="49"/>
  <c r="O122" i="49" s="1"/>
  <c r="M122" i="25" s="1"/>
  <c r="N12" i="49"/>
  <c r="O12" i="49" s="1"/>
  <c r="M12" i="25" s="1"/>
  <c r="N95" i="49"/>
  <c r="O95" i="49" s="1"/>
  <c r="M95" i="25" s="1"/>
  <c r="N220" i="49"/>
  <c r="O220" i="49" s="1"/>
  <c r="M220" i="25" s="1"/>
  <c r="N146" i="49"/>
  <c r="O146" i="49" s="1"/>
  <c r="M146" i="25" s="1"/>
  <c r="N81" i="49"/>
  <c r="O81" i="49" s="1"/>
  <c r="M81" i="25" s="1"/>
  <c r="N206" i="49"/>
  <c r="O206" i="49" s="1"/>
  <c r="M206" i="25" s="1"/>
  <c r="N243" i="49"/>
  <c r="O243" i="49" s="1"/>
  <c r="M243" i="25" s="1"/>
  <c r="N125" i="49"/>
  <c r="O125" i="49" s="1"/>
  <c r="M125" i="25" s="1"/>
  <c r="N283" i="49"/>
  <c r="O283" i="49" s="1"/>
  <c r="M283" i="25" s="1"/>
  <c r="N159" i="49"/>
  <c r="O159" i="49" s="1"/>
  <c r="M159" i="25" s="1"/>
  <c r="N137" i="49"/>
  <c r="O137" i="49" s="1"/>
  <c r="M137" i="25" s="1"/>
  <c r="N176" i="49"/>
  <c r="O176" i="49" s="1"/>
  <c r="M176" i="25" s="1"/>
  <c r="N209" i="49"/>
  <c r="O209" i="49" s="1"/>
  <c r="M209" i="25" s="1"/>
  <c r="N287" i="49"/>
  <c r="O287" i="49" s="1"/>
  <c r="M287" i="25" s="1"/>
  <c r="N101" i="49"/>
  <c r="O101" i="49" s="1"/>
  <c r="M101" i="25" s="1"/>
  <c r="N30" i="49"/>
  <c r="O30" i="49" s="1"/>
  <c r="M30" i="25" s="1"/>
  <c r="N166" i="49"/>
  <c r="O166" i="49" s="1"/>
  <c r="M166" i="25" s="1"/>
  <c r="N254" i="49"/>
  <c r="O254" i="49" s="1"/>
  <c r="M254" i="25" s="1"/>
  <c r="N54" i="49"/>
  <c r="O54" i="49" s="1"/>
  <c r="M54" i="25" s="1"/>
  <c r="N36" i="49"/>
  <c r="O36" i="49" s="1"/>
  <c r="M36" i="25" s="1"/>
  <c r="N142" i="49"/>
  <c r="O142" i="49" s="1"/>
  <c r="M142" i="25" s="1"/>
  <c r="N48" i="49"/>
  <c r="O48" i="49" s="1"/>
  <c r="M48" i="25" s="1"/>
  <c r="N153" i="49"/>
  <c r="O153" i="49" s="1"/>
  <c r="M153" i="25" s="1"/>
  <c r="N92" i="49"/>
  <c r="O92" i="49" s="1"/>
  <c r="M92" i="25" s="1"/>
  <c r="N226" i="49"/>
  <c r="O226" i="49" s="1"/>
  <c r="M226" i="25" s="1"/>
  <c r="N20" i="49"/>
  <c r="O20" i="49" s="1"/>
  <c r="M20" i="25" s="1"/>
  <c r="N205" i="49"/>
  <c r="O205" i="49" s="1"/>
  <c r="M205" i="25" s="1"/>
  <c r="N108" i="49"/>
  <c r="O108" i="49" s="1"/>
  <c r="M108" i="25" s="1"/>
  <c r="N78" i="49"/>
  <c r="O78" i="49" s="1"/>
  <c r="M78" i="25" s="1"/>
  <c r="N213" i="49"/>
  <c r="O213" i="49" s="1"/>
  <c r="M213" i="25" s="1"/>
  <c r="N73" i="49"/>
  <c r="O73" i="49" s="1"/>
  <c r="M73" i="25" s="1"/>
  <c r="N207" i="49"/>
  <c r="O207" i="49" s="1"/>
  <c r="M207" i="25" s="1"/>
  <c r="N150" i="49"/>
  <c r="O150" i="49" s="1"/>
  <c r="M150" i="25" s="1"/>
  <c r="N311" i="49"/>
  <c r="O311" i="49" s="1"/>
  <c r="M311" i="25" s="1"/>
  <c r="N51" i="49"/>
  <c r="O51" i="49" s="1"/>
  <c r="M51" i="25" s="1"/>
  <c r="N119" i="49"/>
  <c r="O119" i="49" s="1"/>
  <c r="M119" i="25" s="1"/>
  <c r="N69" i="49"/>
  <c r="O69" i="49" s="1"/>
  <c r="M69" i="25" s="1"/>
  <c r="N115" i="49"/>
  <c r="O115" i="49" s="1"/>
  <c r="M115" i="25" s="1"/>
  <c r="N68" i="49"/>
  <c r="O68" i="49" s="1"/>
  <c r="M68" i="25" s="1"/>
  <c r="N195" i="49"/>
  <c r="O195" i="49" s="1"/>
  <c r="M195" i="25" s="1"/>
  <c r="N203" i="49"/>
  <c r="O203" i="49" s="1"/>
  <c r="M203" i="25" s="1"/>
  <c r="N63" i="49"/>
  <c r="O63" i="49" s="1"/>
  <c r="M63" i="25" s="1"/>
  <c r="N185" i="49"/>
  <c r="O185" i="49" s="1"/>
  <c r="M185" i="25" s="1"/>
  <c r="N251" i="49"/>
  <c r="O251" i="49" s="1"/>
  <c r="M251" i="25" s="1"/>
  <c r="N145" i="49"/>
  <c r="O145" i="49" s="1"/>
  <c r="M145" i="25" s="1"/>
  <c r="N131" i="49"/>
  <c r="O131" i="49" s="1"/>
  <c r="M131" i="25" s="1"/>
  <c r="N281" i="49"/>
  <c r="O281" i="49" s="1"/>
  <c r="M281" i="25" s="1"/>
  <c r="N13" i="49"/>
  <c r="O13" i="49" s="1"/>
  <c r="M13" i="25" s="1"/>
  <c r="N229" i="49"/>
  <c r="O229" i="49" s="1"/>
  <c r="M229" i="25" s="1"/>
  <c r="N67" i="49"/>
  <c r="O67" i="49" s="1"/>
  <c r="M67" i="25" s="1"/>
  <c r="N169" i="49"/>
  <c r="O169" i="49" s="1"/>
  <c r="M169" i="25" s="1"/>
  <c r="N162" i="49"/>
  <c r="O162" i="49" s="1"/>
  <c r="M162" i="25" s="1"/>
  <c r="N44" i="49"/>
  <c r="O44" i="49" s="1"/>
  <c r="M44" i="25" s="1"/>
  <c r="N296" i="49"/>
  <c r="O296" i="49" s="1"/>
  <c r="M296" i="25" s="1"/>
  <c r="N277" i="49"/>
  <c r="O277" i="49" s="1"/>
  <c r="M277" i="25" s="1"/>
  <c r="N278" i="49"/>
  <c r="O278" i="49" s="1"/>
  <c r="M278" i="25" s="1"/>
  <c r="N167" i="49"/>
  <c r="O167" i="49" s="1"/>
  <c r="M167" i="25" s="1"/>
  <c r="N260" i="49"/>
  <c r="O260" i="49" s="1"/>
  <c r="M260" i="25" s="1"/>
  <c r="N117" i="49"/>
  <c r="O117" i="49" s="1"/>
  <c r="M117" i="25" s="1"/>
  <c r="N135" i="49"/>
  <c r="O135" i="49" s="1"/>
  <c r="M135" i="25" s="1"/>
  <c r="N111" i="49"/>
  <c r="O111" i="49" s="1"/>
  <c r="M111" i="25" s="1"/>
  <c r="N235" i="49"/>
  <c r="O235" i="49" s="1"/>
  <c r="M235" i="25" s="1"/>
  <c r="N23" i="49"/>
  <c r="O23" i="49" s="1"/>
  <c r="M23" i="25" s="1"/>
  <c r="N83" i="49"/>
  <c r="O83" i="49" s="1"/>
  <c r="M83" i="25" s="1"/>
  <c r="N37" i="49"/>
  <c r="O37" i="49" s="1"/>
  <c r="M37" i="25" s="1"/>
  <c r="N267" i="49"/>
  <c r="O267" i="49" s="1"/>
  <c r="M267" i="25" s="1"/>
  <c r="N175" i="49"/>
  <c r="O175" i="49" s="1"/>
  <c r="M175" i="25" s="1"/>
  <c r="N72" i="49"/>
  <c r="O72" i="49" s="1"/>
  <c r="M72" i="25" s="1"/>
  <c r="N28" i="49"/>
  <c r="O28" i="49" s="1"/>
  <c r="M28" i="25" s="1"/>
  <c r="N60" i="49"/>
  <c r="O60" i="49" s="1"/>
  <c r="M60" i="25" s="1"/>
  <c r="N29" i="49"/>
  <c r="O29" i="49" s="1"/>
  <c r="M29" i="25" s="1"/>
  <c r="N42" i="49"/>
  <c r="O42" i="49" s="1"/>
  <c r="M42" i="25" s="1"/>
  <c r="N297" i="49"/>
  <c r="O297" i="49" s="1"/>
  <c r="M297" i="25" s="1"/>
  <c r="N126" i="49"/>
  <c r="O126" i="49" s="1"/>
  <c r="M126" i="25" s="1"/>
  <c r="N223" i="49"/>
  <c r="O223" i="49" s="1"/>
  <c r="M223" i="25" s="1"/>
  <c r="N89" i="49"/>
  <c r="O89" i="49" s="1"/>
  <c r="M89" i="25" s="1"/>
  <c r="N298" i="49"/>
  <c r="O298" i="49" s="1"/>
  <c r="M298" i="25" s="1"/>
  <c r="N198" i="49"/>
  <c r="O198" i="49" s="1"/>
  <c r="M198" i="25" s="1"/>
  <c r="N284" i="49"/>
  <c r="O284" i="49" s="1"/>
  <c r="M284" i="25" s="1"/>
  <c r="N204" i="49"/>
  <c r="O204" i="49" s="1"/>
  <c r="M204" i="25" s="1"/>
  <c r="N201" i="49"/>
  <c r="O201" i="49" s="1"/>
  <c r="M201" i="25" s="1"/>
  <c r="N109" i="49"/>
  <c r="O109" i="49" s="1"/>
  <c r="M109" i="25" s="1"/>
  <c r="N208" i="49"/>
  <c r="O208" i="49" s="1"/>
  <c r="M208" i="25" s="1"/>
  <c r="N27" i="49"/>
  <c r="O27" i="49" s="1"/>
  <c r="M27" i="25" s="1"/>
  <c r="N52" i="49"/>
  <c r="O52" i="49" s="1"/>
  <c r="M52" i="25" s="1"/>
  <c r="N112" i="49"/>
  <c r="O112" i="49" s="1"/>
  <c r="M112" i="25" s="1"/>
  <c r="N212" i="49"/>
  <c r="O212" i="49" s="1"/>
  <c r="M212" i="25" s="1"/>
  <c r="N25" i="49"/>
  <c r="O25" i="49" s="1"/>
  <c r="M25" i="25" s="1"/>
  <c r="N56" i="49"/>
  <c r="O56" i="49" s="1"/>
  <c r="M56" i="25" s="1"/>
  <c r="N106" i="49"/>
  <c r="O106" i="49" s="1"/>
  <c r="M106" i="25" s="1"/>
  <c r="N303" i="49"/>
  <c r="O303" i="49" s="1"/>
  <c r="M303" i="25" s="1"/>
  <c r="N238" i="49"/>
  <c r="O238" i="49" s="1"/>
  <c r="M238" i="25" s="1"/>
  <c r="N216" i="49"/>
  <c r="O216" i="49" s="1"/>
  <c r="M216" i="25" s="1"/>
  <c r="N61" i="49"/>
  <c r="O61" i="49" s="1"/>
  <c r="M61" i="25" s="1"/>
  <c r="N140" i="49"/>
  <c r="O140" i="49" s="1"/>
  <c r="M140" i="25" s="1"/>
  <c r="N41" i="49"/>
  <c r="O41" i="49" s="1"/>
  <c r="M41" i="25" s="1"/>
  <c r="N70" i="49"/>
  <c r="O70" i="49" s="1"/>
  <c r="M70" i="25" s="1"/>
  <c r="N309" i="49"/>
  <c r="O309" i="49" s="1"/>
  <c r="M309" i="25" s="1"/>
  <c r="N266" i="49"/>
  <c r="O266" i="49" s="1"/>
  <c r="M266" i="25" s="1"/>
  <c r="N46" i="49"/>
  <c r="O46" i="49" s="1"/>
  <c r="M46" i="25" s="1"/>
  <c r="N194" i="49"/>
  <c r="O194" i="49" s="1"/>
  <c r="M194" i="25" s="1"/>
  <c r="N246" i="49"/>
  <c r="O246" i="49" s="1"/>
  <c r="M246" i="25" s="1"/>
  <c r="N154" i="49"/>
  <c r="O154" i="49" s="1"/>
  <c r="M154" i="25" s="1"/>
  <c r="N308" i="49"/>
  <c r="O308" i="49" s="1"/>
  <c r="M308" i="25" s="1"/>
  <c r="N50" i="49"/>
  <c r="O50" i="49" s="1"/>
  <c r="M50" i="25" s="1"/>
  <c r="N197" i="49"/>
  <c r="O197" i="49" s="1"/>
  <c r="M197" i="25" s="1"/>
  <c r="N250" i="49"/>
  <c r="O250" i="49" s="1"/>
  <c r="M250" i="25" s="1"/>
  <c r="N200" i="49"/>
  <c r="O200" i="49" s="1"/>
  <c r="M200" i="25" s="1"/>
  <c r="N314" i="49"/>
  <c r="O314" i="49" s="1"/>
  <c r="M314" i="25" s="1"/>
  <c r="N173" i="49"/>
  <c r="O173" i="49" s="1"/>
  <c r="M173" i="25" s="1"/>
  <c r="N87" i="49"/>
  <c r="O87" i="49" s="1"/>
  <c r="M87" i="25" s="1"/>
  <c r="N268" i="49"/>
  <c r="O268" i="49" s="1"/>
  <c r="M268" i="25" s="1"/>
  <c r="N94" i="49"/>
  <c r="O94" i="49" s="1"/>
  <c r="M94" i="25" s="1"/>
  <c r="N107" i="49"/>
  <c r="O107" i="49" s="1"/>
  <c r="M107" i="25" s="1"/>
  <c r="N88" i="49"/>
  <c r="O88" i="49" s="1"/>
  <c r="M88" i="25" s="1"/>
  <c r="N269" i="49"/>
  <c r="O269" i="49" s="1"/>
  <c r="M269" i="25" s="1"/>
  <c r="N230" i="49"/>
  <c r="O230" i="49" s="1"/>
  <c r="M230" i="25" s="1"/>
  <c r="N249" i="49"/>
  <c r="O249" i="49" s="1"/>
  <c r="M249" i="25" s="1"/>
  <c r="N305" i="49"/>
  <c r="O305" i="49" s="1"/>
  <c r="M305" i="25" s="1"/>
  <c r="N252" i="49"/>
  <c r="O252" i="49" s="1"/>
  <c r="M252" i="25" s="1"/>
  <c r="N24" i="49"/>
  <c r="O24" i="49" s="1"/>
  <c r="M24" i="25" s="1"/>
  <c r="N265" i="49"/>
  <c r="O265" i="49" s="1"/>
  <c r="M265" i="25" s="1"/>
  <c r="N163" i="49"/>
  <c r="O163" i="49" s="1"/>
  <c r="M163" i="25" s="1"/>
  <c r="N236" i="49"/>
  <c r="O236" i="49" s="1"/>
  <c r="M236" i="25" s="1"/>
  <c r="N259" i="49"/>
  <c r="O259" i="49" s="1"/>
  <c r="M259" i="25" s="1"/>
  <c r="N233" i="49"/>
  <c r="O233" i="49" s="1"/>
  <c r="M233" i="25" s="1"/>
  <c r="N47" i="49"/>
  <c r="O47" i="49" s="1"/>
  <c r="M47" i="25" s="1"/>
  <c r="N221" i="49"/>
  <c r="O221" i="49" s="1"/>
  <c r="M221" i="25" s="1"/>
  <c r="N172" i="49"/>
  <c r="O172" i="49" s="1"/>
  <c r="M172" i="25" s="1"/>
  <c r="N53" i="49"/>
  <c r="O53" i="49" s="1"/>
  <c r="M53" i="25" s="1"/>
  <c r="N31" i="49"/>
  <c r="O31" i="49" s="1"/>
  <c r="M31" i="25" s="1"/>
  <c r="N228" i="49"/>
  <c r="O228" i="49" s="1"/>
  <c r="M228" i="25" s="1"/>
  <c r="N215" i="49"/>
  <c r="O215" i="49" s="1"/>
  <c r="M215" i="25" s="1"/>
  <c r="N202" i="49"/>
  <c r="O202" i="49" s="1"/>
  <c r="M202" i="25" s="1"/>
  <c r="N232" i="49"/>
  <c r="O232" i="49" s="1"/>
  <c r="M232" i="25" s="1"/>
  <c r="N271" i="49"/>
  <c r="O271" i="49" s="1"/>
  <c r="M271" i="25" s="1"/>
  <c r="N182" i="49"/>
  <c r="O182" i="49" s="1"/>
  <c r="M182" i="25" s="1"/>
  <c r="B21" i="48"/>
  <c r="N152" i="49"/>
  <c r="O152" i="49" s="1"/>
  <c r="M152" i="25" s="1"/>
  <c r="N121" i="49"/>
  <c r="O121" i="49" s="1"/>
  <c r="M121" i="25" s="1"/>
  <c r="N276" i="49"/>
  <c r="O276" i="49" s="1"/>
  <c r="M276" i="25" s="1"/>
  <c r="N174" i="49"/>
  <c r="O174" i="49" s="1"/>
  <c r="M174" i="25" s="1"/>
  <c r="N275" i="49"/>
  <c r="O275" i="49" s="1"/>
  <c r="M275" i="25" s="1"/>
  <c r="N96" i="49"/>
  <c r="O96" i="49" s="1"/>
  <c r="M96" i="25" s="1"/>
  <c r="N218" i="49"/>
  <c r="O218" i="49" s="1"/>
  <c r="M218" i="25" s="1"/>
  <c r="N160" i="49"/>
  <c r="O160" i="49" s="1"/>
  <c r="M160" i="25" s="1"/>
  <c r="N144" i="49"/>
  <c r="O144" i="49" s="1"/>
  <c r="M144" i="25" s="1"/>
  <c r="N294" i="49"/>
  <c r="O294" i="49" s="1"/>
  <c r="M294" i="25" s="1"/>
  <c r="N43" i="49"/>
  <c r="O43" i="49" s="1"/>
  <c r="M43" i="25" s="1"/>
  <c r="N147" i="49"/>
  <c r="O147" i="49" s="1"/>
  <c r="M147" i="25" s="1"/>
  <c r="N102" i="49"/>
  <c r="O102" i="49" s="1"/>
  <c r="M102" i="25" s="1"/>
  <c r="N262" i="49"/>
  <c r="O262" i="49" s="1"/>
  <c r="M262" i="25" s="1"/>
  <c r="N285" i="49"/>
  <c r="O285" i="49" s="1"/>
  <c r="M285" i="25" s="1"/>
  <c r="N138" i="49"/>
  <c r="O138" i="49" s="1"/>
  <c r="M138" i="25" s="1"/>
  <c r="N158" i="49"/>
  <c r="O158" i="49" s="1"/>
  <c r="M158" i="25" s="1"/>
  <c r="N139" i="49"/>
  <c r="O139" i="49" s="1"/>
  <c r="M139" i="25" s="1"/>
  <c r="N224" i="49"/>
  <c r="O224" i="49" s="1"/>
  <c r="M224" i="25" s="1"/>
  <c r="N84" i="49"/>
  <c r="O84" i="49" s="1"/>
  <c r="M84" i="25" s="1"/>
  <c r="N165" i="49"/>
  <c r="O165" i="49" s="1"/>
  <c r="M165" i="25" s="1"/>
  <c r="N133" i="49"/>
  <c r="O133" i="49" s="1"/>
  <c r="M133" i="25" s="1"/>
  <c r="N231" i="49"/>
  <c r="O231" i="49" s="1"/>
  <c r="M231" i="25" s="1"/>
  <c r="N136" i="49"/>
  <c r="O136" i="49" s="1"/>
  <c r="M136" i="25" s="1"/>
  <c r="N237" i="49"/>
  <c r="O237" i="49" s="1"/>
  <c r="M237" i="25" s="1"/>
  <c r="N264" i="49"/>
  <c r="O264" i="49" s="1"/>
  <c r="M264" i="25" s="1"/>
  <c r="N11" i="49"/>
  <c r="O11" i="49" s="1"/>
  <c r="M11" i="25" s="1"/>
  <c r="N282" i="49"/>
  <c r="O282" i="49" s="1"/>
  <c r="M282" i="25" s="1"/>
  <c r="N190" i="49"/>
  <c r="O190" i="49" s="1"/>
  <c r="M190" i="25" s="1"/>
  <c r="N187" i="49"/>
  <c r="O187" i="49" s="1"/>
  <c r="M187" i="25" s="1"/>
  <c r="N93" i="49"/>
  <c r="O93" i="49" s="1"/>
  <c r="M93" i="25" s="1"/>
  <c r="N171" i="49"/>
  <c r="O171" i="49" s="1"/>
  <c r="M171" i="25" s="1"/>
  <c r="N280" i="49"/>
  <c r="O280" i="49" s="1"/>
  <c r="M280" i="25" s="1"/>
  <c r="N263" i="49"/>
  <c r="O263" i="49" s="1"/>
  <c r="M263" i="25" s="1"/>
  <c r="N211" i="49"/>
  <c r="O211" i="49" s="1"/>
  <c r="M211" i="25" s="1"/>
  <c r="N90" i="49"/>
  <c r="O90" i="49" s="1"/>
  <c r="M90" i="25" s="1"/>
  <c r="N242" i="49"/>
  <c r="O242" i="49" s="1"/>
  <c r="M242" i="25" s="1"/>
  <c r="K42" i="40"/>
  <c r="H42" i="40" s="1"/>
  <c r="I314" i="37"/>
  <c r="F314" i="37"/>
  <c r="G16" i="34"/>
  <c r="H16" i="34" s="1"/>
  <c r="F13" i="9" l="1"/>
  <c r="G13" i="9" s="1"/>
  <c r="D7" i="39" s="1"/>
  <c r="F14" i="9"/>
  <c r="G14" i="9" s="1"/>
  <c r="D8" i="12" s="1"/>
  <c r="F15" i="9"/>
  <c r="G15" i="9" s="1"/>
  <c r="F10" i="25" s="1"/>
  <c r="F16" i="9"/>
  <c r="G16" i="9" s="1"/>
  <c r="F19" i="9"/>
  <c r="G19" i="9" s="1"/>
  <c r="F20" i="9"/>
  <c r="G20" i="9" s="1"/>
  <c r="F15" i="25" s="1"/>
  <c r="F23" i="9"/>
  <c r="G23" i="9" s="1"/>
  <c r="F18" i="25" s="1"/>
  <c r="F24" i="9"/>
  <c r="G24" i="9" s="1"/>
  <c r="F27" i="9"/>
  <c r="G27" i="9" s="1"/>
  <c r="F28" i="9"/>
  <c r="G28" i="9" s="1"/>
  <c r="F23" i="25" s="1"/>
  <c r="F31" i="9"/>
  <c r="G31" i="9" s="1"/>
  <c r="D25" i="39" s="1"/>
  <c r="F32" i="9"/>
  <c r="G32" i="9" s="1"/>
  <c r="D26" i="12" s="1"/>
  <c r="F35" i="9"/>
  <c r="G35" i="9" s="1"/>
  <c r="F36" i="9"/>
  <c r="G36" i="9" s="1"/>
  <c r="F39" i="9"/>
  <c r="G39" i="9" s="1"/>
  <c r="D33" i="39" s="1"/>
  <c r="F40" i="9"/>
  <c r="G40" i="9" s="1"/>
  <c r="F35" i="25" s="1"/>
  <c r="F43" i="9"/>
  <c r="G43" i="9" s="1"/>
  <c r="F44" i="9"/>
  <c r="G44" i="9" s="1"/>
  <c r="F47" i="9"/>
  <c r="G47" i="9" s="1"/>
  <c r="D41" i="39" s="1"/>
  <c r="F48" i="9"/>
  <c r="G48" i="9" s="1"/>
  <c r="F51" i="9"/>
  <c r="G51" i="9" s="1"/>
  <c r="F46" i="25" s="1"/>
  <c r="F52" i="9"/>
  <c r="G52" i="9" s="1"/>
  <c r="F55" i="9"/>
  <c r="G55" i="9" s="1"/>
  <c r="F50" i="25" s="1"/>
  <c r="F56" i="9"/>
  <c r="G56" i="9" s="1"/>
  <c r="F51" i="25" s="1"/>
  <c r="F59" i="9"/>
  <c r="G59" i="9" s="1"/>
  <c r="F54" i="25" s="1"/>
  <c r="F60" i="9"/>
  <c r="G60" i="9" s="1"/>
  <c r="D54" i="12" s="1"/>
  <c r="F63" i="9"/>
  <c r="G63" i="9" s="1"/>
  <c r="F64" i="9"/>
  <c r="G64" i="9" s="1"/>
  <c r="F67" i="9"/>
  <c r="G67" i="9" s="1"/>
  <c r="D61" i="39" s="1"/>
  <c r="F68" i="9"/>
  <c r="G68" i="9" s="1"/>
  <c r="F63" i="25" s="1"/>
  <c r="F71" i="9"/>
  <c r="G71" i="9" s="1"/>
  <c r="F66" i="25" s="1"/>
  <c r="F72" i="9"/>
  <c r="G72" i="9" s="1"/>
  <c r="F75" i="9"/>
  <c r="G75" i="9" s="1"/>
  <c r="F70" i="25" s="1"/>
  <c r="F76" i="9"/>
  <c r="G76" i="9" s="1"/>
  <c r="F71" i="25" s="1"/>
  <c r="F79" i="9"/>
  <c r="G79" i="9" s="1"/>
  <c r="F80" i="9"/>
  <c r="G80" i="9" s="1"/>
  <c r="D74" i="39" s="1"/>
  <c r="F83" i="9"/>
  <c r="G83" i="9" s="1"/>
  <c r="F84" i="9"/>
  <c r="G84" i="9" s="1"/>
  <c r="F87" i="9"/>
  <c r="G87" i="9" s="1"/>
  <c r="D81" i="39" s="1"/>
  <c r="F88" i="9"/>
  <c r="G88" i="9" s="1"/>
  <c r="F91" i="9"/>
  <c r="G91" i="9" s="1"/>
  <c r="D85" i="39" s="1"/>
  <c r="F92" i="9"/>
  <c r="G92" i="9" s="1"/>
  <c r="F95" i="9"/>
  <c r="G95" i="9" s="1"/>
  <c r="F90" i="25" s="1"/>
  <c r="F96" i="9"/>
  <c r="G96" i="9" s="1"/>
  <c r="F99" i="9"/>
  <c r="G99" i="9" s="1"/>
  <c r="D93" i="39" s="1"/>
  <c r="F100" i="9"/>
  <c r="G100" i="9" s="1"/>
  <c r="F95" i="25" s="1"/>
  <c r="F103" i="9"/>
  <c r="G103" i="9" s="1"/>
  <c r="D97" i="39" s="1"/>
  <c r="F104" i="9"/>
  <c r="G104" i="9" s="1"/>
  <c r="D98" i="12" s="1"/>
  <c r="F107" i="9"/>
  <c r="G107" i="9" s="1"/>
  <c r="F102" i="25" s="1"/>
  <c r="F108" i="9"/>
  <c r="G108" i="9" s="1"/>
  <c r="F111" i="9"/>
  <c r="G111" i="9" s="1"/>
  <c r="D105" i="12" s="1"/>
  <c r="F112" i="9"/>
  <c r="G112" i="9" s="1"/>
  <c r="F115" i="9"/>
  <c r="G115" i="9" s="1"/>
  <c r="D109" i="12" s="1"/>
  <c r="F116" i="9"/>
  <c r="G116" i="9" s="1"/>
  <c r="F111" i="25" s="1"/>
  <c r="F119" i="9"/>
  <c r="G119" i="9" s="1"/>
  <c r="F120" i="9"/>
  <c r="G120" i="9" s="1"/>
  <c r="F123" i="9"/>
  <c r="G123" i="9" s="1"/>
  <c r="D117" i="12" s="1"/>
  <c r="F124" i="9"/>
  <c r="G124" i="9" s="1"/>
  <c r="D118" i="39" s="1"/>
  <c r="F127" i="9"/>
  <c r="G127" i="9" s="1"/>
  <c r="F128" i="9"/>
  <c r="G128" i="9" s="1"/>
  <c r="D122" i="39" s="1"/>
  <c r="F131" i="9"/>
  <c r="G131" i="9" s="1"/>
  <c r="F132" i="9"/>
  <c r="G132" i="9" s="1"/>
  <c r="F135" i="9"/>
  <c r="G135" i="9" s="1"/>
  <c r="F136" i="9"/>
  <c r="G136" i="9" s="1"/>
  <c r="F139" i="9"/>
  <c r="G139" i="9" s="1"/>
  <c r="D133" i="12" s="1"/>
  <c r="F140" i="9"/>
  <c r="G140" i="9" s="1"/>
  <c r="D134" i="39" s="1"/>
  <c r="F143" i="9"/>
  <c r="G143" i="9" s="1"/>
  <c r="D137" i="39" s="1"/>
  <c r="F144" i="9"/>
  <c r="G144" i="9" s="1"/>
  <c r="F147" i="9"/>
  <c r="G147" i="9" s="1"/>
  <c r="F142" i="25" s="1"/>
  <c r="F148" i="9"/>
  <c r="G148" i="9" s="1"/>
  <c r="F143" i="25" s="1"/>
  <c r="F151" i="9"/>
  <c r="G151" i="9" s="1"/>
  <c r="F152" i="9"/>
  <c r="G152" i="9" s="1"/>
  <c r="F155" i="9"/>
  <c r="G155" i="9" s="1"/>
  <c r="D149" i="39" s="1"/>
  <c r="F156" i="9"/>
  <c r="G156" i="9" s="1"/>
  <c r="D150" i="12" s="1"/>
  <c r="F159" i="9"/>
  <c r="G159" i="9" s="1"/>
  <c r="D153" i="12" s="1"/>
  <c r="F160" i="9"/>
  <c r="G160" i="9" s="1"/>
  <c r="F163" i="9"/>
  <c r="G163" i="9" s="1"/>
  <c r="D157" i="39" s="1"/>
  <c r="F164" i="9"/>
  <c r="G164" i="9" s="1"/>
  <c r="D158" i="39" s="1"/>
  <c r="F167" i="9"/>
  <c r="G167" i="9" s="1"/>
  <c r="F168" i="9"/>
  <c r="G168" i="9" s="1"/>
  <c r="F171" i="9"/>
  <c r="G171" i="9" s="1"/>
  <c r="D165" i="12" s="1"/>
  <c r="F172" i="9"/>
  <c r="G172" i="9" s="1"/>
  <c r="D166" i="39" s="1"/>
  <c r="F175" i="9"/>
  <c r="G175" i="9" s="1"/>
  <c r="F176" i="9"/>
  <c r="G176" i="9" s="1"/>
  <c r="D170" i="12" s="1"/>
  <c r="F179" i="9"/>
  <c r="G179" i="9" s="1"/>
  <c r="D173" i="39" s="1"/>
  <c r="F180" i="9"/>
  <c r="G180" i="9" s="1"/>
  <c r="F183" i="9"/>
  <c r="G183" i="9" s="1"/>
  <c r="D177" i="12" s="1"/>
  <c r="F184" i="9"/>
  <c r="G184" i="9" s="1"/>
  <c r="D178" i="12" s="1"/>
  <c r="F187" i="9"/>
  <c r="G187" i="9" s="1"/>
  <c r="D181" i="39" s="1"/>
  <c r="F188" i="9"/>
  <c r="G188" i="9" s="1"/>
  <c r="F191" i="9"/>
  <c r="G191" i="9" s="1"/>
  <c r="F192" i="9"/>
  <c r="G192" i="9" s="1"/>
  <c r="F195" i="9"/>
  <c r="G195" i="9" s="1"/>
  <c r="D189" i="39" s="1"/>
  <c r="F196" i="9"/>
  <c r="G196" i="9" s="1"/>
  <c r="D190" i="39" s="1"/>
  <c r="F199" i="9"/>
  <c r="G199" i="9" s="1"/>
  <c r="D193" i="39" s="1"/>
  <c r="F200" i="9"/>
  <c r="G200" i="9" s="1"/>
  <c r="F203" i="9"/>
  <c r="G203" i="9" s="1"/>
  <c r="F198" i="25" s="1"/>
  <c r="F204" i="9"/>
  <c r="G204" i="9" s="1"/>
  <c r="F207" i="9"/>
  <c r="G207" i="9" s="1"/>
  <c r="F208" i="9"/>
  <c r="G208" i="9" s="1"/>
  <c r="F211" i="9"/>
  <c r="G211" i="9" s="1"/>
  <c r="F212" i="9"/>
  <c r="G212" i="9" s="1"/>
  <c r="D206" i="12" s="1"/>
  <c r="F215" i="9"/>
  <c r="G215" i="9" s="1"/>
  <c r="F216" i="9"/>
  <c r="G216" i="9" s="1"/>
  <c r="F219" i="9"/>
  <c r="G219" i="9" s="1"/>
  <c r="D213" i="12" s="1"/>
  <c r="F220" i="9"/>
  <c r="G220" i="9" s="1"/>
  <c r="F223" i="9"/>
  <c r="G223" i="9" s="1"/>
  <c r="D217" i="12" s="1"/>
  <c r="F224" i="9"/>
  <c r="G224" i="9" s="1"/>
  <c r="F227" i="9"/>
  <c r="G227" i="9" s="1"/>
  <c r="F228" i="9"/>
  <c r="G228" i="9" s="1"/>
  <c r="F231" i="9"/>
  <c r="G231" i="9" s="1"/>
  <c r="F226" i="25" s="1"/>
  <c r="F232" i="9"/>
  <c r="G232" i="9" s="1"/>
  <c r="F235" i="9"/>
  <c r="G235" i="9" s="1"/>
  <c r="F236" i="9"/>
  <c r="G236" i="9" s="1"/>
  <c r="D230" i="39" s="1"/>
  <c r="F239" i="9"/>
  <c r="G239" i="9" s="1"/>
  <c r="D233" i="12" s="1"/>
  <c r="F240" i="9"/>
  <c r="G240" i="9" s="1"/>
  <c r="F243" i="9"/>
  <c r="G243" i="9" s="1"/>
  <c r="D237" i="39" s="1"/>
  <c r="F244" i="9"/>
  <c r="G244" i="9" s="1"/>
  <c r="F247" i="9"/>
  <c r="G247" i="9" s="1"/>
  <c r="D241" i="12" s="1"/>
  <c r="F248" i="9"/>
  <c r="G248" i="9" s="1"/>
  <c r="D242" i="39" s="1"/>
  <c r="F251" i="9"/>
  <c r="G251" i="9" s="1"/>
  <c r="F252" i="9"/>
  <c r="G252" i="9" s="1"/>
  <c r="D246" i="39" s="1"/>
  <c r="F255" i="9"/>
  <c r="G255" i="9" s="1"/>
  <c r="F250" i="25" s="1"/>
  <c r="F256" i="9"/>
  <c r="G256" i="9" s="1"/>
  <c r="D250" i="39" s="1"/>
  <c r="F259" i="9"/>
  <c r="G259" i="9" s="1"/>
  <c r="D253" i="39" s="1"/>
  <c r="F260" i="9"/>
  <c r="G260" i="9" s="1"/>
  <c r="F263" i="9"/>
  <c r="G263" i="9" s="1"/>
  <c r="D257" i="12" s="1"/>
  <c r="F264" i="9"/>
  <c r="G264" i="9" s="1"/>
  <c r="F259" i="25" s="1"/>
  <c r="F267" i="9"/>
  <c r="G267" i="9" s="1"/>
  <c r="D261" i="39" s="1"/>
  <c r="F268" i="9"/>
  <c r="G268" i="9" s="1"/>
  <c r="D262" i="39" s="1"/>
  <c r="F271" i="9"/>
  <c r="G271" i="9" s="1"/>
  <c r="D265" i="39" s="1"/>
  <c r="F272" i="9"/>
  <c r="G272" i="9" s="1"/>
  <c r="D266" i="39" s="1"/>
  <c r="F275" i="9"/>
  <c r="G275" i="9" s="1"/>
  <c r="F276" i="9"/>
  <c r="G276" i="9" s="1"/>
  <c r="D270" i="39" s="1"/>
  <c r="F12" i="9"/>
  <c r="G12" i="9" s="1"/>
  <c r="F17" i="9"/>
  <c r="G17" i="9" s="1"/>
  <c r="F12" i="25" s="1"/>
  <c r="F18" i="9"/>
  <c r="G18" i="9" s="1"/>
  <c r="D12" i="39" s="1"/>
  <c r="F21" i="9"/>
  <c r="G21" i="9" s="1"/>
  <c r="F16" i="25" s="1"/>
  <c r="F22" i="9"/>
  <c r="G22" i="9" s="1"/>
  <c r="F17" i="25" s="1"/>
  <c r="F25" i="9"/>
  <c r="G25" i="9" s="1"/>
  <c r="F26" i="9"/>
  <c r="G26" i="9" s="1"/>
  <c r="D20" i="39" s="1"/>
  <c r="F29" i="9"/>
  <c r="G29" i="9" s="1"/>
  <c r="D23" i="12" s="1"/>
  <c r="F30" i="9"/>
  <c r="G30" i="9" s="1"/>
  <c r="D24" i="12" s="1"/>
  <c r="F33" i="9"/>
  <c r="G33" i="9" s="1"/>
  <c r="D27" i="39" s="1"/>
  <c r="F34" i="9"/>
  <c r="G34" i="9" s="1"/>
  <c r="D28" i="39" s="1"/>
  <c r="F37" i="9"/>
  <c r="G37" i="9" s="1"/>
  <c r="F32" i="25" s="1"/>
  <c r="F38" i="9"/>
  <c r="G38" i="9" s="1"/>
  <c r="D32" i="12" s="1"/>
  <c r="F41" i="9"/>
  <c r="G41" i="9" s="1"/>
  <c r="F36" i="25" s="1"/>
  <c r="F42" i="9"/>
  <c r="G42" i="9" s="1"/>
  <c r="F45" i="9"/>
  <c r="G45" i="9" s="1"/>
  <c r="F46" i="9"/>
  <c r="G46" i="9" s="1"/>
  <c r="F49" i="9"/>
  <c r="G49" i="9" s="1"/>
  <c r="F50" i="9"/>
  <c r="G50" i="9" s="1"/>
  <c r="F45" i="25" s="1"/>
  <c r="F53" i="9"/>
  <c r="G53" i="9" s="1"/>
  <c r="F48" i="25" s="1"/>
  <c r="F54" i="9"/>
  <c r="G54" i="9" s="1"/>
  <c r="F49" i="25" s="1"/>
  <c r="F57" i="9"/>
  <c r="G57" i="9" s="1"/>
  <c r="F52" i="25" s="1"/>
  <c r="F58" i="9"/>
  <c r="G58" i="9" s="1"/>
  <c r="D52" i="39" s="1"/>
  <c r="F61" i="9"/>
  <c r="G61" i="9" s="1"/>
  <c r="F62" i="9"/>
  <c r="G62" i="9" s="1"/>
  <c r="D56" i="39" s="1"/>
  <c r="F65" i="9"/>
  <c r="G65" i="9" s="1"/>
  <c r="F60" i="25" s="1"/>
  <c r="F66" i="9"/>
  <c r="G66" i="9" s="1"/>
  <c r="F69" i="9"/>
  <c r="G69" i="9" s="1"/>
  <c r="F70" i="9"/>
  <c r="G70" i="9" s="1"/>
  <c r="F65" i="25" s="1"/>
  <c r="F73" i="9"/>
  <c r="G73" i="9" s="1"/>
  <c r="D67" i="39" s="1"/>
  <c r="F74" i="9"/>
  <c r="G74" i="9" s="1"/>
  <c r="F77" i="9"/>
  <c r="G77" i="9" s="1"/>
  <c r="D71" i="39" s="1"/>
  <c r="F78" i="9"/>
  <c r="G78" i="9" s="1"/>
  <c r="D72" i="39" s="1"/>
  <c r="F81" i="9"/>
  <c r="G81" i="9" s="1"/>
  <c r="D75" i="39" s="1"/>
  <c r="F82" i="9"/>
  <c r="G82" i="9" s="1"/>
  <c r="D76" i="12" s="1"/>
  <c r="F85" i="9"/>
  <c r="G85" i="9" s="1"/>
  <c r="F86" i="9"/>
  <c r="G86" i="9" s="1"/>
  <c r="F81" i="25" s="1"/>
  <c r="F89" i="9"/>
  <c r="G89" i="9" s="1"/>
  <c r="F90" i="9"/>
  <c r="G90" i="9" s="1"/>
  <c r="D84" i="12" s="1"/>
  <c r="F93" i="9"/>
  <c r="G93" i="9" s="1"/>
  <c r="F88" i="25" s="1"/>
  <c r="F94" i="9"/>
  <c r="G94" i="9" s="1"/>
  <c r="F89" i="25" s="1"/>
  <c r="F97" i="9"/>
  <c r="G97" i="9" s="1"/>
  <c r="D91" i="39" s="1"/>
  <c r="F98" i="9"/>
  <c r="G98" i="9" s="1"/>
  <c r="D92" i="39" s="1"/>
  <c r="F101" i="9"/>
  <c r="G101" i="9" s="1"/>
  <c r="F102" i="9"/>
  <c r="G102" i="9" s="1"/>
  <c r="D96" i="12" s="1"/>
  <c r="F105" i="9"/>
  <c r="G105" i="9" s="1"/>
  <c r="F106" i="9"/>
  <c r="G106" i="9" s="1"/>
  <c r="F101" i="25" s="1"/>
  <c r="F109" i="9"/>
  <c r="G109" i="9" s="1"/>
  <c r="D103" i="12" s="1"/>
  <c r="F110" i="9"/>
  <c r="G110" i="9" s="1"/>
  <c r="D104" i="39" s="1"/>
  <c r="F113" i="9"/>
  <c r="G113" i="9" s="1"/>
  <c r="F114" i="9"/>
  <c r="G114" i="9" s="1"/>
  <c r="D108" i="39" s="1"/>
  <c r="F117" i="9"/>
  <c r="G117" i="9" s="1"/>
  <c r="D111" i="39" s="1"/>
  <c r="F118" i="9"/>
  <c r="G118" i="9" s="1"/>
  <c r="F113" i="25" s="1"/>
  <c r="F121" i="9"/>
  <c r="G121" i="9" s="1"/>
  <c r="D115" i="39" s="1"/>
  <c r="F122" i="9"/>
  <c r="G122" i="9" s="1"/>
  <c r="F125" i="9"/>
  <c r="G125" i="9" s="1"/>
  <c r="D119" i="12" s="1"/>
  <c r="F126" i="9"/>
  <c r="G126" i="9" s="1"/>
  <c r="F129" i="9"/>
  <c r="G129" i="9" s="1"/>
  <c r="F130" i="9"/>
  <c r="G130" i="9" s="1"/>
  <c r="F133" i="9"/>
  <c r="G133" i="9" s="1"/>
  <c r="F134" i="9"/>
  <c r="G134" i="9" s="1"/>
  <c r="F137" i="9"/>
  <c r="G137" i="9" s="1"/>
  <c r="D131" i="39" s="1"/>
  <c r="F138" i="9"/>
  <c r="G138" i="9" s="1"/>
  <c r="F141" i="9"/>
  <c r="G141" i="9" s="1"/>
  <c r="D135" i="12" s="1"/>
  <c r="F142" i="9"/>
  <c r="G142" i="9" s="1"/>
  <c r="F145" i="9"/>
  <c r="G145" i="9" s="1"/>
  <c r="F146" i="9"/>
  <c r="G146" i="9" s="1"/>
  <c r="F141" i="25" s="1"/>
  <c r="F149" i="9"/>
  <c r="G149" i="9" s="1"/>
  <c r="D143" i="39" s="1"/>
  <c r="F150" i="9"/>
  <c r="G150" i="9" s="1"/>
  <c r="F145" i="25" s="1"/>
  <c r="F153" i="9"/>
  <c r="G153" i="9" s="1"/>
  <c r="F154" i="9"/>
  <c r="G154" i="9" s="1"/>
  <c r="F157" i="9"/>
  <c r="G157" i="9" s="1"/>
  <c r="F158" i="9"/>
  <c r="G158" i="9" s="1"/>
  <c r="D152" i="12" s="1"/>
  <c r="F161" i="9"/>
  <c r="G161" i="9" s="1"/>
  <c r="F162" i="9"/>
  <c r="G162" i="9" s="1"/>
  <c r="D156" i="39" s="1"/>
  <c r="F165" i="9"/>
  <c r="G165" i="9" s="1"/>
  <c r="F166" i="9"/>
  <c r="G166" i="9" s="1"/>
  <c r="F169" i="9"/>
  <c r="G169" i="9" s="1"/>
  <c r="F164" i="25" s="1"/>
  <c r="F170" i="9"/>
  <c r="G170" i="9" s="1"/>
  <c r="D164" i="39" s="1"/>
  <c r="F173" i="9"/>
  <c r="G173" i="9" s="1"/>
  <c r="F174" i="9"/>
  <c r="G174" i="9" s="1"/>
  <c r="F169" i="25" s="1"/>
  <c r="F177" i="9"/>
  <c r="G177" i="9" s="1"/>
  <c r="D171" i="12" s="1"/>
  <c r="F178" i="9"/>
  <c r="G178" i="9" s="1"/>
  <c r="D172" i="12" s="1"/>
  <c r="F181" i="9"/>
  <c r="G181" i="9" s="1"/>
  <c r="D175" i="12" s="1"/>
  <c r="F182" i="9"/>
  <c r="G182" i="9" s="1"/>
  <c r="F185" i="9"/>
  <c r="G185" i="9" s="1"/>
  <c r="F186" i="9"/>
  <c r="G186" i="9" s="1"/>
  <c r="F189" i="9"/>
  <c r="G189" i="9" s="1"/>
  <c r="F184" i="25" s="1"/>
  <c r="F190" i="9"/>
  <c r="G190" i="9" s="1"/>
  <c r="D184" i="12" s="1"/>
  <c r="F193" i="9"/>
  <c r="G193" i="9" s="1"/>
  <c r="F188" i="25" s="1"/>
  <c r="F194" i="9"/>
  <c r="G194" i="9" s="1"/>
  <c r="D188" i="39" s="1"/>
  <c r="F197" i="9"/>
  <c r="G197" i="9" s="1"/>
  <c r="F192" i="25" s="1"/>
  <c r="F198" i="9"/>
  <c r="G198" i="9" s="1"/>
  <c r="F193" i="25" s="1"/>
  <c r="F201" i="9"/>
  <c r="G201" i="9" s="1"/>
  <c r="D195" i="12" s="1"/>
  <c r="F202" i="9"/>
  <c r="G202" i="9" s="1"/>
  <c r="D196" i="39" s="1"/>
  <c r="F205" i="9"/>
  <c r="G205" i="9" s="1"/>
  <c r="F206" i="9"/>
  <c r="G206" i="9" s="1"/>
  <c r="D200" i="39" s="1"/>
  <c r="F209" i="9"/>
  <c r="G209" i="9" s="1"/>
  <c r="F210" i="9"/>
  <c r="G210" i="9" s="1"/>
  <c r="D204" i="39" s="1"/>
  <c r="F213" i="9"/>
  <c r="G213" i="9" s="1"/>
  <c r="F208" i="25" s="1"/>
  <c r="F214" i="9"/>
  <c r="G214" i="9" s="1"/>
  <c r="F209" i="25" s="1"/>
  <c r="F217" i="9"/>
  <c r="G217" i="9" s="1"/>
  <c r="F212" i="25" s="1"/>
  <c r="F218" i="9"/>
  <c r="G218" i="9" s="1"/>
  <c r="F221" i="9"/>
  <c r="G221" i="9" s="1"/>
  <c r="F216" i="25" s="1"/>
  <c r="F222" i="9"/>
  <c r="G222" i="9" s="1"/>
  <c r="F217" i="25" s="1"/>
  <c r="F225" i="9"/>
  <c r="G225" i="9" s="1"/>
  <c r="D219" i="39" s="1"/>
  <c r="F226" i="9"/>
  <c r="G226" i="9" s="1"/>
  <c r="F221" i="25" s="1"/>
  <c r="F229" i="9"/>
  <c r="G229" i="9" s="1"/>
  <c r="F230" i="9"/>
  <c r="G230" i="9" s="1"/>
  <c r="F225" i="25" s="1"/>
  <c r="F233" i="9"/>
  <c r="G233" i="9" s="1"/>
  <c r="F234" i="9"/>
  <c r="G234" i="9" s="1"/>
  <c r="F237" i="9"/>
  <c r="G237" i="9" s="1"/>
  <c r="D231" i="12" s="1"/>
  <c r="F238" i="9"/>
  <c r="G238" i="9" s="1"/>
  <c r="F241" i="9"/>
  <c r="G241" i="9" s="1"/>
  <c r="D235" i="39" s="1"/>
  <c r="F242" i="9"/>
  <c r="G242" i="9" s="1"/>
  <c r="F237" i="25" s="1"/>
  <c r="F245" i="9"/>
  <c r="G245" i="9" s="1"/>
  <c r="F240" i="25" s="1"/>
  <c r="F246" i="9"/>
  <c r="G246" i="9" s="1"/>
  <c r="D240" i="12" s="1"/>
  <c r="F249" i="9"/>
  <c r="G249" i="9" s="1"/>
  <c r="F250" i="9"/>
  <c r="G250" i="9" s="1"/>
  <c r="F253" i="9"/>
  <c r="G253" i="9" s="1"/>
  <c r="F248" i="25" s="1"/>
  <c r="F254" i="9"/>
  <c r="G254" i="9" s="1"/>
  <c r="F249" i="25" s="1"/>
  <c r="F257" i="9"/>
  <c r="G257" i="9" s="1"/>
  <c r="F252" i="25" s="1"/>
  <c r="F258" i="9"/>
  <c r="G258" i="9" s="1"/>
  <c r="D252" i="12" s="1"/>
  <c r="F261" i="9"/>
  <c r="G261" i="9" s="1"/>
  <c r="F262" i="9"/>
  <c r="G262" i="9" s="1"/>
  <c r="F265" i="9"/>
  <c r="G265" i="9" s="1"/>
  <c r="F266" i="9"/>
  <c r="G266" i="9" s="1"/>
  <c r="D260" i="12" s="1"/>
  <c r="F269" i="9"/>
  <c r="G269" i="9" s="1"/>
  <c r="F270" i="9"/>
  <c r="G270" i="9" s="1"/>
  <c r="D264" i="12" s="1"/>
  <c r="F273" i="9"/>
  <c r="G273" i="9" s="1"/>
  <c r="D267" i="12" s="1"/>
  <c r="F274" i="9"/>
  <c r="G274" i="9" s="1"/>
  <c r="F269" i="25" s="1"/>
  <c r="F278" i="9"/>
  <c r="G278" i="9" s="1"/>
  <c r="D272" i="39" s="1"/>
  <c r="F281" i="9"/>
  <c r="G281" i="9" s="1"/>
  <c r="D275" i="12" s="1"/>
  <c r="F282" i="9"/>
  <c r="G282" i="9" s="1"/>
  <c r="F285" i="9"/>
  <c r="G285" i="9" s="1"/>
  <c r="D279" i="12" s="1"/>
  <c r="F286" i="9"/>
  <c r="G286" i="9" s="1"/>
  <c r="D280" i="39" s="1"/>
  <c r="F289" i="9"/>
  <c r="G289" i="9" s="1"/>
  <c r="D283" i="39" s="1"/>
  <c r="F290" i="9"/>
  <c r="G290" i="9" s="1"/>
  <c r="D284" i="39" s="1"/>
  <c r="F293" i="9"/>
  <c r="G293" i="9" s="1"/>
  <c r="D287" i="12" s="1"/>
  <c r="F294" i="9"/>
  <c r="G294" i="9" s="1"/>
  <c r="F297" i="9"/>
  <c r="G297" i="9" s="1"/>
  <c r="F292" i="25" s="1"/>
  <c r="F298" i="9"/>
  <c r="G298" i="9" s="1"/>
  <c r="F301" i="9"/>
  <c r="G301" i="9" s="1"/>
  <c r="F302" i="9"/>
  <c r="G302" i="9" s="1"/>
  <c r="F297" i="25" s="1"/>
  <c r="F305" i="9"/>
  <c r="G305" i="9" s="1"/>
  <c r="F306" i="9"/>
  <c r="G306" i="9" s="1"/>
  <c r="D300" i="12" s="1"/>
  <c r="F309" i="9"/>
  <c r="G309" i="9" s="1"/>
  <c r="F304" i="25" s="1"/>
  <c r="F310" i="9"/>
  <c r="G310" i="9" s="1"/>
  <c r="D304" i="39" s="1"/>
  <c r="F313" i="9"/>
  <c r="G313" i="9" s="1"/>
  <c r="F314" i="9"/>
  <c r="G314" i="9" s="1"/>
  <c r="D308" i="12" s="1"/>
  <c r="F317" i="9"/>
  <c r="G317" i="9" s="1"/>
  <c r="F312" i="25" s="1"/>
  <c r="F318" i="9"/>
  <c r="G318" i="9" s="1"/>
  <c r="D312" i="12" s="1"/>
  <c r="F277" i="9"/>
  <c r="G277" i="9" s="1"/>
  <c r="F279" i="9"/>
  <c r="G279" i="9" s="1"/>
  <c r="D273" i="39" s="1"/>
  <c r="F280" i="9"/>
  <c r="G280" i="9" s="1"/>
  <c r="D274" i="12" s="1"/>
  <c r="F283" i="9"/>
  <c r="G283" i="9" s="1"/>
  <c r="F284" i="9"/>
  <c r="G284" i="9" s="1"/>
  <c r="F279" i="25" s="1"/>
  <c r="F287" i="9"/>
  <c r="G287" i="9" s="1"/>
  <c r="D281" i="12" s="1"/>
  <c r="F288" i="9"/>
  <c r="G288" i="9" s="1"/>
  <c r="F283" i="25" s="1"/>
  <c r="F291" i="9"/>
  <c r="G291" i="9" s="1"/>
  <c r="D285" i="39" s="1"/>
  <c r="F292" i="9"/>
  <c r="G292" i="9" s="1"/>
  <c r="F287" i="25" s="1"/>
  <c r="F295" i="9"/>
  <c r="G295" i="9" s="1"/>
  <c r="D289" i="39" s="1"/>
  <c r="F296" i="9"/>
  <c r="G296" i="9" s="1"/>
  <c r="F291" i="25" s="1"/>
  <c r="F299" i="9"/>
  <c r="G299" i="9" s="1"/>
  <c r="D293" i="39" s="1"/>
  <c r="F300" i="9"/>
  <c r="G300" i="9" s="1"/>
  <c r="F295" i="25" s="1"/>
  <c r="F303" i="9"/>
  <c r="G303" i="9" s="1"/>
  <c r="D297" i="12" s="1"/>
  <c r="F304" i="9"/>
  <c r="G304" i="9" s="1"/>
  <c r="D298" i="12" s="1"/>
  <c r="F307" i="9"/>
  <c r="G307" i="9" s="1"/>
  <c r="F302" i="25" s="1"/>
  <c r="F308" i="9"/>
  <c r="G308" i="9" s="1"/>
  <c r="D302" i="12" s="1"/>
  <c r="F311" i="9"/>
  <c r="G311" i="9" s="1"/>
  <c r="D305" i="12" s="1"/>
  <c r="F312" i="9"/>
  <c r="G312" i="9" s="1"/>
  <c r="D306" i="39" s="1"/>
  <c r="F315" i="9"/>
  <c r="G315" i="9" s="1"/>
  <c r="F310" i="25" s="1"/>
  <c r="F316" i="9"/>
  <c r="G316" i="9" s="1"/>
  <c r="D310" i="39" s="1"/>
  <c r="F319" i="9"/>
  <c r="G319" i="9" s="1"/>
  <c r="D313" i="39" s="1"/>
  <c r="F233" i="25"/>
  <c r="D254" i="39"/>
  <c r="D125" i="39"/>
  <c r="D138" i="39"/>
  <c r="D271" i="39"/>
  <c r="F108" i="25"/>
  <c r="D44" i="39"/>
  <c r="D229" i="39"/>
  <c r="F168" i="25"/>
  <c r="D145" i="12"/>
  <c r="F147" i="25"/>
  <c r="D174" i="39"/>
  <c r="D194" i="39"/>
  <c r="D234" i="12"/>
  <c r="D299" i="39"/>
  <c r="D128" i="12"/>
  <c r="D179" i="39"/>
  <c r="F125" i="25"/>
  <c r="F140" i="25"/>
  <c r="F39" i="25"/>
  <c r="F131" i="25"/>
  <c r="F11" i="9"/>
  <c r="D222" i="12"/>
  <c r="D95" i="39"/>
  <c r="F127" i="25"/>
  <c r="D226" i="39"/>
  <c r="D30" i="39"/>
  <c r="D182" i="12"/>
  <c r="D176" i="39"/>
  <c r="D102" i="39"/>
  <c r="D307" i="12"/>
  <c r="D162" i="39"/>
  <c r="D6" i="12"/>
  <c r="D13" i="12"/>
  <c r="F44" i="25"/>
  <c r="F19" i="25"/>
  <c r="F213" i="25"/>
  <c r="F270" i="25"/>
  <c r="D151" i="12"/>
  <c r="D46" i="39"/>
  <c r="F224" i="25"/>
  <c r="F215" i="25"/>
  <c r="D79" i="39"/>
  <c r="F114" i="25"/>
  <c r="D129" i="39"/>
  <c r="F211" i="25"/>
  <c r="D201" i="39"/>
  <c r="D58" i="12"/>
  <c r="D120" i="39"/>
  <c r="D199" i="12"/>
  <c r="D159" i="39"/>
  <c r="D55" i="39"/>
  <c r="F257" i="25"/>
  <c r="F187" i="25"/>
  <c r="D99" i="39"/>
  <c r="D132" i="39"/>
  <c r="F40" i="25"/>
  <c r="D127" i="39"/>
  <c r="D40" i="12"/>
  <c r="D19" i="12"/>
  <c r="D10" i="12"/>
  <c r="D83" i="12"/>
  <c r="F228" i="25"/>
  <c r="D263" i="39"/>
  <c r="F229" i="25"/>
  <c r="F64" i="25"/>
  <c r="D29" i="39"/>
  <c r="D78" i="12"/>
  <c r="D116" i="39"/>
  <c r="F156" i="25"/>
  <c r="D123" i="39"/>
  <c r="D202" i="12"/>
  <c r="D68" i="39"/>
  <c r="D259" i="39"/>
  <c r="F161" i="25"/>
  <c r="D245" i="39"/>
  <c r="D106" i="39"/>
  <c r="F245" i="25"/>
  <c r="F256" i="25"/>
  <c r="D57" i="12"/>
  <c r="D42" i="12"/>
  <c r="D21" i="39"/>
  <c r="D221" i="12"/>
  <c r="D121" i="12"/>
  <c r="O6" i="49"/>
  <c r="M6" i="25" s="1"/>
  <c r="M315" i="25" s="1"/>
  <c r="E48" i="48"/>
  <c r="F48" i="48" s="1"/>
  <c r="F50" i="48" s="1"/>
  <c r="D282" i="39"/>
  <c r="D232" i="39"/>
  <c r="F154" i="25"/>
  <c r="D59" i="39"/>
  <c r="C41" i="40"/>
  <c r="C42" i="40"/>
  <c r="G325" i="34"/>
  <c r="D220" i="39" l="1"/>
  <c r="F307" i="25"/>
  <c r="F311" i="25"/>
  <c r="D278" i="39"/>
  <c r="D306" i="12"/>
  <c r="D140" i="12"/>
  <c r="D310" i="12"/>
  <c r="F268" i="25"/>
  <c r="D50" i="12"/>
  <c r="D304" i="12"/>
  <c r="F22" i="48"/>
  <c r="F24" i="48" s="1"/>
  <c r="F170" i="25"/>
  <c r="D169" i="39"/>
  <c r="D169" i="12"/>
  <c r="F244" i="25"/>
  <c r="D243" i="12"/>
  <c r="D243" i="39"/>
  <c r="F219" i="25"/>
  <c r="D218" i="39"/>
  <c r="D218" i="12"/>
  <c r="F305" i="25"/>
  <c r="D173" i="12"/>
  <c r="D59" i="12"/>
  <c r="D16" i="39"/>
  <c r="D232" i="12"/>
  <c r="F220" i="25"/>
  <c r="D267" i="39"/>
  <c r="F174" i="25"/>
  <c r="D153" i="39"/>
  <c r="D50" i="39"/>
  <c r="D239" i="39"/>
  <c r="D254" i="12"/>
  <c r="F85" i="25"/>
  <c r="D219" i="12"/>
  <c r="D248" i="39"/>
  <c r="D181" i="12"/>
  <c r="D285" i="12"/>
  <c r="F255" i="25"/>
  <c r="F179" i="25"/>
  <c r="F176" i="25"/>
  <c r="D239" i="12"/>
  <c r="F299" i="25"/>
  <c r="F243" i="25"/>
  <c r="D296" i="12"/>
  <c r="D271" i="12"/>
  <c r="D145" i="39"/>
  <c r="D91" i="12"/>
  <c r="D178" i="39"/>
  <c r="D171" i="39"/>
  <c r="D294" i="39"/>
  <c r="D220" i="12"/>
  <c r="D44" i="12"/>
  <c r="D248" i="12"/>
  <c r="D16" i="12"/>
  <c r="D278" i="12"/>
  <c r="D140" i="39"/>
  <c r="D308" i="39"/>
  <c r="F286" i="25"/>
  <c r="F182" i="25"/>
  <c r="D294" i="12"/>
  <c r="D138" i="12"/>
  <c r="D167" i="12"/>
  <c r="F92" i="25"/>
  <c r="F139" i="25"/>
  <c r="D84" i="39"/>
  <c r="F242" i="25"/>
  <c r="D242" i="12"/>
  <c r="F272" i="25"/>
  <c r="D167" i="39"/>
  <c r="D229" i="12"/>
  <c r="D282" i="12"/>
  <c r="F146" i="25"/>
  <c r="D296" i="39"/>
  <c r="F230" i="25"/>
  <c r="D125" i="12"/>
  <c r="F126" i="25"/>
  <c r="F172" i="25"/>
  <c r="D143" i="12"/>
  <c r="D107" i="12"/>
  <c r="D9" i="39"/>
  <c r="D233" i="39"/>
  <c r="D241" i="39"/>
  <c r="D131" i="12"/>
  <c r="D192" i="12"/>
  <c r="F77" i="25"/>
  <c r="D9" i="12"/>
  <c r="D76" i="39"/>
  <c r="D107" i="39"/>
  <c r="F234" i="25"/>
  <c r="F314" i="25"/>
  <c r="F132" i="25"/>
  <c r="D175" i="39"/>
  <c r="D313" i="12"/>
  <c r="F144" i="25"/>
  <c r="D146" i="12"/>
  <c r="D194" i="12"/>
  <c r="D298" i="39"/>
  <c r="D146" i="39"/>
  <c r="F167" i="25"/>
  <c r="D174" i="12"/>
  <c r="D192" i="39"/>
  <c r="D166" i="12"/>
  <c r="F175" i="25"/>
  <c r="F195" i="25"/>
  <c r="D234" i="39"/>
  <c r="F173" i="25"/>
  <c r="F309" i="25"/>
  <c r="D97" i="12"/>
  <c r="F98" i="25"/>
  <c r="D179" i="12"/>
  <c r="F152" i="25"/>
  <c r="D89" i="12"/>
  <c r="D134" i="12"/>
  <c r="F21" i="25"/>
  <c r="D126" i="12"/>
  <c r="F104" i="25"/>
  <c r="F30" i="25"/>
  <c r="D38" i="12"/>
  <c r="D207" i="39"/>
  <c r="F27" i="25"/>
  <c r="F75" i="25"/>
  <c r="F306" i="25"/>
  <c r="D35" i="12"/>
  <c r="F298" i="25"/>
  <c r="D47" i="12"/>
  <c r="F218" i="25"/>
  <c r="D303" i="12"/>
  <c r="F73" i="25"/>
  <c r="D266" i="12"/>
  <c r="D12" i="12"/>
  <c r="D48" i="12"/>
  <c r="D35" i="39"/>
  <c r="D208" i="39"/>
  <c r="D81" i="12"/>
  <c r="F151" i="25"/>
  <c r="D100" i="12"/>
  <c r="D6" i="39"/>
  <c r="D51" i="12"/>
  <c r="D196" i="12"/>
  <c r="D54" i="39"/>
  <c r="D189" i="12"/>
  <c r="F190" i="25"/>
  <c r="D126" i="39"/>
  <c r="D21" i="12"/>
  <c r="F271" i="25"/>
  <c r="D208" i="12"/>
  <c r="D103" i="39"/>
  <c r="F180" i="25"/>
  <c r="F135" i="25"/>
  <c r="F72" i="25"/>
  <c r="D289" i="12"/>
  <c r="D100" i="39"/>
  <c r="D150" i="39"/>
  <c r="D49" i="12"/>
  <c r="D47" i="39"/>
  <c r="F112" i="25"/>
  <c r="F97" i="25"/>
  <c r="D48" i="39"/>
  <c r="D222" i="39"/>
  <c r="F94" i="25"/>
  <c r="D187" i="12"/>
  <c r="D253" i="12"/>
  <c r="D20" i="12"/>
  <c r="F285" i="25"/>
  <c r="D96" i="39"/>
  <c r="D270" i="12"/>
  <c r="F201" i="25"/>
  <c r="F82" i="25"/>
  <c r="D30" i="12"/>
  <c r="D89" i="39"/>
  <c r="D207" i="12"/>
  <c r="D29" i="12"/>
  <c r="D217" i="39"/>
  <c r="D41" i="12"/>
  <c r="D53" i="39"/>
  <c r="F86" i="25"/>
  <c r="F25" i="25"/>
  <c r="D45" i="12"/>
  <c r="F290" i="25"/>
  <c r="D258" i="39"/>
  <c r="D290" i="39"/>
  <c r="D38" i="39"/>
  <c r="D141" i="39"/>
  <c r="D284" i="12"/>
  <c r="D26" i="39"/>
  <c r="F31" i="25"/>
  <c r="D71" i="12"/>
  <c r="D112" i="12"/>
  <c r="D251" i="39"/>
  <c r="D24" i="39"/>
  <c r="D87" i="12"/>
  <c r="F7" i="25"/>
  <c r="D290" i="12"/>
  <c r="D85" i="12"/>
  <c r="D14" i="39"/>
  <c r="D94" i="12"/>
  <c r="F13" i="25"/>
  <c r="D305" i="39"/>
  <c r="D258" i="12"/>
  <c r="D94" i="39"/>
  <c r="D72" i="12"/>
  <c r="D74" i="12"/>
  <c r="D45" i="39"/>
  <c r="D172" i="39"/>
  <c r="D244" i="39"/>
  <c r="D151" i="39"/>
  <c r="F223" i="25"/>
  <c r="D93" i="12"/>
  <c r="D160" i="12"/>
  <c r="D187" i="39"/>
  <c r="D200" i="12"/>
  <c r="D111" i="12"/>
  <c r="D191" i="39"/>
  <c r="F267" i="25"/>
  <c r="D303" i="39"/>
  <c r="F55" i="25"/>
  <c r="D53" i="12"/>
  <c r="D27" i="12"/>
  <c r="F42" i="25"/>
  <c r="D75" i="12"/>
  <c r="D191" i="12"/>
  <c r="F28" i="25"/>
  <c r="F76" i="25"/>
  <c r="F235" i="25"/>
  <c r="F253" i="25"/>
  <c r="D51" i="39"/>
  <c r="F122" i="25"/>
  <c r="D268" i="12"/>
  <c r="F22" i="25"/>
  <c r="D300" i="39"/>
  <c r="F258" i="25"/>
  <c r="F263" i="25"/>
  <c r="D98" i="39"/>
  <c r="D235" i="12"/>
  <c r="D130" i="39"/>
  <c r="D211" i="39"/>
  <c r="F280" i="25"/>
  <c r="D204" i="12"/>
  <c r="F53" i="25"/>
  <c r="D95" i="12"/>
  <c r="F303" i="25"/>
  <c r="F96" i="25"/>
  <c r="F281" i="25"/>
  <c r="D190" i="12"/>
  <c r="F138" i="25"/>
  <c r="D230" i="12"/>
  <c r="F246" i="25"/>
  <c r="D302" i="39"/>
  <c r="F14" i="25"/>
  <c r="D63" i="39"/>
  <c r="F68" i="25"/>
  <c r="D157" i="12"/>
  <c r="D269" i="39"/>
  <c r="D70" i="39"/>
  <c r="F214" i="25"/>
  <c r="F288" i="25"/>
  <c r="F120" i="25"/>
  <c r="D129" i="12"/>
  <c r="F171" i="25"/>
  <c r="D34" i="39"/>
  <c r="D92" i="12"/>
  <c r="D221" i="39"/>
  <c r="D11" i="39"/>
  <c r="F191" i="25"/>
  <c r="D170" i="39"/>
  <c r="D70" i="12"/>
  <c r="F231" i="25"/>
  <c r="F24" i="25"/>
  <c r="F205" i="25"/>
  <c r="D64" i="39"/>
  <c r="F130" i="25"/>
  <c r="D211" i="12"/>
  <c r="F117" i="25"/>
  <c r="D52" i="12"/>
  <c r="D119" i="39"/>
  <c r="D227" i="39"/>
  <c r="D128" i="39"/>
  <c r="D307" i="39"/>
  <c r="D227" i="12"/>
  <c r="D116" i="12"/>
  <c r="F203" i="25"/>
  <c r="D291" i="39"/>
  <c r="D257" i="39"/>
  <c r="D34" i="12"/>
  <c r="D256" i="12"/>
  <c r="D291" i="12"/>
  <c r="D104" i="12"/>
  <c r="D228" i="12"/>
  <c r="F105" i="25"/>
  <c r="F308" i="25"/>
  <c r="D256" i="39"/>
  <c r="F99" i="25"/>
  <c r="D11" i="12"/>
  <c r="F93" i="25"/>
  <c r="D23" i="39"/>
  <c r="D18" i="39"/>
  <c r="F207" i="25"/>
  <c r="D139" i="12"/>
  <c r="F129" i="25"/>
  <c r="D280" i="12"/>
  <c r="D197" i="12"/>
  <c r="D31" i="39"/>
  <c r="D309" i="39"/>
  <c r="D287" i="39"/>
  <c r="D64" i="12"/>
  <c r="D120" i="12"/>
  <c r="D13" i="39"/>
  <c r="D63" i="12"/>
  <c r="D80" i="39"/>
  <c r="D262" i="12"/>
  <c r="D268" i="39"/>
  <c r="D193" i="12"/>
  <c r="D215" i="39"/>
  <c r="F236" i="25"/>
  <c r="F284" i="25"/>
  <c r="D62" i="12"/>
  <c r="D269" i="12"/>
  <c r="D137" i="12"/>
  <c r="D139" i="39"/>
  <c r="F301" i="25"/>
  <c r="D311" i="12"/>
  <c r="F196" i="25"/>
  <c r="D163" i="12"/>
  <c r="F121" i="25"/>
  <c r="F227" i="25"/>
  <c r="D283" i="12"/>
  <c r="D62" i="39"/>
  <c r="F9" i="25"/>
  <c r="F194" i="25"/>
  <c r="D215" i="12"/>
  <c r="D67" i="12"/>
  <c r="F294" i="25"/>
  <c r="D197" i="39"/>
  <c r="D18" i="12"/>
  <c r="D206" i="39"/>
  <c r="D39" i="39"/>
  <c r="D186" i="12"/>
  <c r="D293" i="12"/>
  <c r="D216" i="12"/>
  <c r="D309" i="12"/>
  <c r="D130" i="12"/>
  <c r="D226" i="12"/>
  <c r="D311" i="39"/>
  <c r="D80" i="12"/>
  <c r="D8" i="39"/>
  <c r="D265" i="12"/>
  <c r="D112" i="39"/>
  <c r="D121" i="39"/>
  <c r="D68" i="12"/>
  <c r="J4" i="11"/>
  <c r="J218" i="11" s="1"/>
  <c r="N4" i="11"/>
  <c r="N218" i="11" s="1"/>
  <c r="F59" i="25"/>
  <c r="D223" i="12"/>
  <c r="F128" i="25"/>
  <c r="G11" i="9"/>
  <c r="F6" i="25" s="1"/>
  <c r="D101" i="12"/>
  <c r="F165" i="25"/>
  <c r="F251" i="25"/>
  <c r="D19" i="39"/>
  <c r="D28" i="12"/>
  <c r="F57" i="25"/>
  <c r="F160" i="25"/>
  <c r="F275" i="25"/>
  <c r="F123" i="25"/>
  <c r="D17" i="39"/>
  <c r="D17" i="12"/>
  <c r="D144" i="39"/>
  <c r="F183" i="25"/>
  <c r="F159" i="25"/>
  <c r="D124" i="12"/>
  <c r="D152" i="39"/>
  <c r="D33" i="12"/>
  <c r="F47" i="25"/>
  <c r="D281" i="39"/>
  <c r="D79" i="12"/>
  <c r="D247" i="12"/>
  <c r="D225" i="39"/>
  <c r="F189" i="25"/>
  <c r="F185" i="25"/>
  <c r="D40" i="39"/>
  <c r="F100" i="25"/>
  <c r="D110" i="12"/>
  <c r="D261" i="12"/>
  <c r="D183" i="12"/>
  <c r="D31" i="12"/>
  <c r="D213" i="39"/>
  <c r="F254" i="25"/>
  <c r="D216" i="39"/>
  <c r="D141" i="12"/>
  <c r="D195" i="39"/>
  <c r="D160" i="39"/>
  <c r="D252" i="39"/>
  <c r="D163" i="39"/>
  <c r="D297" i="39"/>
  <c r="D245" i="12"/>
  <c r="D123" i="12"/>
  <c r="D202" i="39"/>
  <c r="F222" i="25"/>
  <c r="D135" i="39"/>
  <c r="D214" i="12"/>
  <c r="D55" i="12"/>
  <c r="D210" i="12"/>
  <c r="D46" i="12"/>
  <c r="D273" i="12"/>
  <c r="F29" i="25"/>
  <c r="D214" i="39"/>
  <c r="F158" i="25"/>
  <c r="F265" i="25"/>
  <c r="D108" i="12"/>
  <c r="D210" i="39"/>
  <c r="D201" i="12"/>
  <c r="D58" i="39"/>
  <c r="F200" i="25"/>
  <c r="D159" i="12"/>
  <c r="F56" i="25"/>
  <c r="F238" i="25"/>
  <c r="D237" i="12"/>
  <c r="D183" i="39"/>
  <c r="D301" i="12"/>
  <c r="F69" i="25"/>
  <c r="F264" i="25"/>
  <c r="D69" i="12"/>
  <c r="D144" i="12"/>
  <c r="F20" i="25"/>
  <c r="D301" i="39"/>
  <c r="D132" i="12"/>
  <c r="D99" i="12"/>
  <c r="D7" i="12"/>
  <c r="D275" i="39"/>
  <c r="D299" i="12"/>
  <c r="D101" i="39"/>
  <c r="D42" i="39"/>
  <c r="D106" i="12"/>
  <c r="D78" i="39"/>
  <c r="F84" i="25"/>
  <c r="D168" i="12"/>
  <c r="F136" i="25"/>
  <c r="D69" i="39"/>
  <c r="D176" i="12"/>
  <c r="F273" i="25"/>
  <c r="D279" i="39"/>
  <c r="D113" i="39"/>
  <c r="D224" i="12"/>
  <c r="D165" i="39"/>
  <c r="D286" i="39"/>
  <c r="D286" i="12"/>
  <c r="D149" i="12"/>
  <c r="F150" i="25"/>
  <c r="D295" i="39"/>
  <c r="F296" i="25"/>
  <c r="F58" i="25"/>
  <c r="D57" i="39"/>
  <c r="D255" i="39"/>
  <c r="D255" i="12"/>
  <c r="D288" i="39"/>
  <c r="D288" i="12"/>
  <c r="D88" i="12"/>
  <c r="D88" i="39"/>
  <c r="D105" i="39"/>
  <c r="F106" i="25"/>
  <c r="F110" i="25"/>
  <c r="D109" i="39"/>
  <c r="D77" i="39"/>
  <c r="F78" i="25"/>
  <c r="F260" i="25"/>
  <c r="D259" i="12"/>
  <c r="F149" i="25"/>
  <c r="D148" i="39"/>
  <c r="D73" i="12"/>
  <c r="F74" i="25"/>
  <c r="D277" i="12"/>
  <c r="F278" i="25"/>
  <c r="F181" i="25"/>
  <c r="D180" i="39"/>
  <c r="F157" i="25"/>
  <c r="D156" i="12"/>
  <c r="D276" i="39"/>
  <c r="F277" i="25"/>
  <c r="F62" i="25"/>
  <c r="D61" i="12"/>
  <c r="D36" i="39"/>
  <c r="D36" i="12"/>
  <c r="D22" i="12"/>
  <c r="D22" i="39"/>
  <c r="D292" i="39"/>
  <c r="F293" i="25"/>
  <c r="F87" i="25"/>
  <c r="D86" i="12"/>
  <c r="D86" i="39"/>
  <c r="D249" i="12"/>
  <c r="D249" i="39"/>
  <c r="D236" i="39"/>
  <c r="D236" i="12"/>
  <c r="D198" i="39"/>
  <c r="D198" i="12"/>
  <c r="D32" i="39"/>
  <c r="F33" i="25"/>
  <c r="D203" i="39"/>
  <c r="D203" i="12"/>
  <c r="D147" i="12"/>
  <c r="D147" i="39"/>
  <c r="F148" i="25"/>
  <c r="F137" i="25"/>
  <c r="D136" i="12"/>
  <c r="F178" i="25"/>
  <c r="D177" i="39"/>
  <c r="D209" i="39"/>
  <c r="D209" i="12"/>
  <c r="D212" i="12"/>
  <c r="D212" i="39"/>
  <c r="D142" i="39"/>
  <c r="D142" i="12"/>
  <c r="D161" i="39"/>
  <c r="D161" i="12"/>
  <c r="F162" i="25"/>
  <c r="D43" i="39"/>
  <c r="D43" i="12"/>
  <c r="D82" i="39"/>
  <c r="F83" i="25"/>
  <c r="F232" i="25"/>
  <c r="D231" i="39"/>
  <c r="D66" i="39"/>
  <c r="F67" i="25"/>
  <c r="D66" i="12"/>
  <c r="F261" i="25"/>
  <c r="D260" i="39"/>
  <c r="D238" i="12"/>
  <c r="D238" i="39"/>
  <c r="D205" i="39"/>
  <c r="D205" i="12"/>
  <c r="F206" i="25"/>
  <c r="D154" i="12"/>
  <c r="D154" i="39"/>
  <c r="F155" i="25"/>
  <c r="D25" i="12"/>
  <c r="F26" i="25"/>
  <c r="D185" i="12"/>
  <c r="F186" i="25"/>
  <c r="F134" i="25"/>
  <c r="D133" i="39"/>
  <c r="F247" i="25"/>
  <c r="D246" i="12"/>
  <c r="F116" i="25"/>
  <c r="D115" i="12"/>
  <c r="F91" i="25"/>
  <c r="D90" i="12"/>
  <c r="F115" i="25"/>
  <c r="D114" i="39"/>
  <c r="D114" i="12"/>
  <c r="D37" i="39"/>
  <c r="D37" i="12"/>
  <c r="F38" i="25"/>
  <c r="F300" i="25"/>
  <c r="D164" i="12"/>
  <c r="F177" i="25"/>
  <c r="F103" i="25"/>
  <c r="D10" i="39"/>
  <c r="D185" i="39"/>
  <c r="D56" i="12"/>
  <c r="D223" i="39"/>
  <c r="D184" i="39"/>
  <c r="D188" i="12"/>
  <c r="F320" i="9"/>
  <c r="F274" i="25"/>
  <c r="F282" i="25"/>
  <c r="F80" i="25"/>
  <c r="D264" i="39"/>
  <c r="D247" i="39"/>
  <c r="F109" i="25"/>
  <c r="D225" i="12"/>
  <c r="F202" i="25"/>
  <c r="D199" i="39"/>
  <c r="D274" i="39"/>
  <c r="D118" i="12"/>
  <c r="D15" i="39"/>
  <c r="D186" i="39"/>
  <c r="D73" i="39"/>
  <c r="F153" i="25"/>
  <c r="D90" i="39"/>
  <c r="F41" i="25"/>
  <c r="D127" i="12"/>
  <c r="F133" i="25"/>
  <c r="F118" i="25"/>
  <c r="F8" i="25"/>
  <c r="D182" i="39"/>
  <c r="F276" i="25"/>
  <c r="D158" i="12"/>
  <c r="D124" i="39"/>
  <c r="D110" i="39"/>
  <c r="D250" i="12"/>
  <c r="F79" i="25"/>
  <c r="D155" i="39"/>
  <c r="D263" i="12"/>
  <c r="D65" i="12"/>
  <c r="D295" i="12"/>
  <c r="F43" i="25"/>
  <c r="F107" i="25"/>
  <c r="F289" i="25"/>
  <c r="D122" i="12"/>
  <c r="D77" i="12"/>
  <c r="F266" i="25"/>
  <c r="D148" i="12"/>
  <c r="D277" i="39"/>
  <c r="D276" i="12"/>
  <c r="F262" i="25"/>
  <c r="D292" i="12"/>
  <c r="D83" i="39"/>
  <c r="F11" i="25"/>
  <c r="D168" i="39"/>
  <c r="D39" i="12"/>
  <c r="F199" i="25"/>
  <c r="D15" i="12"/>
  <c r="F119" i="25"/>
  <c r="F37" i="25"/>
  <c r="D155" i="12"/>
  <c r="D117" i="39"/>
  <c r="D162" i="12"/>
  <c r="D272" i="12"/>
  <c r="D102" i="12"/>
  <c r="F163" i="25"/>
  <c r="D113" i="12"/>
  <c r="D65" i="39"/>
  <c r="D312" i="39"/>
  <c r="F241" i="25"/>
  <c r="D224" i="39"/>
  <c r="F34" i="25"/>
  <c r="F204" i="25"/>
  <c r="F313" i="25"/>
  <c r="D240" i="39"/>
  <c r="F239" i="25"/>
  <c r="F210" i="25"/>
  <c r="D180" i="12"/>
  <c r="D82" i="12"/>
  <c r="D136" i="39"/>
  <c r="D49" i="39"/>
  <c r="D244" i="12"/>
  <c r="D14" i="12"/>
  <c r="D228" i="39"/>
  <c r="F124" i="25"/>
  <c r="D251" i="12"/>
  <c r="F197" i="25"/>
  <c r="D87" i="39"/>
  <c r="F166" i="25"/>
  <c r="O315" i="49"/>
  <c r="D60" i="12"/>
  <c r="F61" i="25"/>
  <c r="D60" i="39"/>
  <c r="G15" i="34"/>
  <c r="H325" i="34"/>
  <c r="D5" i="12" l="1"/>
  <c r="O218" i="11"/>
  <c r="J169" i="11"/>
  <c r="J243" i="11"/>
  <c r="N169" i="11"/>
  <c r="N243" i="11"/>
  <c r="O243" i="11" s="1"/>
  <c r="O169" i="11"/>
  <c r="J47" i="11"/>
  <c r="J313" i="11"/>
  <c r="J311" i="11"/>
  <c r="J309" i="11"/>
  <c r="J307" i="11"/>
  <c r="J305" i="11"/>
  <c r="J303" i="11"/>
  <c r="J301" i="11"/>
  <c r="J299" i="11"/>
  <c r="J297" i="11"/>
  <c r="J295" i="11"/>
  <c r="J293" i="11"/>
  <c r="J291" i="11"/>
  <c r="J289" i="11"/>
  <c r="J287" i="11"/>
  <c r="J285" i="11"/>
  <c r="J283" i="11"/>
  <c r="J281" i="11"/>
  <c r="J279" i="11"/>
  <c r="J277" i="11"/>
  <c r="J275" i="11"/>
  <c r="J273" i="11"/>
  <c r="J271" i="11"/>
  <c r="J269" i="11"/>
  <c r="J267" i="11"/>
  <c r="J265" i="11"/>
  <c r="J263" i="11"/>
  <c r="J261" i="11"/>
  <c r="J259" i="11"/>
  <c r="J257" i="11"/>
  <c r="J255" i="11"/>
  <c r="J253" i="11"/>
  <c r="J251" i="11"/>
  <c r="J249" i="11"/>
  <c r="J247" i="11"/>
  <c r="J245" i="11"/>
  <c r="J242" i="11"/>
  <c r="J240" i="11"/>
  <c r="J238" i="11"/>
  <c r="J236" i="11"/>
  <c r="J234" i="11"/>
  <c r="J230" i="11"/>
  <c r="J226" i="11"/>
  <c r="J222" i="11"/>
  <c r="J217" i="11"/>
  <c r="J213" i="11"/>
  <c r="J209" i="11"/>
  <c r="J205" i="11"/>
  <c r="J233" i="11"/>
  <c r="J229" i="11"/>
  <c r="J225" i="11"/>
  <c r="J221" i="11"/>
  <c r="J216" i="11"/>
  <c r="J212" i="11"/>
  <c r="J208" i="11"/>
  <c r="J204" i="11"/>
  <c r="J202" i="11"/>
  <c r="J200" i="11"/>
  <c r="J198" i="11"/>
  <c r="J196" i="11"/>
  <c r="J194" i="11"/>
  <c r="J192" i="11"/>
  <c r="J190" i="11"/>
  <c r="J188" i="11"/>
  <c r="J186" i="11"/>
  <c r="J184" i="11"/>
  <c r="J182" i="11"/>
  <c r="J180" i="11"/>
  <c r="J178" i="11"/>
  <c r="J176" i="11"/>
  <c r="J174" i="11"/>
  <c r="J172" i="11"/>
  <c r="J170" i="11"/>
  <c r="J167" i="11"/>
  <c r="J165" i="11"/>
  <c r="J163" i="11"/>
  <c r="J161" i="11"/>
  <c r="J159" i="11"/>
  <c r="J157" i="11"/>
  <c r="J155" i="11"/>
  <c r="J153" i="11"/>
  <c r="J151" i="11"/>
  <c r="J149" i="11"/>
  <c r="J147" i="11"/>
  <c r="J145" i="11"/>
  <c r="J143" i="11"/>
  <c r="J141" i="11"/>
  <c r="J139" i="11"/>
  <c r="J137" i="11"/>
  <c r="J135" i="11"/>
  <c r="J133" i="11"/>
  <c r="J131" i="11"/>
  <c r="J129" i="11"/>
  <c r="J127" i="11"/>
  <c r="J125" i="11"/>
  <c r="J124" i="11"/>
  <c r="J122" i="11"/>
  <c r="J120" i="11"/>
  <c r="J118" i="11"/>
  <c r="J116" i="11"/>
  <c r="J114" i="11"/>
  <c r="J112" i="11"/>
  <c r="J110" i="11"/>
  <c r="J108" i="11"/>
  <c r="J106" i="11"/>
  <c r="J104" i="11"/>
  <c r="J102" i="11"/>
  <c r="J100" i="11"/>
  <c r="J123" i="11"/>
  <c r="J121" i="11"/>
  <c r="J119" i="11"/>
  <c r="J117" i="11"/>
  <c r="J115" i="11"/>
  <c r="J113" i="11"/>
  <c r="J111" i="11"/>
  <c r="J109" i="11"/>
  <c r="J107" i="11"/>
  <c r="J105" i="11"/>
  <c r="J103" i="11"/>
  <c r="J101" i="11"/>
  <c r="J99" i="11"/>
  <c r="J95" i="11"/>
  <c r="J91" i="11"/>
  <c r="J87" i="11"/>
  <c r="J85" i="11"/>
  <c r="J83" i="11"/>
  <c r="J81" i="11"/>
  <c r="J79" i="11"/>
  <c r="J77" i="11"/>
  <c r="J75" i="11"/>
  <c r="J73" i="11"/>
  <c r="J71" i="11"/>
  <c r="J69" i="11"/>
  <c r="J67" i="11"/>
  <c r="J65" i="11"/>
  <c r="J63" i="11"/>
  <c r="J61" i="11"/>
  <c r="J59" i="11"/>
  <c r="J57" i="11"/>
  <c r="J55" i="11"/>
  <c r="J53" i="11"/>
  <c r="J51" i="11"/>
  <c r="J49" i="11"/>
  <c r="J98" i="11"/>
  <c r="J94" i="11"/>
  <c r="J90" i="11"/>
  <c r="J86" i="11"/>
  <c r="J84" i="11"/>
  <c r="J82" i="11"/>
  <c r="J80" i="11"/>
  <c r="J78" i="11"/>
  <c r="J76" i="11"/>
  <c r="J74" i="11"/>
  <c r="J72" i="11"/>
  <c r="J70" i="11"/>
  <c r="J68" i="11"/>
  <c r="J66" i="11"/>
  <c r="J64" i="11"/>
  <c r="J62" i="11"/>
  <c r="J60" i="11"/>
  <c r="J58" i="11"/>
  <c r="J56" i="11"/>
  <c r="J54" i="11"/>
  <c r="J52" i="11"/>
  <c r="J50" i="11"/>
  <c r="J48" i="11"/>
  <c r="J45" i="11"/>
  <c r="J43" i="11"/>
  <c r="J41" i="11"/>
  <c r="J39" i="11"/>
  <c r="J37" i="11"/>
  <c r="J46" i="11"/>
  <c r="J33" i="11"/>
  <c r="J29" i="11"/>
  <c r="J25" i="11"/>
  <c r="J34" i="11"/>
  <c r="J30" i="11"/>
  <c r="J26" i="11"/>
  <c r="J23" i="11"/>
  <c r="J21" i="11"/>
  <c r="J19" i="11"/>
  <c r="J17" i="11"/>
  <c r="J15" i="11"/>
  <c r="J13" i="11"/>
  <c r="J11" i="11"/>
  <c r="J9" i="11"/>
  <c r="J7" i="11"/>
  <c r="J312" i="11"/>
  <c r="J310" i="11"/>
  <c r="J308" i="11"/>
  <c r="J306" i="11"/>
  <c r="J304" i="11"/>
  <c r="J302" i="11"/>
  <c r="J300" i="11"/>
  <c r="J298" i="11"/>
  <c r="J296" i="11"/>
  <c r="J294" i="11"/>
  <c r="J292" i="11"/>
  <c r="J290" i="11"/>
  <c r="J288" i="11"/>
  <c r="J286" i="11"/>
  <c r="J284" i="11"/>
  <c r="J282" i="11"/>
  <c r="J280" i="11"/>
  <c r="J278" i="11"/>
  <c r="J276" i="11"/>
  <c r="J274" i="11"/>
  <c r="J272" i="11"/>
  <c r="J270" i="11"/>
  <c r="J268" i="11"/>
  <c r="J266" i="11"/>
  <c r="J264" i="11"/>
  <c r="J262" i="11"/>
  <c r="J260" i="11"/>
  <c r="J258" i="11"/>
  <c r="J256" i="11"/>
  <c r="J254" i="11"/>
  <c r="J252" i="11"/>
  <c r="J250" i="11"/>
  <c r="J248" i="11"/>
  <c r="J246" i="11"/>
  <c r="J244" i="11"/>
  <c r="J241" i="11"/>
  <c r="J239" i="11"/>
  <c r="J237" i="11"/>
  <c r="J235" i="11"/>
  <c r="J232" i="11"/>
  <c r="J228" i="11"/>
  <c r="J224" i="11"/>
  <c r="J220" i="11"/>
  <c r="J215" i="11"/>
  <c r="J211" i="11"/>
  <c r="J207" i="11"/>
  <c r="J203" i="11"/>
  <c r="J201" i="11"/>
  <c r="J199" i="11"/>
  <c r="J197" i="11"/>
  <c r="J195" i="11"/>
  <c r="J193" i="11"/>
  <c r="J191" i="11"/>
  <c r="J189" i="11"/>
  <c r="J187" i="11"/>
  <c r="J185" i="11"/>
  <c r="J183" i="11"/>
  <c r="J181" i="11"/>
  <c r="J179" i="11"/>
  <c r="J177" i="11"/>
  <c r="J175" i="11"/>
  <c r="J173" i="11"/>
  <c r="J171" i="11"/>
  <c r="J168" i="11"/>
  <c r="J166" i="11"/>
  <c r="J164" i="11"/>
  <c r="J162" i="11"/>
  <c r="J160" i="11"/>
  <c r="J158" i="11"/>
  <c r="J156" i="11"/>
  <c r="J154" i="11"/>
  <c r="J152" i="11"/>
  <c r="J150" i="11"/>
  <c r="J148" i="11"/>
  <c r="J146" i="11"/>
  <c r="J144" i="11"/>
  <c r="J142" i="11"/>
  <c r="J140" i="11"/>
  <c r="J138" i="11"/>
  <c r="J136" i="11"/>
  <c r="J134" i="11"/>
  <c r="J132" i="11"/>
  <c r="J130" i="11"/>
  <c r="J128" i="11"/>
  <c r="J231" i="11"/>
  <c r="J227" i="11"/>
  <c r="J223" i="11"/>
  <c r="J219" i="11"/>
  <c r="J214" i="11"/>
  <c r="J210" i="11"/>
  <c r="J206" i="11"/>
  <c r="J126" i="11"/>
  <c r="J97" i="11"/>
  <c r="J93" i="11"/>
  <c r="J89" i="11"/>
  <c r="J96" i="11"/>
  <c r="J92" i="11"/>
  <c r="J88" i="11"/>
  <c r="J35" i="11"/>
  <c r="J44" i="11"/>
  <c r="J42" i="11"/>
  <c r="J40" i="11"/>
  <c r="J38" i="11"/>
  <c r="J36" i="11"/>
  <c r="J31" i="11"/>
  <c r="J27" i="11"/>
  <c r="J24" i="11"/>
  <c r="J22" i="11"/>
  <c r="J20" i="11"/>
  <c r="J18" i="11"/>
  <c r="J16" i="11"/>
  <c r="J14" i="11"/>
  <c r="J12" i="11"/>
  <c r="J10" i="11"/>
  <c r="J8" i="11"/>
  <c r="J6" i="11"/>
  <c r="J32" i="11"/>
  <c r="J28" i="11"/>
  <c r="N25" i="11"/>
  <c r="N27" i="11"/>
  <c r="O27" i="11" s="1"/>
  <c r="N29" i="11"/>
  <c r="O29" i="11" s="1"/>
  <c r="N31" i="11"/>
  <c r="N33" i="11"/>
  <c r="N47" i="11"/>
  <c r="O47" i="11" s="1"/>
  <c r="N87" i="11"/>
  <c r="O87" i="11" s="1"/>
  <c r="N89" i="11"/>
  <c r="N91" i="11"/>
  <c r="N93" i="11"/>
  <c r="O93" i="11" s="1"/>
  <c r="N95" i="11"/>
  <c r="O95" i="11" s="1"/>
  <c r="N97" i="11"/>
  <c r="N99" i="11"/>
  <c r="N205" i="11"/>
  <c r="N207" i="11"/>
  <c r="N209" i="11"/>
  <c r="O209" i="11" s="1"/>
  <c r="N211" i="11"/>
  <c r="O211" i="11" s="1"/>
  <c r="N213" i="11"/>
  <c r="N215" i="11"/>
  <c r="N217" i="11"/>
  <c r="O217" i="11" s="1"/>
  <c r="N220" i="11"/>
  <c r="O220" i="11" s="1"/>
  <c r="N222" i="11"/>
  <c r="N224" i="11"/>
  <c r="N226" i="11"/>
  <c r="O226" i="11" s="1"/>
  <c r="N228" i="11"/>
  <c r="O228" i="11" s="1"/>
  <c r="N230" i="11"/>
  <c r="N232" i="11"/>
  <c r="N231" i="11"/>
  <c r="N227" i="11"/>
  <c r="N223" i="11"/>
  <c r="N219" i="11"/>
  <c r="N214" i="11"/>
  <c r="N210" i="11"/>
  <c r="N206" i="11"/>
  <c r="N313" i="11"/>
  <c r="O313" i="11" s="1"/>
  <c r="N311" i="11"/>
  <c r="O311" i="11" s="1"/>
  <c r="N309" i="11"/>
  <c r="O309" i="11" s="1"/>
  <c r="N307" i="11"/>
  <c r="O307" i="11" s="1"/>
  <c r="N305" i="11"/>
  <c r="O305" i="11" s="1"/>
  <c r="N303" i="11"/>
  <c r="O303" i="11" s="1"/>
  <c r="N301" i="11"/>
  <c r="O301" i="11" s="1"/>
  <c r="N299" i="11"/>
  <c r="O299" i="11" s="1"/>
  <c r="N297" i="11"/>
  <c r="O297" i="11" s="1"/>
  <c r="N295" i="11"/>
  <c r="O295" i="11" s="1"/>
  <c r="N293" i="11"/>
  <c r="O293" i="11" s="1"/>
  <c r="N291" i="11"/>
  <c r="O291" i="11" s="1"/>
  <c r="N289" i="11"/>
  <c r="O289" i="11" s="1"/>
  <c r="N287" i="11"/>
  <c r="O287" i="11" s="1"/>
  <c r="N285" i="11"/>
  <c r="O285" i="11" s="1"/>
  <c r="N283" i="11"/>
  <c r="O283" i="11" s="1"/>
  <c r="N281" i="11"/>
  <c r="O281" i="11" s="1"/>
  <c r="N279" i="11"/>
  <c r="O279" i="11" s="1"/>
  <c r="N277" i="11"/>
  <c r="O277" i="11" s="1"/>
  <c r="N275" i="11"/>
  <c r="O275" i="11" s="1"/>
  <c r="N273" i="11"/>
  <c r="O273" i="11" s="1"/>
  <c r="N271" i="11"/>
  <c r="O271" i="11" s="1"/>
  <c r="N269" i="11"/>
  <c r="O269" i="11" s="1"/>
  <c r="N267" i="11"/>
  <c r="O267" i="11" s="1"/>
  <c r="N265" i="11"/>
  <c r="O265" i="11" s="1"/>
  <c r="N263" i="11"/>
  <c r="O263" i="11" s="1"/>
  <c r="N261" i="11"/>
  <c r="O261" i="11" s="1"/>
  <c r="N259" i="11"/>
  <c r="O259" i="11" s="1"/>
  <c r="N257" i="11"/>
  <c r="O257" i="11" s="1"/>
  <c r="N255" i="11"/>
  <c r="O255" i="11" s="1"/>
  <c r="N253" i="11"/>
  <c r="O253" i="11" s="1"/>
  <c r="N251" i="11"/>
  <c r="O251" i="11" s="1"/>
  <c r="N249" i="11"/>
  <c r="O249" i="11" s="1"/>
  <c r="N247" i="11"/>
  <c r="O247" i="11" s="1"/>
  <c r="N245" i="11"/>
  <c r="O245" i="11" s="1"/>
  <c r="N242" i="11"/>
  <c r="O242" i="11" s="1"/>
  <c r="N240" i="11"/>
  <c r="O240" i="11" s="1"/>
  <c r="N238" i="11"/>
  <c r="O238" i="11" s="1"/>
  <c r="N236" i="11"/>
  <c r="O236" i="11" s="1"/>
  <c r="N234" i="11"/>
  <c r="O234" i="11" s="1"/>
  <c r="N202" i="11"/>
  <c r="O202" i="11" s="1"/>
  <c r="N200" i="11"/>
  <c r="N198" i="11"/>
  <c r="O198" i="11" s="1"/>
  <c r="N196" i="11"/>
  <c r="N194" i="11"/>
  <c r="O194" i="11" s="1"/>
  <c r="N192" i="11"/>
  <c r="N190" i="11"/>
  <c r="O190" i="11" s="1"/>
  <c r="N188" i="11"/>
  <c r="N186" i="11"/>
  <c r="O186" i="11" s="1"/>
  <c r="N184" i="11"/>
  <c r="N182" i="11"/>
  <c r="O182" i="11" s="1"/>
  <c r="N180" i="11"/>
  <c r="N178" i="11"/>
  <c r="O178" i="11" s="1"/>
  <c r="N176" i="11"/>
  <c r="N174" i="11"/>
  <c r="O174" i="11" s="1"/>
  <c r="N172" i="11"/>
  <c r="N170" i="11"/>
  <c r="O170" i="11" s="1"/>
  <c r="N167" i="11"/>
  <c r="N165" i="11"/>
  <c r="O165" i="11" s="1"/>
  <c r="N163" i="11"/>
  <c r="N161" i="11"/>
  <c r="O161" i="11" s="1"/>
  <c r="N159" i="11"/>
  <c r="N157" i="11"/>
  <c r="O157" i="11" s="1"/>
  <c r="N155" i="11"/>
  <c r="N153" i="11"/>
  <c r="O153" i="11" s="1"/>
  <c r="N151" i="11"/>
  <c r="N149" i="11"/>
  <c r="O149" i="11" s="1"/>
  <c r="N147" i="11"/>
  <c r="N145" i="11"/>
  <c r="O145" i="11" s="1"/>
  <c r="N143" i="11"/>
  <c r="N141" i="11"/>
  <c r="O141" i="11" s="1"/>
  <c r="N139" i="11"/>
  <c r="N137" i="11"/>
  <c r="O137" i="11" s="1"/>
  <c r="N135" i="11"/>
  <c r="N133" i="11"/>
  <c r="O133" i="11" s="1"/>
  <c r="N131" i="11"/>
  <c r="N129" i="11"/>
  <c r="O129" i="11" s="1"/>
  <c r="N126" i="11"/>
  <c r="O126" i="11" s="1"/>
  <c r="N98" i="11"/>
  <c r="O98" i="11" s="1"/>
  <c r="N94" i="11"/>
  <c r="O94" i="11" s="1"/>
  <c r="N90" i="11"/>
  <c r="O90" i="11" s="1"/>
  <c r="N35" i="11"/>
  <c r="N44" i="11"/>
  <c r="O44" i="11" s="1"/>
  <c r="N42" i="11"/>
  <c r="N40" i="11"/>
  <c r="O40" i="11" s="1"/>
  <c r="N38" i="11"/>
  <c r="N36" i="11"/>
  <c r="O36" i="11" s="1"/>
  <c r="N32" i="11"/>
  <c r="N28" i="11"/>
  <c r="O28" i="11" s="1"/>
  <c r="N23" i="11"/>
  <c r="O23" i="11" s="1"/>
  <c r="N21" i="11"/>
  <c r="O21" i="11" s="1"/>
  <c r="N19" i="11"/>
  <c r="O19" i="11" s="1"/>
  <c r="N17" i="11"/>
  <c r="O17" i="11" s="1"/>
  <c r="N15" i="11"/>
  <c r="O15" i="11" s="1"/>
  <c r="N13" i="11"/>
  <c r="O13" i="11" s="1"/>
  <c r="N11" i="11"/>
  <c r="O11" i="11" s="1"/>
  <c r="N9" i="11"/>
  <c r="O9" i="11" s="1"/>
  <c r="N7" i="11"/>
  <c r="O7" i="11" s="1"/>
  <c r="N312" i="11"/>
  <c r="O312" i="11" s="1"/>
  <c r="N310" i="11"/>
  <c r="O310" i="11" s="1"/>
  <c r="N308" i="11"/>
  <c r="O308" i="11" s="1"/>
  <c r="N306" i="11"/>
  <c r="O306" i="11" s="1"/>
  <c r="N304" i="11"/>
  <c r="O304" i="11" s="1"/>
  <c r="N302" i="11"/>
  <c r="O302" i="11" s="1"/>
  <c r="N300" i="11"/>
  <c r="O300" i="11" s="1"/>
  <c r="N298" i="11"/>
  <c r="O298" i="11" s="1"/>
  <c r="N296" i="11"/>
  <c r="O296" i="11" s="1"/>
  <c r="N294" i="11"/>
  <c r="O294" i="11" s="1"/>
  <c r="N292" i="11"/>
  <c r="O292" i="11" s="1"/>
  <c r="N290" i="11"/>
  <c r="O290" i="11" s="1"/>
  <c r="N288" i="11"/>
  <c r="O288" i="11" s="1"/>
  <c r="N286" i="11"/>
  <c r="O286" i="11" s="1"/>
  <c r="N284" i="11"/>
  <c r="O284" i="11" s="1"/>
  <c r="N282" i="11"/>
  <c r="O282" i="11" s="1"/>
  <c r="N280" i="11"/>
  <c r="O280" i="11" s="1"/>
  <c r="N278" i="11"/>
  <c r="O278" i="11" s="1"/>
  <c r="N276" i="11"/>
  <c r="O276" i="11" s="1"/>
  <c r="N274" i="11"/>
  <c r="O274" i="11" s="1"/>
  <c r="N272" i="11"/>
  <c r="O272" i="11" s="1"/>
  <c r="N270" i="11"/>
  <c r="O270" i="11" s="1"/>
  <c r="N268" i="11"/>
  <c r="O268" i="11" s="1"/>
  <c r="N266" i="11"/>
  <c r="O266" i="11" s="1"/>
  <c r="N264" i="11"/>
  <c r="O264" i="11" s="1"/>
  <c r="N262" i="11"/>
  <c r="O262" i="11" s="1"/>
  <c r="N260" i="11"/>
  <c r="O260" i="11" s="1"/>
  <c r="N258" i="11"/>
  <c r="O258" i="11" s="1"/>
  <c r="N256" i="11"/>
  <c r="O256" i="11" s="1"/>
  <c r="N254" i="11"/>
  <c r="O254" i="11" s="1"/>
  <c r="N252" i="11"/>
  <c r="O252" i="11" s="1"/>
  <c r="N250" i="11"/>
  <c r="O250" i="11" s="1"/>
  <c r="N248" i="11"/>
  <c r="O248" i="11" s="1"/>
  <c r="N246" i="11"/>
  <c r="O246" i="11" s="1"/>
  <c r="N244" i="11"/>
  <c r="O244" i="11" s="1"/>
  <c r="N241" i="11"/>
  <c r="O241" i="11" s="1"/>
  <c r="N239" i="11"/>
  <c r="O239" i="11" s="1"/>
  <c r="N237" i="11"/>
  <c r="O237" i="11" s="1"/>
  <c r="N235" i="11"/>
  <c r="O235" i="11" s="1"/>
  <c r="N233" i="11"/>
  <c r="O233" i="11" s="1"/>
  <c r="N229" i="11"/>
  <c r="O229" i="11" s="1"/>
  <c r="N225" i="11"/>
  <c r="O225" i="11" s="1"/>
  <c r="N221" i="11"/>
  <c r="O221" i="11" s="1"/>
  <c r="N216" i="11"/>
  <c r="O216" i="11" s="1"/>
  <c r="N212" i="11"/>
  <c r="O212" i="11" s="1"/>
  <c r="N208" i="11"/>
  <c r="O208" i="11" s="1"/>
  <c r="N204" i="11"/>
  <c r="O204" i="11" s="1"/>
  <c r="N203" i="11"/>
  <c r="N201" i="11"/>
  <c r="O201" i="11" s="1"/>
  <c r="N199" i="11"/>
  <c r="N197" i="11"/>
  <c r="O197" i="11" s="1"/>
  <c r="N195" i="11"/>
  <c r="N193" i="11"/>
  <c r="O193" i="11" s="1"/>
  <c r="N191" i="11"/>
  <c r="N189" i="11"/>
  <c r="O189" i="11" s="1"/>
  <c r="N187" i="11"/>
  <c r="N185" i="11"/>
  <c r="O185" i="11" s="1"/>
  <c r="N183" i="11"/>
  <c r="N181" i="11"/>
  <c r="O181" i="11" s="1"/>
  <c r="N179" i="11"/>
  <c r="N177" i="11"/>
  <c r="O177" i="11" s="1"/>
  <c r="N175" i="11"/>
  <c r="N173" i="11"/>
  <c r="O173" i="11" s="1"/>
  <c r="N171" i="11"/>
  <c r="N168" i="11"/>
  <c r="O168" i="11" s="1"/>
  <c r="N166" i="11"/>
  <c r="N164" i="11"/>
  <c r="O164" i="11" s="1"/>
  <c r="N162" i="11"/>
  <c r="N160" i="11"/>
  <c r="O160" i="11" s="1"/>
  <c r="N158" i="11"/>
  <c r="N156" i="11"/>
  <c r="O156" i="11" s="1"/>
  <c r="N154" i="11"/>
  <c r="N152" i="11"/>
  <c r="O152" i="11" s="1"/>
  <c r="N150" i="11"/>
  <c r="N148" i="11"/>
  <c r="O148" i="11" s="1"/>
  <c r="N146" i="11"/>
  <c r="N144" i="11"/>
  <c r="O144" i="11" s="1"/>
  <c r="N142" i="11"/>
  <c r="N140" i="11"/>
  <c r="O140" i="11" s="1"/>
  <c r="N138" i="11"/>
  <c r="N136" i="11"/>
  <c r="O136" i="11" s="1"/>
  <c r="N134" i="11"/>
  <c r="N132" i="11"/>
  <c r="O132" i="11" s="1"/>
  <c r="N130" i="11"/>
  <c r="N128" i="11"/>
  <c r="O128" i="11" s="1"/>
  <c r="N127" i="11"/>
  <c r="N125" i="11"/>
  <c r="O125" i="11" s="1"/>
  <c r="N124" i="11"/>
  <c r="N122" i="11"/>
  <c r="O122" i="11" s="1"/>
  <c r="N120" i="11"/>
  <c r="N118" i="11"/>
  <c r="O118" i="11" s="1"/>
  <c r="N116" i="11"/>
  <c r="N114" i="11"/>
  <c r="O114" i="11" s="1"/>
  <c r="N112" i="11"/>
  <c r="N110" i="11"/>
  <c r="O110" i="11" s="1"/>
  <c r="N108" i="11"/>
  <c r="N106" i="11"/>
  <c r="O106" i="11" s="1"/>
  <c r="N104" i="11"/>
  <c r="N102" i="11"/>
  <c r="O102" i="11" s="1"/>
  <c r="N100" i="11"/>
  <c r="N96" i="11"/>
  <c r="O96" i="11" s="1"/>
  <c r="N92" i="11"/>
  <c r="N88" i="11"/>
  <c r="O88" i="11" s="1"/>
  <c r="N123" i="11"/>
  <c r="O123" i="11" s="1"/>
  <c r="N121" i="11"/>
  <c r="O121" i="11" s="1"/>
  <c r="N119" i="11"/>
  <c r="O119" i="11" s="1"/>
  <c r="N117" i="11"/>
  <c r="O117" i="11" s="1"/>
  <c r="N115" i="11"/>
  <c r="O115" i="11" s="1"/>
  <c r="N113" i="11"/>
  <c r="O113" i="11" s="1"/>
  <c r="N111" i="11"/>
  <c r="O111" i="11" s="1"/>
  <c r="N109" i="11"/>
  <c r="O109" i="11" s="1"/>
  <c r="N107" i="11"/>
  <c r="O107" i="11" s="1"/>
  <c r="N105" i="11"/>
  <c r="O105" i="11" s="1"/>
  <c r="N103" i="11"/>
  <c r="O103" i="11" s="1"/>
  <c r="N101" i="11"/>
  <c r="O101" i="11" s="1"/>
  <c r="N86" i="11"/>
  <c r="O86" i="11" s="1"/>
  <c r="N84" i="11"/>
  <c r="O84" i="11" s="1"/>
  <c r="N82" i="11"/>
  <c r="O82" i="11" s="1"/>
  <c r="N80" i="11"/>
  <c r="O80" i="11" s="1"/>
  <c r="N78" i="11"/>
  <c r="O78" i="11" s="1"/>
  <c r="N76" i="11"/>
  <c r="O76" i="11" s="1"/>
  <c r="N74" i="11"/>
  <c r="O74" i="11" s="1"/>
  <c r="N72" i="11"/>
  <c r="O72" i="11" s="1"/>
  <c r="N70" i="11"/>
  <c r="O70" i="11" s="1"/>
  <c r="N68" i="11"/>
  <c r="O68" i="11" s="1"/>
  <c r="N66" i="11"/>
  <c r="O66" i="11" s="1"/>
  <c r="N64" i="11"/>
  <c r="O64" i="11" s="1"/>
  <c r="N62" i="11"/>
  <c r="O62" i="11" s="1"/>
  <c r="N60" i="11"/>
  <c r="O60" i="11" s="1"/>
  <c r="N58" i="11"/>
  <c r="O58" i="11" s="1"/>
  <c r="N56" i="11"/>
  <c r="O56" i="11" s="1"/>
  <c r="N54" i="11"/>
  <c r="O54" i="11" s="1"/>
  <c r="N52" i="11"/>
  <c r="O52" i="11" s="1"/>
  <c r="N50" i="11"/>
  <c r="O50" i="11" s="1"/>
  <c r="N48" i="11"/>
  <c r="O48" i="11" s="1"/>
  <c r="N85" i="11"/>
  <c r="O85" i="11" s="1"/>
  <c r="N83" i="11"/>
  <c r="O83" i="11" s="1"/>
  <c r="N81" i="11"/>
  <c r="O81" i="11" s="1"/>
  <c r="N79" i="11"/>
  <c r="O79" i="11" s="1"/>
  <c r="N77" i="11"/>
  <c r="O77" i="11" s="1"/>
  <c r="N75" i="11"/>
  <c r="O75" i="11" s="1"/>
  <c r="N73" i="11"/>
  <c r="O73" i="11" s="1"/>
  <c r="N71" i="11"/>
  <c r="O71" i="11" s="1"/>
  <c r="N69" i="11"/>
  <c r="O69" i="11" s="1"/>
  <c r="N67" i="11"/>
  <c r="O67" i="11" s="1"/>
  <c r="N65" i="11"/>
  <c r="O65" i="11" s="1"/>
  <c r="N63" i="11"/>
  <c r="O63" i="11" s="1"/>
  <c r="N61" i="11"/>
  <c r="O61" i="11" s="1"/>
  <c r="N59" i="11"/>
  <c r="O59" i="11" s="1"/>
  <c r="N57" i="11"/>
  <c r="O57" i="11" s="1"/>
  <c r="N55" i="11"/>
  <c r="O55" i="11" s="1"/>
  <c r="N53" i="11"/>
  <c r="O53" i="11" s="1"/>
  <c r="N51" i="11"/>
  <c r="O51" i="11" s="1"/>
  <c r="N49" i="11"/>
  <c r="O49" i="11" s="1"/>
  <c r="N46" i="11"/>
  <c r="O46" i="11" s="1"/>
  <c r="N45" i="11"/>
  <c r="O45" i="11" s="1"/>
  <c r="N43" i="11"/>
  <c r="O43" i="11" s="1"/>
  <c r="N41" i="11"/>
  <c r="O41" i="11" s="1"/>
  <c r="N39" i="11"/>
  <c r="O39" i="11" s="1"/>
  <c r="N37" i="11"/>
  <c r="O37" i="11" s="1"/>
  <c r="N34" i="11"/>
  <c r="O34" i="11" s="1"/>
  <c r="N30" i="11"/>
  <c r="O30" i="11" s="1"/>
  <c r="N26" i="11"/>
  <c r="O26" i="11" s="1"/>
  <c r="N24" i="11"/>
  <c r="N22" i="11"/>
  <c r="O22" i="11" s="1"/>
  <c r="N20" i="11"/>
  <c r="N18" i="11"/>
  <c r="O18" i="11" s="1"/>
  <c r="N16" i="11"/>
  <c r="N14" i="11"/>
  <c r="O14" i="11" s="1"/>
  <c r="N12" i="11"/>
  <c r="N10" i="11"/>
  <c r="O10" i="11" s="1"/>
  <c r="N8" i="11"/>
  <c r="N6" i="11"/>
  <c r="O6" i="11" s="1"/>
  <c r="N5" i="11"/>
  <c r="J5" i="11"/>
  <c r="F283" i="12"/>
  <c r="D5" i="39"/>
  <c r="G320" i="9"/>
  <c r="D314" i="12" s="1"/>
  <c r="O99" i="11" l="1"/>
  <c r="O91" i="11"/>
  <c r="E34" i="48"/>
  <c r="O8" i="11"/>
  <c r="O12" i="11"/>
  <c r="O16" i="11"/>
  <c r="O20" i="11"/>
  <c r="O24" i="11"/>
  <c r="O92" i="11"/>
  <c r="O100" i="11"/>
  <c r="O104" i="11"/>
  <c r="O108" i="11"/>
  <c r="O112" i="11"/>
  <c r="O116" i="11"/>
  <c r="O120" i="11"/>
  <c r="O124" i="11"/>
  <c r="F124" i="39" s="1"/>
  <c r="O127" i="11"/>
  <c r="F127" i="12" s="1"/>
  <c r="O130" i="11"/>
  <c r="O134" i="11"/>
  <c r="O138" i="11"/>
  <c r="O142" i="11"/>
  <c r="O146" i="11"/>
  <c r="O150" i="11"/>
  <c r="O154" i="11"/>
  <c r="O158" i="11"/>
  <c r="F158" i="39" s="1"/>
  <c r="O162" i="11"/>
  <c r="O166" i="11"/>
  <c r="O171" i="11"/>
  <c r="O175" i="11"/>
  <c r="O179" i="11"/>
  <c r="O183" i="11"/>
  <c r="O187" i="11"/>
  <c r="O191" i="11"/>
  <c r="F191" i="39" s="1"/>
  <c r="O195" i="11"/>
  <c r="O199" i="11"/>
  <c r="O203" i="11"/>
  <c r="O32" i="11"/>
  <c r="O38" i="11"/>
  <c r="O42" i="11"/>
  <c r="F42" i="39" s="1"/>
  <c r="O35" i="11"/>
  <c r="O131" i="11"/>
  <c r="O135" i="11"/>
  <c r="O139" i="11"/>
  <c r="O143" i="11"/>
  <c r="O147" i="11"/>
  <c r="O151" i="11"/>
  <c r="O155" i="11"/>
  <c r="O159" i="11"/>
  <c r="O163" i="11"/>
  <c r="O167" i="11"/>
  <c r="O172" i="11"/>
  <c r="O176" i="11"/>
  <c r="O180" i="11"/>
  <c r="O184" i="11"/>
  <c r="O188" i="11"/>
  <c r="O192" i="11"/>
  <c r="O196" i="11"/>
  <c r="F196" i="12" s="1"/>
  <c r="O200" i="11"/>
  <c r="O206" i="11"/>
  <c r="O214" i="11"/>
  <c r="O223" i="11"/>
  <c r="F223" i="12" s="1"/>
  <c r="O231" i="11"/>
  <c r="O230" i="11"/>
  <c r="O222" i="11"/>
  <c r="O213" i="11"/>
  <c r="O205" i="11"/>
  <c r="H170" i="25"/>
  <c r="O97" i="11"/>
  <c r="H244" i="25"/>
  <c r="H219" i="25"/>
  <c r="O210" i="11"/>
  <c r="O219" i="11"/>
  <c r="O227" i="11"/>
  <c r="O232" i="11"/>
  <c r="O224" i="11"/>
  <c r="O215" i="11"/>
  <c r="F215" i="39" s="1"/>
  <c r="O207" i="11"/>
  <c r="O33" i="11"/>
  <c r="O25" i="11"/>
  <c r="O89" i="11"/>
  <c r="O31" i="11"/>
  <c r="H295" i="25"/>
  <c r="H228" i="25"/>
  <c r="H63" i="25"/>
  <c r="H243" i="25"/>
  <c r="H121" i="25"/>
  <c r="F220" i="39"/>
  <c r="H122" i="25"/>
  <c r="H288" i="25"/>
  <c r="H278" i="25"/>
  <c r="F268" i="39"/>
  <c r="F221" i="12"/>
  <c r="F170" i="39"/>
  <c r="H31" i="25"/>
  <c r="H12" i="25"/>
  <c r="H279" i="25"/>
  <c r="H313" i="25"/>
  <c r="H264" i="25"/>
  <c r="H109" i="25"/>
  <c r="H20" i="25"/>
  <c r="H89" i="25"/>
  <c r="F76" i="39"/>
  <c r="H261" i="25"/>
  <c r="F54" i="39"/>
  <c r="H178" i="25"/>
  <c r="H227" i="25"/>
  <c r="H282" i="25"/>
  <c r="H93" i="25"/>
  <c r="H226" i="25"/>
  <c r="F149" i="12"/>
  <c r="H194" i="25"/>
  <c r="H300" i="25"/>
  <c r="F241" i="12"/>
  <c r="H291" i="25"/>
  <c r="H22" i="25"/>
  <c r="H81" i="25"/>
  <c r="H311" i="25"/>
  <c r="H265" i="25"/>
  <c r="H230" i="25"/>
  <c r="H270" i="25"/>
  <c r="H275" i="25"/>
  <c r="H56" i="25"/>
  <c r="H108" i="25"/>
  <c r="F99" i="39"/>
  <c r="F117" i="12"/>
  <c r="H124" i="25"/>
  <c r="H91" i="25"/>
  <c r="H245" i="25"/>
  <c r="H210" i="25"/>
  <c r="H214" i="25"/>
  <c r="H83" i="25"/>
  <c r="H103" i="25"/>
  <c r="H19" i="25"/>
  <c r="H69" i="25"/>
  <c r="H199" i="25"/>
  <c r="H187" i="25"/>
  <c r="H247" i="25"/>
  <c r="H133" i="25"/>
  <c r="F53" i="12"/>
  <c r="H302" i="25"/>
  <c r="H38" i="25"/>
  <c r="F75" i="12"/>
  <c r="H256" i="25"/>
  <c r="H120" i="25"/>
  <c r="H283" i="25"/>
  <c r="H45" i="25"/>
  <c r="H147" i="25"/>
  <c r="H175" i="25"/>
  <c r="H206" i="25"/>
  <c r="H51" i="25"/>
  <c r="H193" i="25"/>
  <c r="H314" i="25"/>
  <c r="H299" i="25"/>
  <c r="F311" i="12"/>
  <c r="F160" i="12"/>
  <c r="H107" i="25"/>
  <c r="H40" i="25"/>
  <c r="H246" i="25"/>
  <c r="F72" i="12"/>
  <c r="H153" i="25"/>
  <c r="H190" i="25"/>
  <c r="H304" i="25"/>
  <c r="H289" i="25"/>
  <c r="H280" i="25"/>
  <c r="H298" i="25"/>
  <c r="H157" i="25"/>
  <c r="H155" i="25"/>
  <c r="F202" i="12"/>
  <c r="F181" i="39"/>
  <c r="H27" i="25"/>
  <c r="H271" i="25"/>
  <c r="F91" i="12"/>
  <c r="H24" i="25"/>
  <c r="F238" i="39"/>
  <c r="H257" i="25"/>
  <c r="F78" i="12"/>
  <c r="H218" i="25"/>
  <c r="H208" i="25"/>
  <c r="H141" i="25"/>
  <c r="H119" i="25"/>
  <c r="O5" i="11"/>
  <c r="H191" i="25"/>
  <c r="H74" i="25"/>
  <c r="H253" i="25"/>
  <c r="H293" i="25"/>
  <c r="H166" i="25"/>
  <c r="F275" i="39"/>
  <c r="H106" i="25"/>
  <c r="H87" i="25"/>
  <c r="H236" i="25"/>
  <c r="F185" i="12"/>
  <c r="H281" i="25"/>
  <c r="H255" i="25"/>
  <c r="H44" i="25"/>
  <c r="H129" i="25"/>
  <c r="H235" i="25"/>
  <c r="H212" i="25"/>
  <c r="H138" i="25"/>
  <c r="H169" i="25"/>
  <c r="F272" i="39"/>
  <c r="H290" i="25"/>
  <c r="H112" i="25"/>
  <c r="H154" i="25"/>
  <c r="H123" i="25"/>
  <c r="H42" i="25"/>
  <c r="H86" i="25"/>
  <c r="F141" i="39"/>
  <c r="F201" i="39"/>
  <c r="F70" i="12"/>
  <c r="H251" i="25"/>
  <c r="F257" i="12"/>
  <c r="J314" i="11"/>
  <c r="F284" i="12"/>
  <c r="H97" i="25"/>
  <c r="F47" i="12"/>
  <c r="H46" i="25"/>
  <c r="F307" i="12"/>
  <c r="H114" i="25"/>
  <c r="H58" i="25"/>
  <c r="H248" i="25"/>
  <c r="H111" i="25"/>
  <c r="F59" i="39"/>
  <c r="H130" i="25"/>
  <c r="H28" i="25"/>
  <c r="N314" i="11"/>
  <c r="H149" i="25"/>
  <c r="H145" i="25"/>
  <c r="F300" i="12"/>
  <c r="H65" i="25"/>
  <c r="H262" i="25"/>
  <c r="E33" i="48"/>
  <c r="D314" i="39"/>
  <c r="F115" i="12"/>
  <c r="F36" i="12"/>
  <c r="H266" i="25"/>
  <c r="F48" i="12"/>
  <c r="H211" i="25"/>
  <c r="H162" i="25"/>
  <c r="F315" i="25"/>
  <c r="F283" i="39"/>
  <c r="H284" i="25"/>
  <c r="H297" i="25"/>
  <c r="H184" i="25" l="1"/>
  <c r="H33" i="25"/>
  <c r="H233" i="25"/>
  <c r="H113" i="25"/>
  <c r="H105" i="25"/>
  <c r="H34" i="25"/>
  <c r="H156" i="25"/>
  <c r="H176" i="25"/>
  <c r="H207" i="25"/>
  <c r="H189" i="25"/>
  <c r="H181" i="25"/>
  <c r="H140" i="25"/>
  <c r="H90" i="25"/>
  <c r="H173" i="25"/>
  <c r="F34" i="48"/>
  <c r="H204" i="25"/>
  <c r="H160" i="25"/>
  <c r="H201" i="25"/>
  <c r="H177" i="25"/>
  <c r="H101" i="25"/>
  <c r="H117" i="25"/>
  <c r="H152" i="25"/>
  <c r="H185" i="25"/>
  <c r="F218" i="12"/>
  <c r="F218" i="39"/>
  <c r="F243" i="39"/>
  <c r="F243" i="12"/>
  <c r="F169" i="39"/>
  <c r="F169" i="12"/>
  <c r="H164" i="25"/>
  <c r="F227" i="12"/>
  <c r="H99" i="25"/>
  <c r="F120" i="39"/>
  <c r="F62" i="39"/>
  <c r="F242" i="39"/>
  <c r="H47" i="25"/>
  <c r="F277" i="12"/>
  <c r="H94" i="25"/>
  <c r="F121" i="39"/>
  <c r="F30" i="39"/>
  <c r="F278" i="39"/>
  <c r="H77" i="25"/>
  <c r="H179" i="25"/>
  <c r="H237" i="25"/>
  <c r="F268" i="12"/>
  <c r="H263" i="25"/>
  <c r="H213" i="25"/>
  <c r="F281" i="12"/>
  <c r="H269" i="25"/>
  <c r="H55" i="25"/>
  <c r="F263" i="12"/>
  <c r="F19" i="12"/>
  <c r="H95" i="25"/>
  <c r="F221" i="39"/>
  <c r="F54" i="12"/>
  <c r="H158" i="25"/>
  <c r="H171" i="25"/>
  <c r="F177" i="12"/>
  <c r="F260" i="39"/>
  <c r="H222" i="25"/>
  <c r="H183" i="25"/>
  <c r="F287" i="39"/>
  <c r="H221" i="25"/>
  <c r="F220" i="12"/>
  <c r="F11" i="39"/>
  <c r="H64" i="25"/>
  <c r="F92" i="39"/>
  <c r="H249" i="25"/>
  <c r="H39" i="25"/>
  <c r="F312" i="39"/>
  <c r="F170" i="12"/>
  <c r="H252" i="25"/>
  <c r="F88" i="12"/>
  <c r="F299" i="39"/>
  <c r="H242" i="25"/>
  <c r="H50" i="25"/>
  <c r="F80" i="12"/>
  <c r="H80" i="25"/>
  <c r="F108" i="39"/>
  <c r="H132" i="25"/>
  <c r="H126" i="25"/>
  <c r="F76" i="12"/>
  <c r="F99" i="12"/>
  <c r="H10" i="25"/>
  <c r="H8" i="25"/>
  <c r="F14" i="12"/>
  <c r="H11" i="25"/>
  <c r="H14" i="25"/>
  <c r="H18" i="25"/>
  <c r="F5" i="39"/>
  <c r="F12" i="12"/>
  <c r="F16" i="39"/>
  <c r="F6" i="39"/>
  <c r="H16" i="25"/>
  <c r="H9" i="25"/>
  <c r="F226" i="39"/>
  <c r="F264" i="12"/>
  <c r="H67" i="25"/>
  <c r="F290" i="39"/>
  <c r="F75" i="39"/>
  <c r="F151" i="39"/>
  <c r="H150" i="25"/>
  <c r="F241" i="39"/>
  <c r="H305" i="25"/>
  <c r="F310" i="39"/>
  <c r="F229" i="39"/>
  <c r="H217" i="25"/>
  <c r="F119" i="12"/>
  <c r="F184" i="39"/>
  <c r="F149" i="39"/>
  <c r="F225" i="39"/>
  <c r="F193" i="12"/>
  <c r="F21" i="39"/>
  <c r="H225" i="25"/>
  <c r="H134" i="25"/>
  <c r="F55" i="39"/>
  <c r="F168" i="39"/>
  <c r="H277" i="25"/>
  <c r="F269" i="39"/>
  <c r="F26" i="39"/>
  <c r="F297" i="12"/>
  <c r="H287" i="25"/>
  <c r="F244" i="39"/>
  <c r="H26" i="25"/>
  <c r="F274" i="39"/>
  <c r="H215" i="25"/>
  <c r="H118" i="25"/>
  <c r="F209" i="39"/>
  <c r="H25" i="25"/>
  <c r="F107" i="12"/>
  <c r="H192" i="25"/>
  <c r="H240" i="25"/>
  <c r="H163" i="25"/>
  <c r="F18" i="12"/>
  <c r="F117" i="39"/>
  <c r="F191" i="12"/>
  <c r="F198" i="12"/>
  <c r="H68" i="25"/>
  <c r="F85" i="12"/>
  <c r="F313" i="12"/>
  <c r="F270" i="39"/>
  <c r="H96" i="25"/>
  <c r="F174" i="12"/>
  <c r="F235" i="12"/>
  <c r="H35" i="25"/>
  <c r="H78" i="25"/>
  <c r="F123" i="12"/>
  <c r="H231" i="25"/>
  <c r="H196" i="25"/>
  <c r="H32" i="25"/>
  <c r="H52" i="25"/>
  <c r="H102" i="25"/>
  <c r="H57" i="25"/>
  <c r="F90" i="39"/>
  <c r="F159" i="39"/>
  <c r="F245" i="39"/>
  <c r="F116" i="39"/>
  <c r="F279" i="12"/>
  <c r="F155" i="12"/>
  <c r="H267" i="25"/>
  <c r="F207" i="12"/>
  <c r="F213" i="39"/>
  <c r="F255" i="39"/>
  <c r="H309" i="25"/>
  <c r="F44" i="12"/>
  <c r="F82" i="12"/>
  <c r="H100" i="25"/>
  <c r="H139" i="25"/>
  <c r="F102" i="39"/>
  <c r="H180" i="25"/>
  <c r="H205" i="25"/>
  <c r="F9" i="39"/>
  <c r="F152" i="39"/>
  <c r="H72" i="25"/>
  <c r="H98" i="25"/>
  <c r="H198" i="25"/>
  <c r="H146" i="25"/>
  <c r="H167" i="25"/>
  <c r="F188" i="12"/>
  <c r="F13" i="39"/>
  <c r="F288" i="12"/>
  <c r="F190" i="12"/>
  <c r="F175" i="12"/>
  <c r="H61" i="25"/>
  <c r="H128" i="25"/>
  <c r="F37" i="12"/>
  <c r="F132" i="39"/>
  <c r="H234" i="25"/>
  <c r="H259" i="25"/>
  <c r="H53" i="25"/>
  <c r="F15" i="12"/>
  <c r="F154" i="39"/>
  <c r="F127" i="39"/>
  <c r="H272" i="25"/>
  <c r="H294" i="25"/>
  <c r="F280" i="12"/>
  <c r="H88" i="25"/>
  <c r="H144" i="25"/>
  <c r="F186" i="12"/>
  <c r="H159" i="25"/>
  <c r="F53" i="39"/>
  <c r="H143" i="25"/>
  <c r="F118" i="12"/>
  <c r="H66" i="25"/>
  <c r="F68" i="39"/>
  <c r="H310" i="25"/>
  <c r="F23" i="12"/>
  <c r="H148" i="25"/>
  <c r="F217" i="12"/>
  <c r="H296" i="25"/>
  <c r="H41" i="25"/>
  <c r="F205" i="39"/>
  <c r="F298" i="12"/>
  <c r="F146" i="39"/>
  <c r="F246" i="39"/>
  <c r="F223" i="39"/>
  <c r="H54" i="25"/>
  <c r="H70" i="25"/>
  <c r="H174" i="25"/>
  <c r="H224" i="25"/>
  <c r="F158" i="12"/>
  <c r="F73" i="39"/>
  <c r="H203" i="25"/>
  <c r="H223" i="25"/>
  <c r="H312" i="25"/>
  <c r="H115" i="25"/>
  <c r="F128" i="39"/>
  <c r="H306" i="25"/>
  <c r="F100" i="39"/>
  <c r="H286" i="25"/>
  <c r="F292" i="39"/>
  <c r="F50" i="12"/>
  <c r="F206" i="39"/>
  <c r="F181" i="12"/>
  <c r="H23" i="25"/>
  <c r="H127" i="25"/>
  <c r="F254" i="39"/>
  <c r="H62" i="25"/>
  <c r="F140" i="12"/>
  <c r="F89" i="12"/>
  <c r="F282" i="39"/>
  <c r="H13" i="25"/>
  <c r="H274" i="25"/>
  <c r="F192" i="12"/>
  <c r="H21" i="25"/>
  <c r="F176" i="39"/>
  <c r="H17" i="25"/>
  <c r="H82" i="25"/>
  <c r="H229" i="25"/>
  <c r="H75" i="25"/>
  <c r="H151" i="25"/>
  <c r="F86" i="12"/>
  <c r="H30" i="25"/>
  <c r="H6" i="25"/>
  <c r="H216" i="25"/>
  <c r="F200" i="39"/>
  <c r="H307" i="25"/>
  <c r="H241" i="25"/>
  <c r="F238" i="12"/>
  <c r="F43" i="12"/>
  <c r="F165" i="12"/>
  <c r="H73" i="25"/>
  <c r="F172" i="39"/>
  <c r="F160" i="39"/>
  <c r="H79" i="25"/>
  <c r="F303" i="39"/>
  <c r="F289" i="39"/>
  <c r="H104" i="25"/>
  <c r="H200" i="25"/>
  <c r="F72" i="39"/>
  <c r="F311" i="39"/>
  <c r="F39" i="39"/>
  <c r="H182" i="25"/>
  <c r="F301" i="39"/>
  <c r="F106" i="12"/>
  <c r="H76" i="25"/>
  <c r="F78" i="39"/>
  <c r="F156" i="39"/>
  <c r="F139" i="12"/>
  <c r="F203" i="39"/>
  <c r="F91" i="39"/>
  <c r="F215" i="12"/>
  <c r="H188" i="25"/>
  <c r="H232" i="25"/>
  <c r="F137" i="12"/>
  <c r="F252" i="39"/>
  <c r="F256" i="39"/>
  <c r="H59" i="25"/>
  <c r="F111" i="12"/>
  <c r="H260" i="25"/>
  <c r="F10" i="39"/>
  <c r="F105" i="12"/>
  <c r="H7" i="25"/>
  <c r="F141" i="12"/>
  <c r="H239" i="25"/>
  <c r="H209" i="25"/>
  <c r="F189" i="39"/>
  <c r="H92" i="25"/>
  <c r="H15" i="25"/>
  <c r="F104" i="12"/>
  <c r="F7" i="39"/>
  <c r="F272" i="12"/>
  <c r="H161" i="25"/>
  <c r="F202" i="39"/>
  <c r="F33" i="12"/>
  <c r="F153" i="39"/>
  <c r="H84" i="25"/>
  <c r="F122" i="39"/>
  <c r="H136" i="25"/>
  <c r="F234" i="39"/>
  <c r="H250" i="25"/>
  <c r="F113" i="12"/>
  <c r="H110" i="25"/>
  <c r="H292" i="25"/>
  <c r="F211" i="39"/>
  <c r="F201" i="12"/>
  <c r="H186" i="25"/>
  <c r="H276" i="25"/>
  <c r="F275" i="12"/>
  <c r="F250" i="39"/>
  <c r="F185" i="39"/>
  <c r="H165" i="25"/>
  <c r="F17" i="39"/>
  <c r="F41" i="39"/>
  <c r="F27" i="39"/>
  <c r="H202" i="25"/>
  <c r="F70" i="39"/>
  <c r="H303" i="25"/>
  <c r="H238" i="25"/>
  <c r="H36" i="25"/>
  <c r="H43" i="25"/>
  <c r="H142" i="25"/>
  <c r="F284" i="39"/>
  <c r="H29" i="25"/>
  <c r="H71" i="25"/>
  <c r="H273" i="25"/>
  <c r="F42" i="12"/>
  <c r="F144" i="39"/>
  <c r="H172" i="25"/>
  <c r="H195" i="25"/>
  <c r="H131" i="25"/>
  <c r="F257" i="39"/>
  <c r="F124" i="12"/>
  <c r="F48" i="39"/>
  <c r="H125" i="25"/>
  <c r="H258" i="25"/>
  <c r="H48" i="25"/>
  <c r="F47" i="39"/>
  <c r="F36" i="39"/>
  <c r="F112" i="12"/>
  <c r="H135" i="25"/>
  <c r="F180" i="12"/>
  <c r="H268" i="25"/>
  <c r="F96" i="39"/>
  <c r="H308" i="25"/>
  <c r="F129" i="12"/>
  <c r="H285" i="25"/>
  <c r="F261" i="39"/>
  <c r="H197" i="25"/>
  <c r="H301" i="25"/>
  <c r="F247" i="12"/>
  <c r="H85" i="25"/>
  <c r="F57" i="39"/>
  <c r="F64" i="39"/>
  <c r="F45" i="12"/>
  <c r="F196" i="39"/>
  <c r="F300" i="39"/>
  <c r="H254" i="25"/>
  <c r="F148" i="12"/>
  <c r="F210" i="39"/>
  <c r="F110" i="39"/>
  <c r="F307" i="39"/>
  <c r="H60" i="25"/>
  <c r="F59" i="12"/>
  <c r="H37" i="25"/>
  <c r="F161" i="12"/>
  <c r="F232" i="39"/>
  <c r="H137" i="25"/>
  <c r="H220" i="25"/>
  <c r="F265" i="12"/>
  <c r="F115" i="39"/>
  <c r="H116" i="25"/>
  <c r="H49" i="25"/>
  <c r="O314" i="11"/>
  <c r="C7" i="34" s="1"/>
  <c r="C9" i="34" s="1"/>
  <c r="H168" i="25"/>
  <c r="F138" i="12"/>
  <c r="F138" i="39"/>
  <c r="F130" i="39"/>
  <c r="F130" i="12"/>
  <c r="F35" i="12"/>
  <c r="F35" i="39"/>
  <c r="F32" i="39"/>
  <c r="F32" i="12"/>
  <c r="F109" i="39"/>
  <c r="F109" i="12"/>
  <c r="F291" i="39"/>
  <c r="F291" i="12"/>
  <c r="F40" i="12"/>
  <c r="F40" i="39"/>
  <c r="F240" i="12"/>
  <c r="F240" i="39"/>
  <c r="F77" i="12"/>
  <c r="F77" i="39"/>
  <c r="F183" i="39"/>
  <c r="F183" i="12"/>
  <c r="F34" i="12"/>
  <c r="F34" i="39"/>
  <c r="F60" i="39"/>
  <c r="F60" i="12"/>
  <c r="F267" i="39"/>
  <c r="F267" i="12"/>
  <c r="F204" i="39"/>
  <c r="F204" i="12"/>
  <c r="F208" i="39"/>
  <c r="F208" i="12"/>
  <c r="F49" i="39"/>
  <c r="F49" i="12"/>
  <c r="F87" i="39"/>
  <c r="F87" i="12"/>
  <c r="F216" i="39"/>
  <c r="F216" i="12"/>
  <c r="F81" i="12"/>
  <c r="F81" i="39"/>
  <c r="F227" i="39"/>
  <c r="F134" i="12"/>
  <c r="F134" i="39"/>
  <c r="F197" i="12"/>
  <c r="F197" i="39"/>
  <c r="F74" i="39"/>
  <c r="F74" i="12"/>
  <c r="F305" i="12"/>
  <c r="F305" i="39"/>
  <c r="F38" i="12"/>
  <c r="F38" i="39"/>
  <c r="F28" i="39"/>
  <c r="F28" i="12"/>
  <c r="F302" i="12"/>
  <c r="F302" i="39"/>
  <c r="F230" i="12"/>
  <c r="F230" i="39"/>
  <c r="F46" i="12"/>
  <c r="F46" i="39"/>
  <c r="F162" i="39"/>
  <c r="F162" i="12"/>
  <c r="F258" i="12"/>
  <c r="F258" i="39"/>
  <c r="F177" i="39"/>
  <c r="F24" i="12"/>
  <c r="F24" i="39"/>
  <c r="F182" i="12"/>
  <c r="F182" i="39"/>
  <c r="F56" i="12"/>
  <c r="F56" i="39"/>
  <c r="F143" i="39"/>
  <c r="F143" i="12"/>
  <c r="F236" i="39"/>
  <c r="F236" i="12"/>
  <c r="F29" i="39"/>
  <c r="F29" i="12"/>
  <c r="F95" i="12"/>
  <c r="F95" i="39"/>
  <c r="F199" i="12"/>
  <c r="F199" i="39"/>
  <c r="F237" i="39"/>
  <c r="F237" i="12"/>
  <c r="F22" i="39"/>
  <c r="F22" i="12"/>
  <c r="F25" i="39"/>
  <c r="F25" i="12"/>
  <c r="F126" i="12"/>
  <c r="F126" i="39"/>
  <c r="F98" i="12"/>
  <c r="F98" i="39"/>
  <c r="F263" i="39"/>
  <c r="F262" i="12"/>
  <c r="F262" i="39"/>
  <c r="F147" i="12"/>
  <c r="F147" i="39"/>
  <c r="F251" i="39"/>
  <c r="F251" i="12"/>
  <c r="F136" i="12"/>
  <c r="F136" i="39"/>
  <c r="F222" i="12"/>
  <c r="F222" i="39"/>
  <c r="F61" i="39"/>
  <c r="F61" i="12"/>
  <c r="F71" i="12"/>
  <c r="F71" i="39"/>
  <c r="F97" i="39"/>
  <c r="F97" i="12"/>
  <c r="F114" i="39"/>
  <c r="F114" i="12"/>
  <c r="F142" i="39"/>
  <c r="F142" i="12"/>
  <c r="F219" i="12"/>
  <c r="F219" i="39"/>
  <c r="F286" i="39"/>
  <c r="F286" i="12"/>
  <c r="F309" i="39"/>
  <c r="F309" i="12"/>
  <c r="F145" i="12"/>
  <c r="F145" i="39"/>
  <c r="F150" i="12"/>
  <c r="F150" i="39"/>
  <c r="F67" i="12"/>
  <c r="F67" i="39"/>
  <c r="F248" i="39"/>
  <c r="F248" i="12"/>
  <c r="F195" i="12"/>
  <c r="F195" i="39"/>
  <c r="F66" i="12"/>
  <c r="F66" i="39"/>
  <c r="F58" i="12"/>
  <c r="F58" i="39"/>
  <c r="F84" i="39"/>
  <c r="F84" i="12"/>
  <c r="F214" i="12"/>
  <c r="F214" i="39"/>
  <c r="F259" i="12"/>
  <c r="F259" i="39"/>
  <c r="F239" i="12"/>
  <c r="F239" i="39"/>
  <c r="F69" i="12"/>
  <c r="F69" i="39"/>
  <c r="F249" i="12"/>
  <c r="F249" i="39"/>
  <c r="F266" i="12"/>
  <c r="F266" i="39"/>
  <c r="F233" i="39"/>
  <c r="F233" i="12"/>
  <c r="F164" i="12"/>
  <c r="F164" i="39"/>
  <c r="F296" i="39"/>
  <c r="F296" i="12"/>
  <c r="F20" i="12"/>
  <c r="F20" i="39"/>
  <c r="F304" i="39"/>
  <c r="F304" i="12"/>
  <c r="F187" i="39"/>
  <c r="F187" i="12"/>
  <c r="F31" i="12"/>
  <c r="F31" i="39"/>
  <c r="F212" i="12"/>
  <c r="F212" i="39"/>
  <c r="F253" i="12"/>
  <c r="F253" i="39"/>
  <c r="F231" i="39"/>
  <c r="F231" i="12"/>
  <c r="F79" i="12"/>
  <c r="F79" i="39"/>
  <c r="F228" i="39"/>
  <c r="F228" i="12"/>
  <c r="F103" i="39"/>
  <c r="F103" i="12"/>
  <c r="F83" i="39"/>
  <c r="F83" i="12"/>
  <c r="F51" i="39"/>
  <c r="F51" i="12"/>
  <c r="F166" i="39"/>
  <c r="F166" i="12"/>
  <c r="F101" i="39"/>
  <c r="F101" i="12"/>
  <c r="F133" i="39"/>
  <c r="F133" i="12"/>
  <c r="F135" i="39"/>
  <c r="F135" i="12"/>
  <c r="F65" i="12"/>
  <c r="F65" i="39"/>
  <c r="F63" i="12"/>
  <c r="F63" i="39"/>
  <c r="F294" i="12"/>
  <c r="F294" i="39"/>
  <c r="F171" i="12"/>
  <c r="F171" i="39"/>
  <c r="F194" i="39"/>
  <c r="F194" i="12"/>
  <c r="F271" i="39"/>
  <c r="F271" i="12"/>
  <c r="F157" i="12"/>
  <c r="F157" i="39"/>
  <c r="F293" i="12"/>
  <c r="F293" i="39"/>
  <c r="F178" i="12"/>
  <c r="F178" i="39"/>
  <c r="F273" i="12"/>
  <c r="F273" i="39"/>
  <c r="F242" i="12"/>
  <c r="F52" i="12"/>
  <c r="F52" i="39"/>
  <c r="F295" i="12"/>
  <c r="F295" i="39"/>
  <c r="F163" i="39"/>
  <c r="F163" i="12"/>
  <c r="F276" i="39"/>
  <c r="F276" i="12"/>
  <c r="F131" i="12"/>
  <c r="F131" i="39"/>
  <c r="F8" i="12"/>
  <c r="F8" i="39"/>
  <c r="F224" i="12"/>
  <c r="F224" i="39"/>
  <c r="F94" i="12"/>
  <c r="F94" i="39"/>
  <c r="F93" i="39"/>
  <c r="F93" i="12"/>
  <c r="F285" i="39"/>
  <c r="F285" i="12"/>
  <c r="F308" i="12"/>
  <c r="F308" i="39"/>
  <c r="F173" i="12"/>
  <c r="F173" i="39"/>
  <c r="F179" i="39"/>
  <c r="F179" i="12"/>
  <c r="F306" i="12"/>
  <c r="F306" i="39"/>
  <c r="F125" i="12"/>
  <c r="F125" i="39"/>
  <c r="F167" i="39"/>
  <c r="F167" i="12"/>
  <c r="F120" i="12" l="1"/>
  <c r="F278" i="12"/>
  <c r="F121" i="12"/>
  <c r="F290" i="12"/>
  <c r="F11" i="12"/>
  <c r="F88" i="39"/>
  <c r="F30" i="12"/>
  <c r="F62" i="12"/>
  <c r="F277" i="39"/>
  <c r="F5" i="12"/>
  <c r="F287" i="12"/>
  <c r="F281" i="39"/>
  <c r="F299" i="12"/>
  <c r="F108" i="12"/>
  <c r="F14" i="39"/>
  <c r="F19" i="39"/>
  <c r="F16" i="12"/>
  <c r="F190" i="39"/>
  <c r="F260" i="12"/>
  <c r="F310" i="12"/>
  <c r="F92" i="12"/>
  <c r="F226" i="12"/>
  <c r="F80" i="39"/>
  <c r="F312" i="12"/>
  <c r="F6" i="12"/>
  <c r="F12" i="39"/>
  <c r="F264" i="39"/>
  <c r="F55" i="12"/>
  <c r="F184" i="12"/>
  <c r="F168" i="12"/>
  <c r="F229" i="12"/>
  <c r="F151" i="12"/>
  <c r="F21" i="12"/>
  <c r="F106" i="39"/>
  <c r="F90" i="12"/>
  <c r="F119" i="39"/>
  <c r="F193" i="39"/>
  <c r="F26" i="12"/>
  <c r="F225" i="12"/>
  <c r="F297" i="39"/>
  <c r="F200" i="12"/>
  <c r="F107" i="39"/>
  <c r="F269" i="12"/>
  <c r="F174" i="39"/>
  <c r="F279" i="39"/>
  <c r="F37" i="39"/>
  <c r="F209" i="12"/>
  <c r="F85" i="39"/>
  <c r="F213" i="12"/>
  <c r="F274" i="12"/>
  <c r="F82" i="39"/>
  <c r="F244" i="12"/>
  <c r="F205" i="12"/>
  <c r="F198" i="39"/>
  <c r="F18" i="39"/>
  <c r="F102" i="12"/>
  <c r="F288" i="39"/>
  <c r="F152" i="12"/>
  <c r="F207" i="39"/>
  <c r="F44" i="39"/>
  <c r="F123" i="39"/>
  <c r="F255" i="12"/>
  <c r="F188" i="39"/>
  <c r="F144" i="12"/>
  <c r="F116" i="12"/>
  <c r="F270" i="12"/>
  <c r="F15" i="39"/>
  <c r="F313" i="39"/>
  <c r="F155" i="39"/>
  <c r="F186" i="39"/>
  <c r="F175" i="39"/>
  <c r="F235" i="39"/>
  <c r="F245" i="12"/>
  <c r="F139" i="39"/>
  <c r="F9" i="12"/>
  <c r="F192" i="39"/>
  <c r="F132" i="12"/>
  <c r="F118" i="39"/>
  <c r="F165" i="39"/>
  <c r="F159" i="12"/>
  <c r="F13" i="12"/>
  <c r="F100" i="12"/>
  <c r="F280" i="39"/>
  <c r="F246" i="12"/>
  <c r="F41" i="12"/>
  <c r="F113" i="39"/>
  <c r="F39" i="12"/>
  <c r="F203" i="12"/>
  <c r="F23" i="39"/>
  <c r="F10" i="12"/>
  <c r="F154" i="12"/>
  <c r="F128" i="12"/>
  <c r="F256" i="12"/>
  <c r="F153" i="12"/>
  <c r="F189" i="12"/>
  <c r="F146" i="12"/>
  <c r="F68" i="12"/>
  <c r="F140" i="39"/>
  <c r="F86" i="39"/>
  <c r="F217" i="39"/>
  <c r="F89" i="39"/>
  <c r="F73" i="12"/>
  <c r="F301" i="12"/>
  <c r="F298" i="39"/>
  <c r="F211" i="12"/>
  <c r="F50" i="39"/>
  <c r="F43" i="39"/>
  <c r="F7" i="12"/>
  <c r="F292" i="12"/>
  <c r="F105" i="39"/>
  <c r="F122" i="12"/>
  <c r="F254" i="12"/>
  <c r="F282" i="12"/>
  <c r="F206" i="12"/>
  <c r="F234" i="12"/>
  <c r="F252" i="12"/>
  <c r="F176" i="12"/>
  <c r="F104" i="39"/>
  <c r="F289" i="12"/>
  <c r="F303" i="12"/>
  <c r="F156" i="12"/>
  <c r="F172" i="12"/>
  <c r="F27" i="12"/>
  <c r="F33" i="39"/>
  <c r="F137" i="39"/>
  <c r="F111" i="39"/>
  <c r="F17" i="12"/>
  <c r="F250" i="12"/>
  <c r="F148" i="39"/>
  <c r="F180" i="39"/>
  <c r="F112" i="39"/>
  <c r="F96" i="12"/>
  <c r="F261" i="12"/>
  <c r="F247" i="39"/>
  <c r="F57" i="12"/>
  <c r="F45" i="39"/>
  <c r="F161" i="39"/>
  <c r="F110" i="12"/>
  <c r="F129" i="39"/>
  <c r="F314" i="39"/>
  <c r="F64" i="12"/>
  <c r="F210" i="12"/>
  <c r="F232" i="12"/>
  <c r="H315" i="25"/>
  <c r="F265" i="39"/>
  <c r="D7" i="34"/>
  <c r="D9" i="34" s="1"/>
  <c r="E15" i="34" l="1"/>
  <c r="F314" i="12"/>
  <c r="E17" i="34" l="1"/>
  <c r="I17" i="34" s="1"/>
  <c r="E19" i="34"/>
  <c r="I19" i="34" s="1"/>
  <c r="G9" i="25" s="1"/>
  <c r="E21" i="34"/>
  <c r="I21" i="34" s="1"/>
  <c r="E23" i="34"/>
  <c r="I23" i="34" s="1"/>
  <c r="G12" i="39" s="1"/>
  <c r="H12" i="39" s="1"/>
  <c r="I12" i="39" s="1"/>
  <c r="J12" i="39" s="1"/>
  <c r="I13" i="25" s="1"/>
  <c r="E25" i="34"/>
  <c r="I25" i="34" s="1"/>
  <c r="E27" i="34"/>
  <c r="I27" i="34" s="1"/>
  <c r="G16" i="12" s="1"/>
  <c r="E29" i="34"/>
  <c r="I29" i="34" s="1"/>
  <c r="E31" i="34"/>
  <c r="I31" i="34" s="1"/>
  <c r="G20" i="12" s="1"/>
  <c r="E33" i="34"/>
  <c r="I33" i="34" s="1"/>
  <c r="E35" i="34"/>
  <c r="I35" i="34" s="1"/>
  <c r="G24" i="12" s="1"/>
  <c r="E37" i="34"/>
  <c r="I37" i="34" s="1"/>
  <c r="E39" i="34"/>
  <c r="I39" i="34" s="1"/>
  <c r="G29" i="25" s="1"/>
  <c r="E41" i="34"/>
  <c r="I41" i="34" s="1"/>
  <c r="E43" i="34"/>
  <c r="I43" i="34" s="1"/>
  <c r="G32" i="39" s="1"/>
  <c r="H32" i="39" s="1"/>
  <c r="I32" i="39" s="1"/>
  <c r="J32" i="39" s="1"/>
  <c r="I33" i="25" s="1"/>
  <c r="E45" i="34"/>
  <c r="I45" i="34" s="1"/>
  <c r="E47" i="34"/>
  <c r="I47" i="34" s="1"/>
  <c r="G36" i="39" s="1"/>
  <c r="H36" i="39" s="1"/>
  <c r="I36" i="39" s="1"/>
  <c r="J36" i="39" s="1"/>
  <c r="I37" i="25" s="1"/>
  <c r="E49" i="34"/>
  <c r="I49" i="34" s="1"/>
  <c r="E51" i="34"/>
  <c r="I51" i="34" s="1"/>
  <c r="G40" i="12" s="1"/>
  <c r="E53" i="34"/>
  <c r="I53" i="34" s="1"/>
  <c r="E55" i="34"/>
  <c r="I55" i="34" s="1"/>
  <c r="G45" i="25" s="1"/>
  <c r="E57" i="34"/>
  <c r="I57" i="34" s="1"/>
  <c r="E59" i="34"/>
  <c r="I59" i="34" s="1"/>
  <c r="G48" i="39" s="1"/>
  <c r="H48" i="39" s="1"/>
  <c r="I48" i="39" s="1"/>
  <c r="J48" i="39" s="1"/>
  <c r="I49" i="25" s="1"/>
  <c r="E61" i="34"/>
  <c r="I61" i="34" s="1"/>
  <c r="E63" i="34"/>
  <c r="I63" i="34" s="1"/>
  <c r="G52" i="12" s="1"/>
  <c r="E65" i="34"/>
  <c r="I65" i="34" s="1"/>
  <c r="E67" i="34"/>
  <c r="I67" i="34" s="1"/>
  <c r="G56" i="12" s="1"/>
  <c r="E69" i="34"/>
  <c r="I69" i="34" s="1"/>
  <c r="E71" i="34"/>
  <c r="I71" i="34" s="1"/>
  <c r="G60" i="39" s="1"/>
  <c r="H60" i="39" s="1"/>
  <c r="I60" i="39" s="1"/>
  <c r="J60" i="39" s="1"/>
  <c r="I61" i="25" s="1"/>
  <c r="E73" i="34"/>
  <c r="I73" i="34" s="1"/>
  <c r="E75" i="34"/>
  <c r="I75" i="34" s="1"/>
  <c r="E18" i="34"/>
  <c r="I18" i="34" s="1"/>
  <c r="E20" i="34"/>
  <c r="I20" i="34" s="1"/>
  <c r="G10" i="25" s="1"/>
  <c r="E22" i="34"/>
  <c r="I22" i="34" s="1"/>
  <c r="E24" i="34"/>
  <c r="I24" i="34" s="1"/>
  <c r="G13" i="12" s="1"/>
  <c r="E26" i="34"/>
  <c r="I26" i="34" s="1"/>
  <c r="E28" i="34"/>
  <c r="I28" i="34" s="1"/>
  <c r="G17" i="12" s="1"/>
  <c r="E30" i="34"/>
  <c r="I30" i="34" s="1"/>
  <c r="E32" i="34"/>
  <c r="I32" i="34" s="1"/>
  <c r="G21" i="12" s="1"/>
  <c r="E34" i="34"/>
  <c r="I34" i="34" s="1"/>
  <c r="E36" i="34"/>
  <c r="I36" i="34" s="1"/>
  <c r="G25" i="12" s="1"/>
  <c r="E38" i="34"/>
  <c r="I38" i="34" s="1"/>
  <c r="E40" i="34"/>
  <c r="I40" i="34" s="1"/>
  <c r="G30" i="25" s="1"/>
  <c r="E42" i="34"/>
  <c r="I42" i="34" s="1"/>
  <c r="E44" i="34"/>
  <c r="I44" i="34" s="1"/>
  <c r="G33" i="39" s="1"/>
  <c r="H33" i="39" s="1"/>
  <c r="I33" i="39" s="1"/>
  <c r="J33" i="39" s="1"/>
  <c r="I34" i="25" s="1"/>
  <c r="E46" i="34"/>
  <c r="I46" i="34" s="1"/>
  <c r="E48" i="34"/>
  <c r="I48" i="34" s="1"/>
  <c r="G37" i="12" s="1"/>
  <c r="E50" i="34"/>
  <c r="I50" i="34" s="1"/>
  <c r="E52" i="34"/>
  <c r="I52" i="34" s="1"/>
  <c r="G41" i="12" s="1"/>
  <c r="E54" i="34"/>
  <c r="I54" i="34" s="1"/>
  <c r="E56" i="34"/>
  <c r="I56" i="34" s="1"/>
  <c r="G46" i="25" s="1"/>
  <c r="E58" i="34"/>
  <c r="I58" i="34" s="1"/>
  <c r="E60" i="34"/>
  <c r="I60" i="34" s="1"/>
  <c r="G50" i="25" s="1"/>
  <c r="E62" i="34"/>
  <c r="I62" i="34" s="1"/>
  <c r="E64" i="34"/>
  <c r="I64" i="34" s="1"/>
  <c r="G53" i="39" s="1"/>
  <c r="H53" i="39" s="1"/>
  <c r="I53" i="39" s="1"/>
  <c r="J53" i="39" s="1"/>
  <c r="I54" i="25" s="1"/>
  <c r="E66" i="34"/>
  <c r="I66" i="34" s="1"/>
  <c r="E68" i="34"/>
  <c r="I68" i="34" s="1"/>
  <c r="G57" i="39" s="1"/>
  <c r="H57" i="39" s="1"/>
  <c r="I57" i="39" s="1"/>
  <c r="J57" i="39" s="1"/>
  <c r="I58" i="25" s="1"/>
  <c r="E70" i="34"/>
  <c r="I70" i="34" s="1"/>
  <c r="E72" i="34"/>
  <c r="I72" i="34" s="1"/>
  <c r="G61" i="39" s="1"/>
  <c r="H61" i="39" s="1"/>
  <c r="I61" i="39" s="1"/>
  <c r="J61" i="39" s="1"/>
  <c r="I62" i="25" s="1"/>
  <c r="E74" i="34"/>
  <c r="I74" i="34" s="1"/>
  <c r="E76" i="34"/>
  <c r="I76" i="34" s="1"/>
  <c r="E78" i="34"/>
  <c r="I78" i="34" s="1"/>
  <c r="E80" i="34"/>
  <c r="I80" i="34" s="1"/>
  <c r="G69" i="39" s="1"/>
  <c r="H69" i="39" s="1"/>
  <c r="I69" i="39" s="1"/>
  <c r="J69" i="39" s="1"/>
  <c r="I70" i="25" s="1"/>
  <c r="E82" i="34"/>
  <c r="I82" i="34" s="1"/>
  <c r="E84" i="34"/>
  <c r="I84" i="34" s="1"/>
  <c r="G74" i="25" s="1"/>
  <c r="E86" i="34"/>
  <c r="I86" i="34" s="1"/>
  <c r="E88" i="34"/>
  <c r="I88" i="34" s="1"/>
  <c r="G77" i="12" s="1"/>
  <c r="E90" i="34"/>
  <c r="I90" i="34" s="1"/>
  <c r="E92" i="34"/>
  <c r="I92" i="34" s="1"/>
  <c r="E94" i="34"/>
  <c r="I94" i="34" s="1"/>
  <c r="E96" i="34"/>
  <c r="I96" i="34" s="1"/>
  <c r="G85" i="12" s="1"/>
  <c r="E98" i="34"/>
  <c r="I98" i="34" s="1"/>
  <c r="E100" i="34"/>
  <c r="I100" i="34" s="1"/>
  <c r="G89" i="12" s="1"/>
  <c r="E102" i="34"/>
  <c r="I102" i="34" s="1"/>
  <c r="E104" i="34"/>
  <c r="I104" i="34" s="1"/>
  <c r="G94" i="25" s="1"/>
  <c r="E106" i="34"/>
  <c r="I106" i="34" s="1"/>
  <c r="E108" i="34"/>
  <c r="I108" i="34" s="1"/>
  <c r="G98" i="25" s="1"/>
  <c r="E110" i="34"/>
  <c r="I110" i="34" s="1"/>
  <c r="E112" i="34"/>
  <c r="I112" i="34" s="1"/>
  <c r="G102" i="25" s="1"/>
  <c r="E114" i="34"/>
  <c r="I114" i="34" s="1"/>
  <c r="E116" i="34"/>
  <c r="I116" i="34" s="1"/>
  <c r="G105" i="12" s="1"/>
  <c r="E118" i="34"/>
  <c r="I118" i="34" s="1"/>
  <c r="E120" i="34"/>
  <c r="I120" i="34" s="1"/>
  <c r="G110" i="25" s="1"/>
  <c r="E122" i="34"/>
  <c r="I122" i="34" s="1"/>
  <c r="E124" i="34"/>
  <c r="I124" i="34" s="1"/>
  <c r="E126" i="34"/>
  <c r="I126" i="34" s="1"/>
  <c r="E128" i="34"/>
  <c r="I128" i="34" s="1"/>
  <c r="G117" i="12" s="1"/>
  <c r="E130" i="34"/>
  <c r="I130" i="34" s="1"/>
  <c r="E132" i="34"/>
  <c r="I132" i="34" s="1"/>
  <c r="G122" i="25" s="1"/>
  <c r="E134" i="34"/>
  <c r="I134" i="34" s="1"/>
  <c r="E136" i="34"/>
  <c r="I136" i="34" s="1"/>
  <c r="G126" i="25" s="1"/>
  <c r="E138" i="34"/>
  <c r="I138" i="34" s="1"/>
  <c r="E140" i="34"/>
  <c r="I140" i="34" s="1"/>
  <c r="G129" i="12" s="1"/>
  <c r="E142" i="34"/>
  <c r="I142" i="34" s="1"/>
  <c r="E144" i="34"/>
  <c r="I144" i="34" s="1"/>
  <c r="G133" i="39" s="1"/>
  <c r="H133" i="39" s="1"/>
  <c r="I133" i="39" s="1"/>
  <c r="J133" i="39" s="1"/>
  <c r="I134" i="25" s="1"/>
  <c r="E146" i="34"/>
  <c r="I146" i="34" s="1"/>
  <c r="E148" i="34"/>
  <c r="I148" i="34" s="1"/>
  <c r="G137" i="12" s="1"/>
  <c r="E150" i="34"/>
  <c r="I150" i="34" s="1"/>
  <c r="E152" i="34"/>
  <c r="I152" i="34" s="1"/>
  <c r="G141" i="39" s="1"/>
  <c r="H141" i="39" s="1"/>
  <c r="I141" i="39" s="1"/>
  <c r="J141" i="39" s="1"/>
  <c r="I142" i="25" s="1"/>
  <c r="E154" i="34"/>
  <c r="I154" i="34" s="1"/>
  <c r="E156" i="34"/>
  <c r="I156" i="34" s="1"/>
  <c r="G145" i="12" s="1"/>
  <c r="E158" i="34"/>
  <c r="I158" i="34" s="1"/>
  <c r="E160" i="34"/>
  <c r="I160" i="34" s="1"/>
  <c r="G149" i="39" s="1"/>
  <c r="H149" i="39" s="1"/>
  <c r="I149" i="39" s="1"/>
  <c r="J149" i="39" s="1"/>
  <c r="I150" i="25" s="1"/>
  <c r="E162" i="34"/>
  <c r="I162" i="34" s="1"/>
  <c r="E77" i="34"/>
  <c r="I77" i="34" s="1"/>
  <c r="E79" i="34"/>
  <c r="I79" i="34" s="1"/>
  <c r="E81" i="34"/>
  <c r="I81" i="34" s="1"/>
  <c r="E83" i="34"/>
  <c r="I83" i="34" s="1"/>
  <c r="E85" i="34"/>
  <c r="I85" i="34" s="1"/>
  <c r="G74" i="12" s="1"/>
  <c r="E87" i="34"/>
  <c r="I87" i="34" s="1"/>
  <c r="E89" i="34"/>
  <c r="I89" i="34" s="1"/>
  <c r="G78" i="39" s="1"/>
  <c r="H78" i="39" s="1"/>
  <c r="I78" i="39" s="1"/>
  <c r="J78" i="39" s="1"/>
  <c r="I79" i="25" s="1"/>
  <c r="E91" i="34"/>
  <c r="I91" i="34" s="1"/>
  <c r="E93" i="34"/>
  <c r="I93" i="34" s="1"/>
  <c r="G82" i="39" s="1"/>
  <c r="H82" i="39" s="1"/>
  <c r="I82" i="39" s="1"/>
  <c r="J82" i="39" s="1"/>
  <c r="I83" i="25" s="1"/>
  <c r="E95" i="34"/>
  <c r="I95" i="34" s="1"/>
  <c r="E97" i="34"/>
  <c r="I97" i="34" s="1"/>
  <c r="G86" i="39" s="1"/>
  <c r="H86" i="39" s="1"/>
  <c r="I86" i="39" s="1"/>
  <c r="J86" i="39" s="1"/>
  <c r="I87" i="25" s="1"/>
  <c r="E99" i="34"/>
  <c r="I99" i="34" s="1"/>
  <c r="E101" i="34"/>
  <c r="I101" i="34" s="1"/>
  <c r="G90" i="39" s="1"/>
  <c r="H90" i="39" s="1"/>
  <c r="I90" i="39" s="1"/>
  <c r="J90" i="39" s="1"/>
  <c r="I91" i="25" s="1"/>
  <c r="E103" i="34"/>
  <c r="I103" i="34" s="1"/>
  <c r="E105" i="34"/>
  <c r="I105" i="34" s="1"/>
  <c r="G95" i="25" s="1"/>
  <c r="E107" i="34"/>
  <c r="I107" i="34" s="1"/>
  <c r="E109" i="34"/>
  <c r="I109" i="34" s="1"/>
  <c r="G98" i="39" s="1"/>
  <c r="H98" i="39" s="1"/>
  <c r="I98" i="39" s="1"/>
  <c r="J98" i="39" s="1"/>
  <c r="I99" i="25" s="1"/>
  <c r="E111" i="34"/>
  <c r="I111" i="34" s="1"/>
  <c r="E113" i="34"/>
  <c r="I113" i="34" s="1"/>
  <c r="G102" i="39" s="1"/>
  <c r="H102" i="39" s="1"/>
  <c r="I102" i="39" s="1"/>
  <c r="J102" i="39" s="1"/>
  <c r="I103" i="25" s="1"/>
  <c r="E115" i="34"/>
  <c r="I115" i="34" s="1"/>
  <c r="E117" i="34"/>
  <c r="I117" i="34" s="1"/>
  <c r="G107" i="25" s="1"/>
  <c r="E119" i="34"/>
  <c r="I119" i="34" s="1"/>
  <c r="E121" i="34"/>
  <c r="I121" i="34" s="1"/>
  <c r="G110" i="12" s="1"/>
  <c r="E123" i="34"/>
  <c r="I123" i="34" s="1"/>
  <c r="E125" i="34"/>
  <c r="I125" i="34" s="1"/>
  <c r="G114" i="12" s="1"/>
  <c r="E127" i="34"/>
  <c r="I127" i="34" s="1"/>
  <c r="E129" i="34"/>
  <c r="I129" i="34" s="1"/>
  <c r="G118" i="12" s="1"/>
  <c r="E131" i="34"/>
  <c r="I131" i="34" s="1"/>
  <c r="E133" i="34"/>
  <c r="I133" i="34" s="1"/>
  <c r="G122" i="39" s="1"/>
  <c r="H122" i="39" s="1"/>
  <c r="I122" i="39" s="1"/>
  <c r="J122" i="39" s="1"/>
  <c r="I123" i="25" s="1"/>
  <c r="E135" i="34"/>
  <c r="I135" i="34" s="1"/>
  <c r="E137" i="34"/>
  <c r="I137" i="34" s="1"/>
  <c r="G127" i="25" s="1"/>
  <c r="E139" i="34"/>
  <c r="I139" i="34" s="1"/>
  <c r="E141" i="34"/>
  <c r="I141" i="34" s="1"/>
  <c r="G130" i="39" s="1"/>
  <c r="H130" i="39" s="1"/>
  <c r="I130" i="39" s="1"/>
  <c r="J130" i="39" s="1"/>
  <c r="I131" i="25" s="1"/>
  <c r="E143" i="34"/>
  <c r="I143" i="34" s="1"/>
  <c r="E145" i="34"/>
  <c r="I145" i="34" s="1"/>
  <c r="E147" i="34"/>
  <c r="I147" i="34" s="1"/>
  <c r="E149" i="34"/>
  <c r="I149" i="34" s="1"/>
  <c r="G138" i="39" s="1"/>
  <c r="H138" i="39" s="1"/>
  <c r="I138" i="39" s="1"/>
  <c r="J138" i="39" s="1"/>
  <c r="I139" i="25" s="1"/>
  <c r="E151" i="34"/>
  <c r="I151" i="34" s="1"/>
  <c r="E153" i="34"/>
  <c r="I153" i="34" s="1"/>
  <c r="G143" i="25" s="1"/>
  <c r="E155" i="34"/>
  <c r="I155" i="34" s="1"/>
  <c r="E157" i="34"/>
  <c r="I157" i="34" s="1"/>
  <c r="G146" i="12" s="1"/>
  <c r="E159" i="34"/>
  <c r="I159" i="34" s="1"/>
  <c r="E161" i="34"/>
  <c r="I161" i="34" s="1"/>
  <c r="E164" i="34"/>
  <c r="I164" i="34" s="1"/>
  <c r="E166" i="34"/>
  <c r="I166" i="34" s="1"/>
  <c r="G155" i="39" s="1"/>
  <c r="H155" i="39" s="1"/>
  <c r="I155" i="39" s="1"/>
  <c r="J155" i="39" s="1"/>
  <c r="I156" i="25" s="1"/>
  <c r="E168" i="34"/>
  <c r="I168" i="34" s="1"/>
  <c r="E170" i="34"/>
  <c r="I170" i="34" s="1"/>
  <c r="G160" i="25" s="1"/>
  <c r="E172" i="34"/>
  <c r="I172" i="34" s="1"/>
  <c r="E174" i="34"/>
  <c r="I174" i="34" s="1"/>
  <c r="G163" i="12" s="1"/>
  <c r="E176" i="34"/>
  <c r="I176" i="34" s="1"/>
  <c r="E178" i="34"/>
  <c r="I178" i="34" s="1"/>
  <c r="G168" i="25" s="1"/>
  <c r="E180" i="34"/>
  <c r="I180" i="34" s="1"/>
  <c r="E182" i="34"/>
  <c r="I182" i="34" s="1"/>
  <c r="E184" i="34"/>
  <c r="I184" i="34" s="1"/>
  <c r="E186" i="34"/>
  <c r="I186" i="34" s="1"/>
  <c r="G176" i="25" s="1"/>
  <c r="E188" i="34"/>
  <c r="I188" i="34" s="1"/>
  <c r="E190" i="34"/>
  <c r="I190" i="34" s="1"/>
  <c r="G180" i="25" s="1"/>
  <c r="E192" i="34"/>
  <c r="I192" i="34" s="1"/>
  <c r="E194" i="34"/>
  <c r="I194" i="34" s="1"/>
  <c r="G184" i="25" s="1"/>
  <c r="E196" i="34"/>
  <c r="I196" i="34" s="1"/>
  <c r="E198" i="34"/>
  <c r="I198" i="34" s="1"/>
  <c r="G188" i="25" s="1"/>
  <c r="E200" i="34"/>
  <c r="I200" i="34" s="1"/>
  <c r="E202" i="34"/>
  <c r="I202" i="34" s="1"/>
  <c r="G192" i="25" s="1"/>
  <c r="E204" i="34"/>
  <c r="I204" i="34" s="1"/>
  <c r="E206" i="34"/>
  <c r="I206" i="34" s="1"/>
  <c r="G195" i="39" s="1"/>
  <c r="H195" i="39" s="1"/>
  <c r="I195" i="39" s="1"/>
  <c r="J195" i="39" s="1"/>
  <c r="I196" i="25" s="1"/>
  <c r="E208" i="34"/>
  <c r="I208" i="34" s="1"/>
  <c r="E210" i="34"/>
  <c r="I210" i="34" s="1"/>
  <c r="G199" i="39" s="1"/>
  <c r="H199" i="39" s="1"/>
  <c r="I199" i="39" s="1"/>
  <c r="J199" i="39" s="1"/>
  <c r="I200" i="25" s="1"/>
  <c r="E212" i="34"/>
  <c r="I212" i="34" s="1"/>
  <c r="E214" i="34"/>
  <c r="I214" i="34" s="1"/>
  <c r="G204" i="25" s="1"/>
  <c r="E216" i="34"/>
  <c r="I216" i="34" s="1"/>
  <c r="E218" i="34"/>
  <c r="I218" i="34" s="1"/>
  <c r="G208" i="25" s="1"/>
  <c r="E220" i="34"/>
  <c r="I220" i="34" s="1"/>
  <c r="E222" i="34"/>
  <c r="I222" i="34" s="1"/>
  <c r="G212" i="25" s="1"/>
  <c r="E224" i="34"/>
  <c r="I224" i="34" s="1"/>
  <c r="E226" i="34"/>
  <c r="I226" i="34" s="1"/>
  <c r="G215" i="39" s="1"/>
  <c r="H215" i="39" s="1"/>
  <c r="I215" i="39" s="1"/>
  <c r="J215" i="39" s="1"/>
  <c r="I216" i="25" s="1"/>
  <c r="E228" i="34"/>
  <c r="I228" i="34" s="1"/>
  <c r="E230" i="34"/>
  <c r="I230" i="34" s="1"/>
  <c r="G219" i="12" s="1"/>
  <c r="E232" i="34"/>
  <c r="I232" i="34" s="1"/>
  <c r="E234" i="34"/>
  <c r="I234" i="34" s="1"/>
  <c r="G223" i="12" s="1"/>
  <c r="E236" i="34"/>
  <c r="I236" i="34" s="1"/>
  <c r="E238" i="34"/>
  <c r="I238" i="34" s="1"/>
  <c r="G227" i="12" s="1"/>
  <c r="E240" i="34"/>
  <c r="I240" i="34" s="1"/>
  <c r="E242" i="34"/>
  <c r="I242" i="34" s="1"/>
  <c r="G231" i="39" s="1"/>
  <c r="H231" i="39" s="1"/>
  <c r="I231" i="39" s="1"/>
  <c r="J231" i="39" s="1"/>
  <c r="I232" i="25" s="1"/>
  <c r="E244" i="34"/>
  <c r="I244" i="34" s="1"/>
  <c r="E246" i="34"/>
  <c r="I246" i="34" s="1"/>
  <c r="G236" i="25" s="1"/>
  <c r="E248" i="34"/>
  <c r="I248" i="34" s="1"/>
  <c r="E250" i="34"/>
  <c r="I250" i="34" s="1"/>
  <c r="G240" i="25" s="1"/>
  <c r="E252" i="34"/>
  <c r="I252" i="34" s="1"/>
  <c r="E254" i="34"/>
  <c r="I254" i="34" s="1"/>
  <c r="E256" i="34"/>
  <c r="I256" i="34" s="1"/>
  <c r="E258" i="34"/>
  <c r="I258" i="34" s="1"/>
  <c r="G247" i="12" s="1"/>
  <c r="E260" i="34"/>
  <c r="I260" i="34" s="1"/>
  <c r="E262" i="34"/>
  <c r="I262" i="34" s="1"/>
  <c r="G251" i="12" s="1"/>
  <c r="E264" i="34"/>
  <c r="I264" i="34" s="1"/>
  <c r="E266" i="34"/>
  <c r="I266" i="34" s="1"/>
  <c r="G256" i="25" s="1"/>
  <c r="E268" i="34"/>
  <c r="I268" i="34" s="1"/>
  <c r="E270" i="34"/>
  <c r="I270" i="34" s="1"/>
  <c r="G259" i="39" s="1"/>
  <c r="H259" i="39" s="1"/>
  <c r="I259" i="39" s="1"/>
  <c r="J259" i="39" s="1"/>
  <c r="I260" i="25" s="1"/>
  <c r="E272" i="34"/>
  <c r="I272" i="34" s="1"/>
  <c r="E274" i="34"/>
  <c r="I274" i="34" s="1"/>
  <c r="G263" i="39" s="1"/>
  <c r="H263" i="39" s="1"/>
  <c r="I263" i="39" s="1"/>
  <c r="J263" i="39" s="1"/>
  <c r="I264" i="25" s="1"/>
  <c r="E163" i="34"/>
  <c r="I163" i="34" s="1"/>
  <c r="E165" i="34"/>
  <c r="I165" i="34" s="1"/>
  <c r="G155" i="25" s="1"/>
  <c r="E167" i="34"/>
  <c r="I167" i="34" s="1"/>
  <c r="E169" i="34"/>
  <c r="I169" i="34" s="1"/>
  <c r="G158" i="12" s="1"/>
  <c r="E171" i="34"/>
  <c r="I171" i="34" s="1"/>
  <c r="E173" i="34"/>
  <c r="I173" i="34" s="1"/>
  <c r="G162" i="39" s="1"/>
  <c r="H162" i="39" s="1"/>
  <c r="I162" i="39" s="1"/>
  <c r="J162" i="39" s="1"/>
  <c r="I163" i="25" s="1"/>
  <c r="E175" i="34"/>
  <c r="I175" i="34" s="1"/>
  <c r="E177" i="34"/>
  <c r="I177" i="34" s="1"/>
  <c r="G166" i="12" s="1"/>
  <c r="E179" i="34"/>
  <c r="I179" i="34" s="1"/>
  <c r="E181" i="34"/>
  <c r="I181" i="34" s="1"/>
  <c r="G170" i="39" s="1"/>
  <c r="H170" i="39" s="1"/>
  <c r="I170" i="39" s="1"/>
  <c r="J170" i="39" s="1"/>
  <c r="I171" i="25" s="1"/>
  <c r="E183" i="34"/>
  <c r="I183" i="34" s="1"/>
  <c r="E185" i="34"/>
  <c r="I185" i="34" s="1"/>
  <c r="G174" i="12" s="1"/>
  <c r="E187" i="34"/>
  <c r="I187" i="34" s="1"/>
  <c r="E189" i="34"/>
  <c r="I189" i="34" s="1"/>
  <c r="G178" i="39" s="1"/>
  <c r="H178" i="39" s="1"/>
  <c r="I178" i="39" s="1"/>
  <c r="J178" i="39" s="1"/>
  <c r="I179" i="25" s="1"/>
  <c r="E191" i="34"/>
  <c r="I191" i="34" s="1"/>
  <c r="E193" i="34"/>
  <c r="I193" i="34" s="1"/>
  <c r="G182" i="39" s="1"/>
  <c r="H182" i="39" s="1"/>
  <c r="I182" i="39" s="1"/>
  <c r="J182" i="39" s="1"/>
  <c r="I183" i="25" s="1"/>
  <c r="E195" i="34"/>
  <c r="I195" i="34" s="1"/>
  <c r="E197" i="34"/>
  <c r="I197" i="34" s="1"/>
  <c r="G186" i="12" s="1"/>
  <c r="E199" i="34"/>
  <c r="I199" i="34" s="1"/>
  <c r="E201" i="34"/>
  <c r="I201" i="34" s="1"/>
  <c r="E203" i="34"/>
  <c r="I203" i="34" s="1"/>
  <c r="E205" i="34"/>
  <c r="I205" i="34" s="1"/>
  <c r="G194" i="39" s="1"/>
  <c r="H194" i="39" s="1"/>
  <c r="I194" i="39" s="1"/>
  <c r="J194" i="39" s="1"/>
  <c r="I195" i="25" s="1"/>
  <c r="E207" i="34"/>
  <c r="I207" i="34" s="1"/>
  <c r="E209" i="34"/>
  <c r="I209" i="34" s="1"/>
  <c r="G198" i="39" s="1"/>
  <c r="H198" i="39" s="1"/>
  <c r="I198" i="39" s="1"/>
  <c r="J198" i="39" s="1"/>
  <c r="I199" i="25" s="1"/>
  <c r="E211" i="34"/>
  <c r="I211" i="34" s="1"/>
  <c r="E213" i="34"/>
  <c r="I213" i="34" s="1"/>
  <c r="G202" i="39" s="1"/>
  <c r="H202" i="39" s="1"/>
  <c r="I202" i="39" s="1"/>
  <c r="J202" i="39" s="1"/>
  <c r="I203" i="25" s="1"/>
  <c r="E215" i="34"/>
  <c r="I215" i="34" s="1"/>
  <c r="E217" i="34"/>
  <c r="I217" i="34" s="1"/>
  <c r="G206" i="39" s="1"/>
  <c r="H206" i="39" s="1"/>
  <c r="I206" i="39" s="1"/>
  <c r="J206" i="39" s="1"/>
  <c r="I207" i="25" s="1"/>
  <c r="E219" i="34"/>
  <c r="I219" i="34" s="1"/>
  <c r="E221" i="34"/>
  <c r="I221" i="34" s="1"/>
  <c r="G211" i="25" s="1"/>
  <c r="E223" i="34"/>
  <c r="I223" i="34" s="1"/>
  <c r="E225" i="34"/>
  <c r="I225" i="34" s="1"/>
  <c r="G214" i="12" s="1"/>
  <c r="E227" i="34"/>
  <c r="I227" i="34" s="1"/>
  <c r="E229" i="34"/>
  <c r="I229" i="34" s="1"/>
  <c r="E231" i="34"/>
  <c r="I231" i="34" s="1"/>
  <c r="E233" i="34"/>
  <c r="I233" i="34" s="1"/>
  <c r="G222" i="12" s="1"/>
  <c r="E235" i="34"/>
  <c r="I235" i="34" s="1"/>
  <c r="E237" i="34"/>
  <c r="I237" i="34" s="1"/>
  <c r="G227" i="25" s="1"/>
  <c r="E239" i="34"/>
  <c r="I239" i="34" s="1"/>
  <c r="E241" i="34"/>
  <c r="I241" i="34" s="1"/>
  <c r="G231" i="25" s="1"/>
  <c r="E243" i="34"/>
  <c r="I243" i="34" s="1"/>
  <c r="E245" i="34"/>
  <c r="I245" i="34" s="1"/>
  <c r="G234" i="12" s="1"/>
  <c r="E247" i="34"/>
  <c r="I247" i="34" s="1"/>
  <c r="E249" i="34"/>
  <c r="I249" i="34" s="1"/>
  <c r="G238" i="39" s="1"/>
  <c r="H238" i="39" s="1"/>
  <c r="I238" i="39" s="1"/>
  <c r="J238" i="39" s="1"/>
  <c r="I239" i="25" s="1"/>
  <c r="E251" i="34"/>
  <c r="I251" i="34" s="1"/>
  <c r="E253" i="34"/>
  <c r="I253" i="34" s="1"/>
  <c r="G242" i="39" s="1"/>
  <c r="H242" i="39" s="1"/>
  <c r="I242" i="39" s="1"/>
  <c r="J242" i="39" s="1"/>
  <c r="I243" i="25" s="1"/>
  <c r="E255" i="34"/>
  <c r="I255" i="34" s="1"/>
  <c r="E257" i="34"/>
  <c r="I257" i="34" s="1"/>
  <c r="G246" i="39" s="1"/>
  <c r="H246" i="39" s="1"/>
  <c r="I246" i="39" s="1"/>
  <c r="J246" i="39" s="1"/>
  <c r="I247" i="25" s="1"/>
  <c r="E259" i="34"/>
  <c r="I259" i="34" s="1"/>
  <c r="E261" i="34"/>
  <c r="I261" i="34" s="1"/>
  <c r="G250" i="39" s="1"/>
  <c r="H250" i="39" s="1"/>
  <c r="I250" i="39" s="1"/>
  <c r="J250" i="39" s="1"/>
  <c r="I251" i="25" s="1"/>
  <c r="E263" i="34"/>
  <c r="I263" i="34" s="1"/>
  <c r="E265" i="34"/>
  <c r="I265" i="34" s="1"/>
  <c r="G254" i="12" s="1"/>
  <c r="E267" i="34"/>
  <c r="I267" i="34" s="1"/>
  <c r="E269" i="34"/>
  <c r="I269" i="34" s="1"/>
  <c r="G258" i="39" s="1"/>
  <c r="H258" i="39" s="1"/>
  <c r="I258" i="39" s="1"/>
  <c r="J258" i="39" s="1"/>
  <c r="I259" i="25" s="1"/>
  <c r="E271" i="34"/>
  <c r="I271" i="34" s="1"/>
  <c r="E273" i="34"/>
  <c r="I273" i="34" s="1"/>
  <c r="G262" i="39" s="1"/>
  <c r="H262" i="39" s="1"/>
  <c r="I262" i="39" s="1"/>
  <c r="J262" i="39" s="1"/>
  <c r="I263" i="25" s="1"/>
  <c r="E275" i="34"/>
  <c r="I275" i="34" s="1"/>
  <c r="E276" i="34"/>
  <c r="I276" i="34" s="1"/>
  <c r="G266" i="25" s="1"/>
  <c r="E278" i="34"/>
  <c r="I278" i="34" s="1"/>
  <c r="E280" i="34"/>
  <c r="I280" i="34" s="1"/>
  <c r="G269" i="12" s="1"/>
  <c r="E282" i="34"/>
  <c r="I282" i="34" s="1"/>
  <c r="E284" i="34"/>
  <c r="I284" i="34" s="1"/>
  <c r="G273" i="39" s="1"/>
  <c r="H273" i="39" s="1"/>
  <c r="I273" i="39" s="1"/>
  <c r="J273" i="39" s="1"/>
  <c r="I274" i="25" s="1"/>
  <c r="E286" i="34"/>
  <c r="I286" i="34" s="1"/>
  <c r="E288" i="34"/>
  <c r="I288" i="34" s="1"/>
  <c r="G277" i="39" s="1"/>
  <c r="H277" i="39" s="1"/>
  <c r="I277" i="39" s="1"/>
  <c r="J277" i="39" s="1"/>
  <c r="I278" i="25" s="1"/>
  <c r="E290" i="34"/>
  <c r="I290" i="34" s="1"/>
  <c r="E292" i="34"/>
  <c r="I292" i="34" s="1"/>
  <c r="G281" i="12" s="1"/>
  <c r="E294" i="34"/>
  <c r="I294" i="34" s="1"/>
  <c r="E296" i="34"/>
  <c r="I296" i="34" s="1"/>
  <c r="G285" i="39" s="1"/>
  <c r="H285" i="39" s="1"/>
  <c r="I285" i="39" s="1"/>
  <c r="J285" i="39" s="1"/>
  <c r="I286" i="25" s="1"/>
  <c r="E298" i="34"/>
  <c r="I298" i="34" s="1"/>
  <c r="E300" i="34"/>
  <c r="I300" i="34" s="1"/>
  <c r="G289" i="12" s="1"/>
  <c r="E302" i="34"/>
  <c r="I302" i="34" s="1"/>
  <c r="E304" i="34"/>
  <c r="I304" i="34" s="1"/>
  <c r="G294" i="25" s="1"/>
  <c r="E306" i="34"/>
  <c r="I306" i="34" s="1"/>
  <c r="E308" i="34"/>
  <c r="I308" i="34" s="1"/>
  <c r="G297" i="12" s="1"/>
  <c r="E310" i="34"/>
  <c r="I310" i="34" s="1"/>
  <c r="E312" i="34"/>
  <c r="I312" i="34" s="1"/>
  <c r="G301" i="39" s="1"/>
  <c r="H301" i="39" s="1"/>
  <c r="I301" i="39" s="1"/>
  <c r="J301" i="39" s="1"/>
  <c r="I302" i="25" s="1"/>
  <c r="E314" i="34"/>
  <c r="I314" i="34" s="1"/>
  <c r="E316" i="34"/>
  <c r="I316" i="34" s="1"/>
  <c r="G305" i="39" s="1"/>
  <c r="H305" i="39" s="1"/>
  <c r="I305" i="39" s="1"/>
  <c r="J305" i="39" s="1"/>
  <c r="I306" i="25" s="1"/>
  <c r="E318" i="34"/>
  <c r="I318" i="34" s="1"/>
  <c r="E320" i="34"/>
  <c r="I320" i="34" s="1"/>
  <c r="E322" i="34"/>
  <c r="I322" i="34" s="1"/>
  <c r="E324" i="34"/>
  <c r="I324" i="34" s="1"/>
  <c r="G313" i="39" s="1"/>
  <c r="H313" i="39" s="1"/>
  <c r="I313" i="39" s="1"/>
  <c r="J313" i="39" s="1"/>
  <c r="I314" i="25" s="1"/>
  <c r="E277" i="34"/>
  <c r="I277" i="34" s="1"/>
  <c r="E279" i="34"/>
  <c r="I279" i="34" s="1"/>
  <c r="G268" i="12" s="1"/>
  <c r="E281" i="34"/>
  <c r="I281" i="34" s="1"/>
  <c r="E283" i="34"/>
  <c r="I283" i="34" s="1"/>
  <c r="G272" i="39" s="1"/>
  <c r="H272" i="39" s="1"/>
  <c r="I272" i="39" s="1"/>
  <c r="J272" i="39" s="1"/>
  <c r="I273" i="25" s="1"/>
  <c r="E285" i="34"/>
  <c r="I285" i="34" s="1"/>
  <c r="E287" i="34"/>
  <c r="I287" i="34" s="1"/>
  <c r="G276" i="39" s="1"/>
  <c r="H276" i="39" s="1"/>
  <c r="I276" i="39" s="1"/>
  <c r="J276" i="39" s="1"/>
  <c r="I277" i="25" s="1"/>
  <c r="E289" i="34"/>
  <c r="I289" i="34" s="1"/>
  <c r="E291" i="34"/>
  <c r="I291" i="34" s="1"/>
  <c r="G281" i="25" s="1"/>
  <c r="E293" i="34"/>
  <c r="I293" i="34" s="1"/>
  <c r="E295" i="34"/>
  <c r="I295" i="34" s="1"/>
  <c r="G284" i="39" s="1"/>
  <c r="H284" i="39" s="1"/>
  <c r="I284" i="39" s="1"/>
  <c r="J284" i="39" s="1"/>
  <c r="I285" i="25" s="1"/>
  <c r="E297" i="34"/>
  <c r="I297" i="34" s="1"/>
  <c r="E299" i="34"/>
  <c r="I299" i="34" s="1"/>
  <c r="G288" i="12" s="1"/>
  <c r="E301" i="34"/>
  <c r="I301" i="34" s="1"/>
  <c r="E303" i="34"/>
  <c r="I303" i="34" s="1"/>
  <c r="G292" i="12" s="1"/>
  <c r="E305" i="34"/>
  <c r="I305" i="34" s="1"/>
  <c r="E307" i="34"/>
  <c r="I307" i="34" s="1"/>
  <c r="G296" i="39" s="1"/>
  <c r="H296" i="39" s="1"/>
  <c r="I296" i="39" s="1"/>
  <c r="J296" i="39" s="1"/>
  <c r="I297" i="25" s="1"/>
  <c r="E309" i="34"/>
  <c r="I309" i="34" s="1"/>
  <c r="E311" i="34"/>
  <c r="I311" i="34" s="1"/>
  <c r="G301" i="25" s="1"/>
  <c r="E313" i="34"/>
  <c r="I313" i="34" s="1"/>
  <c r="E315" i="34"/>
  <c r="I315" i="34" s="1"/>
  <c r="G305" i="25" s="1"/>
  <c r="E317" i="34"/>
  <c r="I317" i="34" s="1"/>
  <c r="E319" i="34"/>
  <c r="I319" i="34" s="1"/>
  <c r="G308" i="39" s="1"/>
  <c r="H308" i="39" s="1"/>
  <c r="I308" i="39" s="1"/>
  <c r="J308" i="39" s="1"/>
  <c r="I309" i="25" s="1"/>
  <c r="E321" i="34"/>
  <c r="I321" i="34" s="1"/>
  <c r="E323" i="34"/>
  <c r="I323" i="34" s="1"/>
  <c r="G312" i="39" s="1"/>
  <c r="H312" i="39" s="1"/>
  <c r="I312" i="39" s="1"/>
  <c r="J312" i="39" s="1"/>
  <c r="I313" i="25" s="1"/>
  <c r="G11" i="25"/>
  <c r="G15" i="25"/>
  <c r="G18" i="39"/>
  <c r="H18" i="39" s="1"/>
  <c r="I18" i="39" s="1"/>
  <c r="J18" i="39" s="1"/>
  <c r="I19" i="25" s="1"/>
  <c r="G22" i="12"/>
  <c r="G26" i="12"/>
  <c r="G30" i="12"/>
  <c r="G38" i="39"/>
  <c r="H38" i="39" s="1"/>
  <c r="I38" i="39" s="1"/>
  <c r="J38" i="39" s="1"/>
  <c r="I39" i="25" s="1"/>
  <c r="G42" i="12"/>
  <c r="G46" i="12"/>
  <c r="G50" i="12"/>
  <c r="G54" i="12"/>
  <c r="G58" i="39"/>
  <c r="H58" i="39" s="1"/>
  <c r="I58" i="39" s="1"/>
  <c r="J58" i="39" s="1"/>
  <c r="I59" i="25" s="1"/>
  <c r="G62" i="12"/>
  <c r="G70" i="12"/>
  <c r="G177" i="39"/>
  <c r="H177" i="39" s="1"/>
  <c r="I177" i="39" s="1"/>
  <c r="J177" i="39" s="1"/>
  <c r="I178" i="25" s="1"/>
  <c r="G181" i="39"/>
  <c r="H181" i="39" s="1"/>
  <c r="I181" i="39" s="1"/>
  <c r="J181" i="39" s="1"/>
  <c r="I182" i="25" s="1"/>
  <c r="G185" i="39"/>
  <c r="H185" i="39" s="1"/>
  <c r="I185" i="39" s="1"/>
  <c r="J185" i="39" s="1"/>
  <c r="I186" i="25" s="1"/>
  <c r="G197" i="12"/>
  <c r="G201" i="12"/>
  <c r="G206" i="25"/>
  <c r="G209" i="39"/>
  <c r="H209" i="39" s="1"/>
  <c r="I209" i="39" s="1"/>
  <c r="J209" i="39" s="1"/>
  <c r="I210" i="25" s="1"/>
  <c r="G213" i="39"/>
  <c r="H213" i="39" s="1"/>
  <c r="I213" i="39" s="1"/>
  <c r="J213" i="39" s="1"/>
  <c r="I214" i="25" s="1"/>
  <c r="G217" i="39"/>
  <c r="H217" i="39" s="1"/>
  <c r="I217" i="39" s="1"/>
  <c r="J217" i="39" s="1"/>
  <c r="I218" i="25" s="1"/>
  <c r="G221" i="25"/>
  <c r="G224" i="12"/>
  <c r="G228" i="12"/>
  <c r="G232" i="39"/>
  <c r="H232" i="39" s="1"/>
  <c r="I232" i="39" s="1"/>
  <c r="J232" i="39" s="1"/>
  <c r="I233" i="25" s="1"/>
  <c r="G237" i="39"/>
  <c r="H237" i="39" s="1"/>
  <c r="I237" i="39" s="1"/>
  <c r="J237" i="39" s="1"/>
  <c r="I238" i="25" s="1"/>
  <c r="G241" i="39"/>
  <c r="H241" i="39" s="1"/>
  <c r="I241" i="39" s="1"/>
  <c r="J241" i="39" s="1"/>
  <c r="I242" i="25" s="1"/>
  <c r="G267" i="25"/>
  <c r="G270" i="39"/>
  <c r="H270" i="39" s="1"/>
  <c r="I270" i="39" s="1"/>
  <c r="J270" i="39" s="1"/>
  <c r="I271" i="25" s="1"/>
  <c r="G274" i="12"/>
  <c r="G279" i="25"/>
  <c r="G291" i="25"/>
  <c r="G295" i="25"/>
  <c r="G7" i="39"/>
  <c r="H7" i="39" s="1"/>
  <c r="I7" i="39" s="1"/>
  <c r="J7" i="39" s="1"/>
  <c r="I8" i="25" s="1"/>
  <c r="G15" i="39"/>
  <c r="H15" i="39" s="1"/>
  <c r="I15" i="39" s="1"/>
  <c r="J15" i="39" s="1"/>
  <c r="I16" i="25" s="1"/>
  <c r="G23" i="12"/>
  <c r="G154" i="25"/>
  <c r="G157" i="12"/>
  <c r="G164" i="12"/>
  <c r="G173" i="12"/>
  <c r="G177" i="25"/>
  <c r="G180" i="39"/>
  <c r="H180" i="39" s="1"/>
  <c r="I180" i="39" s="1"/>
  <c r="J180" i="39" s="1"/>
  <c r="I181" i="25" s="1"/>
  <c r="G184" i="39"/>
  <c r="H184" i="39" s="1"/>
  <c r="I184" i="39" s="1"/>
  <c r="J184" i="39" s="1"/>
  <c r="I185" i="25" s="1"/>
  <c r="G188" i="12"/>
  <c r="G196" i="12"/>
  <c r="G201" i="25"/>
  <c r="G204" i="12"/>
  <c r="G208" i="39"/>
  <c r="H208" i="39" s="1"/>
  <c r="I208" i="39" s="1"/>
  <c r="J208" i="39" s="1"/>
  <c r="I209" i="25" s="1"/>
  <c r="G212" i="12"/>
  <c r="G217" i="25"/>
  <c r="G240" i="39"/>
  <c r="H240" i="39" s="1"/>
  <c r="I240" i="39" s="1"/>
  <c r="J240" i="39" s="1"/>
  <c r="I241" i="25" s="1"/>
  <c r="G245" i="12"/>
  <c r="G249" i="39"/>
  <c r="H249" i="39" s="1"/>
  <c r="I249" i="39" s="1"/>
  <c r="J249" i="39" s="1"/>
  <c r="I250" i="25" s="1"/>
  <c r="G257" i="12"/>
  <c r="G261" i="39"/>
  <c r="H261" i="39" s="1"/>
  <c r="I261" i="39" s="1"/>
  <c r="J261" i="39" s="1"/>
  <c r="I262" i="25" s="1"/>
  <c r="G6" i="39"/>
  <c r="H6" i="39" s="1"/>
  <c r="I6" i="39" s="1"/>
  <c r="J6" i="39" s="1"/>
  <c r="I7" i="25" s="1"/>
  <c r="G11" i="39"/>
  <c r="H11" i="39" s="1"/>
  <c r="I11" i="39" s="1"/>
  <c r="J11" i="39" s="1"/>
  <c r="I12" i="25" s="1"/>
  <c r="G19" i="39"/>
  <c r="H19" i="39" s="1"/>
  <c r="I19" i="39" s="1"/>
  <c r="J19" i="39" s="1"/>
  <c r="I20" i="25" s="1"/>
  <c r="G27" i="12"/>
  <c r="G35" i="12"/>
  <c r="G69" i="25"/>
  <c r="G76" i="39"/>
  <c r="H76" i="39" s="1"/>
  <c r="I76" i="39" s="1"/>
  <c r="J76" i="39" s="1"/>
  <c r="I77" i="25" s="1"/>
  <c r="G93" i="25"/>
  <c r="G100" i="39"/>
  <c r="H100" i="39" s="1"/>
  <c r="I100" i="39" s="1"/>
  <c r="J100" i="39" s="1"/>
  <c r="I101" i="25" s="1"/>
  <c r="G109" i="25"/>
  <c r="G117" i="25"/>
  <c r="G124" i="12"/>
  <c r="G132" i="39"/>
  <c r="H132" i="39" s="1"/>
  <c r="I132" i="39" s="1"/>
  <c r="J132" i="39" s="1"/>
  <c r="I133" i="25" s="1"/>
  <c r="G149" i="25"/>
  <c r="G156" i="12"/>
  <c r="G168" i="12"/>
  <c r="G236" i="39"/>
  <c r="H236" i="39" s="1"/>
  <c r="I236" i="39" s="1"/>
  <c r="J236" i="39" s="1"/>
  <c r="I237" i="25" s="1"/>
  <c r="G244" i="12"/>
  <c r="G252" i="12"/>
  <c r="G260" i="39"/>
  <c r="H260" i="39" s="1"/>
  <c r="I260" i="39" s="1"/>
  <c r="J260" i="39" s="1"/>
  <c r="I261" i="25" s="1"/>
  <c r="E16" i="34"/>
  <c r="G48" i="25"/>
  <c r="G56" i="25"/>
  <c r="G63" i="12"/>
  <c r="G71" i="39"/>
  <c r="H71" i="39" s="1"/>
  <c r="I71" i="39" s="1"/>
  <c r="J71" i="39" s="1"/>
  <c r="I72" i="25" s="1"/>
  <c r="G80" i="25"/>
  <c r="G87" i="12"/>
  <c r="G96" i="25"/>
  <c r="G103" i="12"/>
  <c r="G111" i="39"/>
  <c r="H111" i="39" s="1"/>
  <c r="I111" i="39" s="1"/>
  <c r="J111" i="39" s="1"/>
  <c r="I112" i="25" s="1"/>
  <c r="G119" i="12"/>
  <c r="G127" i="12"/>
  <c r="G136" i="25"/>
  <c r="G143" i="39"/>
  <c r="H143" i="39" s="1"/>
  <c r="I143" i="39" s="1"/>
  <c r="J143" i="39" s="1"/>
  <c r="I144" i="25" s="1"/>
  <c r="G152" i="25"/>
  <c r="G226" i="25"/>
  <c r="G234" i="25"/>
  <c r="G272" i="25"/>
  <c r="G279" i="12"/>
  <c r="G287" i="12"/>
  <c r="G295" i="39"/>
  <c r="H295" i="39" s="1"/>
  <c r="I295" i="39" s="1"/>
  <c r="J295" i="39" s="1"/>
  <c r="I296" i="25" s="1"/>
  <c r="G302" i="39"/>
  <c r="H302" i="39" s="1"/>
  <c r="I302" i="39" s="1"/>
  <c r="J302" i="39" s="1"/>
  <c r="I303" i="25" s="1"/>
  <c r="G310" i="39"/>
  <c r="H310" i="39" s="1"/>
  <c r="I310" i="39" s="1"/>
  <c r="J310" i="39" s="1"/>
  <c r="I311" i="25" s="1"/>
  <c r="G72" i="39"/>
  <c r="H72" i="39" s="1"/>
  <c r="I72" i="39" s="1"/>
  <c r="J72" i="39" s="1"/>
  <c r="I73" i="25" s="1"/>
  <c r="G81" i="25"/>
  <c r="G88" i="12"/>
  <c r="G113" i="25"/>
  <c r="G120" i="12"/>
  <c r="G128" i="39"/>
  <c r="H128" i="39" s="1"/>
  <c r="I128" i="39" s="1"/>
  <c r="J128" i="39" s="1"/>
  <c r="I129" i="25" s="1"/>
  <c r="G137" i="25"/>
  <c r="G145" i="25"/>
  <c r="G153" i="25"/>
  <c r="G165" i="39"/>
  <c r="H165" i="39" s="1"/>
  <c r="I165" i="39" s="1"/>
  <c r="J165" i="39" s="1"/>
  <c r="I166" i="25" s="1"/>
  <c r="G172" i="12"/>
  <c r="G248" i="12"/>
  <c r="G264" i="12"/>
  <c r="G304" i="25"/>
  <c r="G44" i="25"/>
  <c r="G51" i="12"/>
  <c r="G68" i="25"/>
  <c r="G76" i="25"/>
  <c r="G84" i="25"/>
  <c r="G91" i="12"/>
  <c r="G99" i="12"/>
  <c r="G132" i="25"/>
  <c r="G222" i="25"/>
  <c r="G291" i="12"/>
  <c r="G306" i="12"/>
  <c r="G107" i="39"/>
  <c r="H107" i="39" s="1"/>
  <c r="I107" i="39" s="1"/>
  <c r="J107" i="39" s="1"/>
  <c r="I108" i="25" s="1"/>
  <c r="G140" i="25"/>
  <c r="G229" i="12"/>
  <c r="G307" i="12"/>
  <c r="G115" i="39"/>
  <c r="H115" i="39" s="1"/>
  <c r="I115" i="39" s="1"/>
  <c r="J115" i="39" s="1"/>
  <c r="I116" i="25" s="1"/>
  <c r="G148" i="25"/>
  <c r="G267" i="12"/>
  <c r="G283" i="39"/>
  <c r="H283" i="39" s="1"/>
  <c r="I283" i="39" s="1"/>
  <c r="J283" i="39" s="1"/>
  <c r="I284" i="25" s="1"/>
  <c r="G299" i="25"/>
  <c r="G299" i="12"/>
  <c r="G32" i="25"/>
  <c r="G219" i="25" l="1"/>
  <c r="G218" i="39"/>
  <c r="H218" i="39" s="1"/>
  <c r="I218" i="39" s="1"/>
  <c r="J218" i="39" s="1"/>
  <c r="I219" i="25" s="1"/>
  <c r="G218" i="12"/>
  <c r="G244" i="25"/>
  <c r="G243" i="39"/>
  <c r="H243" i="39" s="1"/>
  <c r="I243" i="39" s="1"/>
  <c r="J243" i="39" s="1"/>
  <c r="I244" i="25" s="1"/>
  <c r="G243" i="12"/>
  <c r="G170" i="25"/>
  <c r="G169" i="39"/>
  <c r="H169" i="39" s="1"/>
  <c r="I169" i="39" s="1"/>
  <c r="J169" i="39" s="1"/>
  <c r="I170" i="25" s="1"/>
  <c r="G169" i="12"/>
  <c r="G71" i="25"/>
  <c r="G22" i="39"/>
  <c r="H22" i="39" s="1"/>
  <c r="I22" i="39" s="1"/>
  <c r="J22" i="39" s="1"/>
  <c r="I23" i="25" s="1"/>
  <c r="G55" i="39"/>
  <c r="H55" i="39" s="1"/>
  <c r="I55" i="39" s="1"/>
  <c r="J55" i="39" s="1"/>
  <c r="I56" i="25" s="1"/>
  <c r="G117" i="39"/>
  <c r="H117" i="39" s="1"/>
  <c r="I117" i="39" s="1"/>
  <c r="J117" i="39" s="1"/>
  <c r="I118" i="25" s="1"/>
  <c r="G148" i="39"/>
  <c r="H148" i="39" s="1"/>
  <c r="I148" i="39" s="1"/>
  <c r="J148" i="39" s="1"/>
  <c r="I149" i="25" s="1"/>
  <c r="G300" i="12"/>
  <c r="H300" i="12" s="1"/>
  <c r="I300" i="12" s="1"/>
  <c r="J301" i="25" s="1"/>
  <c r="G103" i="25"/>
  <c r="G270" i="25"/>
  <c r="G7" i="25"/>
  <c r="G8" i="25"/>
  <c r="G36" i="25"/>
  <c r="G52" i="39"/>
  <c r="H52" i="39" s="1"/>
  <c r="I52" i="39" s="1"/>
  <c r="J52" i="39" s="1"/>
  <c r="I53" i="25" s="1"/>
  <c r="G53" i="12"/>
  <c r="H53" i="12" s="1"/>
  <c r="I53" i="12" s="1"/>
  <c r="J54" i="25" s="1"/>
  <c r="G35" i="39"/>
  <c r="H35" i="39" s="1"/>
  <c r="I35" i="39" s="1"/>
  <c r="J35" i="39" s="1"/>
  <c r="I36" i="25" s="1"/>
  <c r="G223" i="39"/>
  <c r="H223" i="39" s="1"/>
  <c r="I223" i="39" s="1"/>
  <c r="J223" i="39" s="1"/>
  <c r="I224" i="25" s="1"/>
  <c r="G133" i="12"/>
  <c r="H133" i="12" s="1"/>
  <c r="I133" i="12" s="1"/>
  <c r="J134" i="25" s="1"/>
  <c r="G86" i="25"/>
  <c r="G255" i="25"/>
  <c r="G54" i="25"/>
  <c r="G164" i="39"/>
  <c r="H164" i="39" s="1"/>
  <c r="I164" i="39" s="1"/>
  <c r="J164" i="39" s="1"/>
  <c r="I165" i="25" s="1"/>
  <c r="G38" i="25"/>
  <c r="G102" i="12"/>
  <c r="H102" i="12" s="1"/>
  <c r="I102" i="12" s="1"/>
  <c r="J103" i="25" s="1"/>
  <c r="G150" i="25"/>
  <c r="G165" i="25"/>
  <c r="G21" i="39"/>
  <c r="H21" i="39" s="1"/>
  <c r="I21" i="39" s="1"/>
  <c r="J21" i="39" s="1"/>
  <c r="I22" i="25" s="1"/>
  <c r="G87" i="25"/>
  <c r="G38" i="12"/>
  <c r="H38" i="12" s="1"/>
  <c r="I38" i="12" s="1"/>
  <c r="J39" i="25" s="1"/>
  <c r="G6" i="12"/>
  <c r="H6" i="12" s="1"/>
  <c r="I6" i="12" s="1"/>
  <c r="J7" i="25" s="1"/>
  <c r="G176" i="12"/>
  <c r="H176" i="12" s="1"/>
  <c r="I176" i="12" s="1"/>
  <c r="J177" i="25" s="1"/>
  <c r="G118" i="25"/>
  <c r="G22" i="25"/>
  <c r="G236" i="12"/>
  <c r="H236" i="12" s="1"/>
  <c r="I236" i="12" s="1"/>
  <c r="J237" i="25" s="1"/>
  <c r="G55" i="25"/>
  <c r="G119" i="25"/>
  <c r="G301" i="12"/>
  <c r="H301" i="12" s="1"/>
  <c r="I301" i="12" s="1"/>
  <c r="J302" i="25" s="1"/>
  <c r="G239" i="25"/>
  <c r="G210" i="25"/>
  <c r="G101" i="39"/>
  <c r="H101" i="39" s="1"/>
  <c r="I101" i="39" s="1"/>
  <c r="J101" i="39" s="1"/>
  <c r="I102" i="25" s="1"/>
  <c r="G285" i="12"/>
  <c r="H285" i="12" s="1"/>
  <c r="I285" i="12" s="1"/>
  <c r="J286" i="25" s="1"/>
  <c r="G151" i="12"/>
  <c r="H151" i="12" s="1"/>
  <c r="I151" i="12" s="1"/>
  <c r="J152" i="25" s="1"/>
  <c r="F41" i="48"/>
  <c r="E325" i="34"/>
  <c r="I325" i="34" s="1"/>
  <c r="G314" i="12" s="1"/>
  <c r="J314" i="12" s="1"/>
  <c r="G13" i="25"/>
  <c r="G271" i="39"/>
  <c r="H271" i="39" s="1"/>
  <c r="I271" i="39" s="1"/>
  <c r="J271" i="39" s="1"/>
  <c r="I272" i="25" s="1"/>
  <c r="G72" i="12"/>
  <c r="H72" i="12" s="1"/>
  <c r="J72" i="12" s="1"/>
  <c r="G226" i="39"/>
  <c r="H226" i="39" s="1"/>
  <c r="I226" i="39" s="1"/>
  <c r="J226" i="39" s="1"/>
  <c r="I227" i="25" s="1"/>
  <c r="G195" i="12"/>
  <c r="H195" i="12" s="1"/>
  <c r="I195" i="12" s="1"/>
  <c r="J196" i="25" s="1"/>
  <c r="G136" i="39"/>
  <c r="H136" i="39" s="1"/>
  <c r="I136" i="39" s="1"/>
  <c r="J136" i="39" s="1"/>
  <c r="I137" i="25" s="1"/>
  <c r="G196" i="25"/>
  <c r="G303" i="25"/>
  <c r="G120" i="25"/>
  <c r="G210" i="12"/>
  <c r="H210" i="12" s="1"/>
  <c r="I210" i="12" s="1"/>
  <c r="J211" i="25" s="1"/>
  <c r="G179" i="25"/>
  <c r="G92" i="25"/>
  <c r="G289" i="25"/>
  <c r="G291" i="39"/>
  <c r="H291" i="39" s="1"/>
  <c r="I291" i="39" s="1"/>
  <c r="J291" i="39" s="1"/>
  <c r="I292" i="25" s="1"/>
  <c r="G12" i="12"/>
  <c r="H12" i="12" s="1"/>
  <c r="I12" i="12" s="1"/>
  <c r="J13" i="25" s="1"/>
  <c r="G269" i="25"/>
  <c r="G292" i="25"/>
  <c r="G167" i="12"/>
  <c r="H167" i="12" s="1"/>
  <c r="I167" i="12" s="1"/>
  <c r="J168" i="25" s="1"/>
  <c r="G268" i="25"/>
  <c r="G156" i="25"/>
  <c r="G155" i="12"/>
  <c r="H155" i="12" s="1"/>
  <c r="I155" i="12" s="1"/>
  <c r="J156" i="25" s="1"/>
  <c r="G147" i="12"/>
  <c r="H147" i="12" s="1"/>
  <c r="I147" i="12" s="1"/>
  <c r="J148" i="25" s="1"/>
  <c r="G147" i="39"/>
  <c r="H147" i="39" s="1"/>
  <c r="I147" i="39" s="1"/>
  <c r="J147" i="39" s="1"/>
  <c r="I148" i="25" s="1"/>
  <c r="G277" i="25"/>
  <c r="G276" i="12"/>
  <c r="H276" i="12" s="1"/>
  <c r="I276" i="12" s="1"/>
  <c r="J277" i="25" s="1"/>
  <c r="G190" i="12"/>
  <c r="H190" i="12" s="1"/>
  <c r="I190" i="12" s="1"/>
  <c r="J191" i="25" s="1"/>
  <c r="G191" i="25"/>
  <c r="G59" i="39"/>
  <c r="H59" i="39" s="1"/>
  <c r="I59" i="39" s="1"/>
  <c r="J59" i="39" s="1"/>
  <c r="I60" i="25" s="1"/>
  <c r="G59" i="12"/>
  <c r="H59" i="12" s="1"/>
  <c r="I59" i="12" s="1"/>
  <c r="J60" i="25" s="1"/>
  <c r="G256" i="12"/>
  <c r="H256" i="12" s="1"/>
  <c r="I256" i="12" s="1"/>
  <c r="J257" i="25" s="1"/>
  <c r="G257" i="25"/>
  <c r="G165" i="12"/>
  <c r="H165" i="12" s="1"/>
  <c r="I165" i="12" s="1"/>
  <c r="J166" i="25" s="1"/>
  <c r="G166" i="25"/>
  <c r="G104" i="12"/>
  <c r="H104" i="12" s="1"/>
  <c r="I104" i="12" s="1"/>
  <c r="J105" i="25" s="1"/>
  <c r="G104" i="39"/>
  <c r="H104" i="39" s="1"/>
  <c r="I104" i="39" s="1"/>
  <c r="J104" i="39" s="1"/>
  <c r="I105" i="25" s="1"/>
  <c r="G40" i="39"/>
  <c r="H40" i="39" s="1"/>
  <c r="I40" i="39" s="1"/>
  <c r="J40" i="39" s="1"/>
  <c r="I41" i="25" s="1"/>
  <c r="G41" i="25"/>
  <c r="G88" i="25"/>
  <c r="G87" i="39"/>
  <c r="H87" i="39" s="1"/>
  <c r="I87" i="39" s="1"/>
  <c r="J87" i="39" s="1"/>
  <c r="I88" i="25" s="1"/>
  <c r="G207" i="39"/>
  <c r="H207" i="39" s="1"/>
  <c r="I207" i="39" s="1"/>
  <c r="J207" i="39" s="1"/>
  <c r="I208" i="25" s="1"/>
  <c r="G207" i="12"/>
  <c r="H207" i="12" s="1"/>
  <c r="I207" i="12" s="1"/>
  <c r="J208" i="25" s="1"/>
  <c r="G175" i="39"/>
  <c r="H175" i="39" s="1"/>
  <c r="I175" i="39" s="1"/>
  <c r="J175" i="39" s="1"/>
  <c r="I176" i="25" s="1"/>
  <c r="G175" i="12"/>
  <c r="H175" i="12" s="1"/>
  <c r="I175" i="12" s="1"/>
  <c r="J176" i="25" s="1"/>
  <c r="G116" i="12"/>
  <c r="H116" i="12" s="1"/>
  <c r="I116" i="12" s="1"/>
  <c r="J117" i="25" s="1"/>
  <c r="G116" i="39"/>
  <c r="H116" i="39" s="1"/>
  <c r="I116" i="39" s="1"/>
  <c r="J116" i="39" s="1"/>
  <c r="I117" i="25" s="1"/>
  <c r="G85" i="25"/>
  <c r="G84" i="12"/>
  <c r="H84" i="12" s="1"/>
  <c r="I84" i="12" s="1"/>
  <c r="J85" i="25" s="1"/>
  <c r="G254" i="25"/>
  <c r="G253" i="39"/>
  <c r="H253" i="39" s="1"/>
  <c r="I253" i="39" s="1"/>
  <c r="J253" i="39" s="1"/>
  <c r="I254" i="25" s="1"/>
  <c r="G209" i="25"/>
  <c r="G208" i="12"/>
  <c r="H208" i="12" s="1"/>
  <c r="I208" i="12" s="1"/>
  <c r="J209" i="25" s="1"/>
  <c r="G193" i="25"/>
  <c r="G192" i="12"/>
  <c r="H192" i="12" s="1"/>
  <c r="I192" i="12" s="1"/>
  <c r="J193" i="25" s="1"/>
  <c r="G70" i="25"/>
  <c r="G69" i="12"/>
  <c r="H69" i="12" s="1"/>
  <c r="I69" i="12" s="1"/>
  <c r="J70" i="25" s="1"/>
  <c r="G40" i="25"/>
  <c r="G39" i="12"/>
  <c r="H39" i="12" s="1"/>
  <c r="I39" i="12" s="1"/>
  <c r="J40" i="25" s="1"/>
  <c r="G287" i="25"/>
  <c r="G286" i="12"/>
  <c r="H286" i="12" s="1"/>
  <c r="I286" i="12" s="1"/>
  <c r="J287" i="25" s="1"/>
  <c r="G271" i="25"/>
  <c r="G270" i="12"/>
  <c r="H270" i="12" s="1"/>
  <c r="I270" i="12" s="1"/>
  <c r="J271" i="25" s="1"/>
  <c r="G238" i="25"/>
  <c r="G237" i="12"/>
  <c r="H237" i="12" s="1"/>
  <c r="I237" i="12" s="1"/>
  <c r="J238" i="25" s="1"/>
  <c r="G224" i="39"/>
  <c r="H224" i="39" s="1"/>
  <c r="I224" i="39" s="1"/>
  <c r="J224" i="39" s="1"/>
  <c r="I225" i="25" s="1"/>
  <c r="G225" i="25"/>
  <c r="G193" i="12"/>
  <c r="H193" i="12" s="1"/>
  <c r="I193" i="12" s="1"/>
  <c r="J194" i="25" s="1"/>
  <c r="G194" i="25"/>
  <c r="G177" i="12"/>
  <c r="H177" i="12" s="1"/>
  <c r="I177" i="12" s="1"/>
  <c r="J178" i="25" s="1"/>
  <c r="G178" i="25"/>
  <c r="G150" i="39"/>
  <c r="H150" i="39" s="1"/>
  <c r="I150" i="39" s="1"/>
  <c r="J150" i="39" s="1"/>
  <c r="I151" i="25" s="1"/>
  <c r="G151" i="25"/>
  <c r="G135" i="25"/>
  <c r="G134" i="39"/>
  <c r="H134" i="39" s="1"/>
  <c r="I134" i="39" s="1"/>
  <c r="J134" i="39" s="1"/>
  <c r="I135" i="25" s="1"/>
  <c r="G148" i="12"/>
  <c r="H148" i="12" s="1"/>
  <c r="I148" i="12" s="1"/>
  <c r="J149" i="25" s="1"/>
  <c r="G39" i="25"/>
  <c r="G226" i="12"/>
  <c r="H226" i="12" s="1"/>
  <c r="I226" i="12" s="1"/>
  <c r="J227" i="25" s="1"/>
  <c r="G302" i="12"/>
  <c r="H302" i="12" s="1"/>
  <c r="I302" i="12" s="1"/>
  <c r="J303" i="25" s="1"/>
  <c r="G167" i="39"/>
  <c r="H167" i="39" s="1"/>
  <c r="I167" i="39" s="1"/>
  <c r="J167" i="39" s="1"/>
  <c r="I168" i="25" s="1"/>
  <c r="G149" i="12"/>
  <c r="H149" i="12" s="1"/>
  <c r="I149" i="12" s="1"/>
  <c r="J150" i="25" s="1"/>
  <c r="G176" i="39"/>
  <c r="H176" i="39" s="1"/>
  <c r="I176" i="39" s="1"/>
  <c r="J176" i="39" s="1"/>
  <c r="I177" i="25" s="1"/>
  <c r="G119" i="39"/>
  <c r="H119" i="39" s="1"/>
  <c r="I119" i="39" s="1"/>
  <c r="J119" i="39" s="1"/>
  <c r="I120" i="25" s="1"/>
  <c r="G55" i="12"/>
  <c r="H55" i="12" s="1"/>
  <c r="I55" i="12" s="1"/>
  <c r="J56" i="25" s="1"/>
  <c r="G224" i="25"/>
  <c r="G37" i="39"/>
  <c r="H37" i="39" s="1"/>
  <c r="I37" i="39" s="1"/>
  <c r="J37" i="39" s="1"/>
  <c r="I38" i="25" s="1"/>
  <c r="G91" i="39"/>
  <c r="H91" i="39" s="1"/>
  <c r="I91" i="39" s="1"/>
  <c r="J91" i="39" s="1"/>
  <c r="I92" i="25" s="1"/>
  <c r="G7" i="12"/>
  <c r="H7" i="12" s="1"/>
  <c r="I7" i="12" s="1"/>
  <c r="J8" i="25" s="1"/>
  <c r="G210" i="39"/>
  <c r="H210" i="39" s="1"/>
  <c r="I210" i="39" s="1"/>
  <c r="J210" i="39" s="1"/>
  <c r="I211" i="25" s="1"/>
  <c r="G256" i="39"/>
  <c r="H256" i="39" s="1"/>
  <c r="I256" i="39" s="1"/>
  <c r="J256" i="39" s="1"/>
  <c r="I257" i="25" s="1"/>
  <c r="G237" i="25"/>
  <c r="G136" i="12"/>
  <c r="H136" i="12" s="1"/>
  <c r="I136" i="12" s="1"/>
  <c r="J137" i="25" s="1"/>
  <c r="G190" i="39"/>
  <c r="H190" i="39" s="1"/>
  <c r="I190" i="39" s="1"/>
  <c r="J190" i="39" s="1"/>
  <c r="I191" i="25" s="1"/>
  <c r="G134" i="25"/>
  <c r="G54" i="39"/>
  <c r="H54" i="39" s="1"/>
  <c r="I54" i="39" s="1"/>
  <c r="J54" i="39" s="1"/>
  <c r="I55" i="25" s="1"/>
  <c r="G253" i="12"/>
  <c r="H253" i="12" s="1"/>
  <c r="G300" i="39"/>
  <c r="H300" i="39" s="1"/>
  <c r="I300" i="39" s="1"/>
  <c r="J300" i="39" s="1"/>
  <c r="I301" i="25" s="1"/>
  <c r="G269" i="39"/>
  <c r="H269" i="39" s="1"/>
  <c r="I269" i="39" s="1"/>
  <c r="J269" i="39" s="1"/>
  <c r="I270" i="25" s="1"/>
  <c r="G192" i="39"/>
  <c r="H192" i="39" s="1"/>
  <c r="I192" i="39" s="1"/>
  <c r="J192" i="39" s="1"/>
  <c r="I193" i="25" s="1"/>
  <c r="G118" i="39"/>
  <c r="H118" i="39" s="1"/>
  <c r="I118" i="39" s="1"/>
  <c r="J118" i="39" s="1"/>
  <c r="I119" i="25" s="1"/>
  <c r="G286" i="25"/>
  <c r="G39" i="39"/>
  <c r="H39" i="39" s="1"/>
  <c r="I39" i="39" s="1"/>
  <c r="J39" i="39" s="1"/>
  <c r="I40" i="25" s="1"/>
  <c r="G288" i="39"/>
  <c r="H288" i="39" s="1"/>
  <c r="I288" i="39" s="1"/>
  <c r="J288" i="39" s="1"/>
  <c r="I289" i="25" s="1"/>
  <c r="G85" i="39"/>
  <c r="H85" i="39" s="1"/>
  <c r="I85" i="39" s="1"/>
  <c r="J85" i="39" s="1"/>
  <c r="I86" i="25" s="1"/>
  <c r="G302" i="25"/>
  <c r="G178" i="12"/>
  <c r="H178" i="12" s="1"/>
  <c r="I178" i="12" s="1"/>
  <c r="J179" i="25" s="1"/>
  <c r="G84" i="39"/>
  <c r="H84" i="39" s="1"/>
  <c r="I84" i="39" s="1"/>
  <c r="J84" i="39" s="1"/>
  <c r="I85" i="25" s="1"/>
  <c r="G267" i="39"/>
  <c r="H267" i="39" s="1"/>
  <c r="I267" i="39" s="1"/>
  <c r="J267" i="39" s="1"/>
  <c r="I268" i="25" s="1"/>
  <c r="G86" i="12"/>
  <c r="H86" i="12" s="1"/>
  <c r="I86" i="12" s="1"/>
  <c r="J87" i="25" s="1"/>
  <c r="G134" i="12"/>
  <c r="H134" i="12" s="1"/>
  <c r="I134" i="12" s="1"/>
  <c r="J135" i="25" s="1"/>
  <c r="G238" i="12"/>
  <c r="H238" i="12" s="1"/>
  <c r="I238" i="12" s="1"/>
  <c r="J239" i="25" s="1"/>
  <c r="G271" i="12"/>
  <c r="H271" i="12" s="1"/>
  <c r="I271" i="12" s="1"/>
  <c r="J272" i="25" s="1"/>
  <c r="G286" i="39"/>
  <c r="H286" i="39" s="1"/>
  <c r="I286" i="39" s="1"/>
  <c r="J286" i="39" s="1"/>
  <c r="I287" i="25" s="1"/>
  <c r="G151" i="39"/>
  <c r="H151" i="39" s="1"/>
  <c r="I151" i="39" s="1"/>
  <c r="J151" i="39" s="1"/>
  <c r="I152" i="25" s="1"/>
  <c r="G53" i="25"/>
  <c r="G193" i="39"/>
  <c r="H193" i="39" s="1"/>
  <c r="I193" i="39" s="1"/>
  <c r="J193" i="39" s="1"/>
  <c r="I194" i="25" s="1"/>
  <c r="G209" i="12"/>
  <c r="H209" i="12" s="1"/>
  <c r="I209" i="12" s="1"/>
  <c r="J210" i="25" s="1"/>
  <c r="G254" i="39"/>
  <c r="H254" i="39" s="1"/>
  <c r="I254" i="39" s="1"/>
  <c r="J254" i="39" s="1"/>
  <c r="I255" i="25" s="1"/>
  <c r="G150" i="12"/>
  <c r="H150" i="12" s="1"/>
  <c r="I150" i="12" s="1"/>
  <c r="J151" i="25" s="1"/>
  <c r="G101" i="12"/>
  <c r="H101" i="12" s="1"/>
  <c r="I101" i="12" s="1"/>
  <c r="J102" i="25" s="1"/>
  <c r="G105" i="25"/>
  <c r="G73" i="25"/>
  <c r="G23" i="25"/>
  <c r="G60" i="25"/>
  <c r="I16" i="34"/>
  <c r="G5" i="39" s="1"/>
  <c r="H5" i="39" s="1"/>
  <c r="I5" i="39" s="1"/>
  <c r="J5" i="39" s="1"/>
  <c r="G70" i="39"/>
  <c r="H70" i="39" s="1"/>
  <c r="I70" i="39" s="1"/>
  <c r="J70" i="39" s="1"/>
  <c r="I71" i="25" s="1"/>
  <c r="G266" i="12"/>
  <c r="H266" i="12" s="1"/>
  <c r="I266" i="12" s="1"/>
  <c r="J267" i="25" s="1"/>
  <c r="G159" i="39"/>
  <c r="H159" i="39" s="1"/>
  <c r="I159" i="39" s="1"/>
  <c r="J159" i="39" s="1"/>
  <c r="I160" i="25" s="1"/>
  <c r="G99" i="25"/>
  <c r="G112" i="25"/>
  <c r="G33" i="12"/>
  <c r="H33" i="12" s="1"/>
  <c r="I33" i="12" s="1"/>
  <c r="J34" i="25" s="1"/>
  <c r="G259" i="12"/>
  <c r="H259" i="12" s="1"/>
  <c r="I259" i="12" s="1"/>
  <c r="J260" i="25" s="1"/>
  <c r="G114" i="39"/>
  <c r="H114" i="39" s="1"/>
  <c r="I114" i="39" s="1"/>
  <c r="J114" i="39" s="1"/>
  <c r="I115" i="25" s="1"/>
  <c r="G235" i="39"/>
  <c r="H235" i="39" s="1"/>
  <c r="I235" i="39" s="1"/>
  <c r="J235" i="39" s="1"/>
  <c r="I236" i="25" s="1"/>
  <c r="G250" i="12"/>
  <c r="H250" i="12" s="1"/>
  <c r="I250" i="12" s="1"/>
  <c r="J251" i="25" s="1"/>
  <c r="G123" i="25"/>
  <c r="G9" i="12"/>
  <c r="H9" i="12" s="1"/>
  <c r="I9" i="12" s="1"/>
  <c r="J10" i="25" s="1"/>
  <c r="G182" i="25"/>
  <c r="G213" i="12"/>
  <c r="H213" i="12" s="1"/>
  <c r="I213" i="12" s="1"/>
  <c r="J214" i="25" s="1"/>
  <c r="G183" i="39"/>
  <c r="H183" i="39" s="1"/>
  <c r="I183" i="39" s="1"/>
  <c r="J183" i="39" s="1"/>
  <c r="I184" i="25" s="1"/>
  <c r="G49" i="12"/>
  <c r="H49" i="12" s="1"/>
  <c r="I49" i="12" s="1"/>
  <c r="J50" i="25" s="1"/>
  <c r="G220" i="12"/>
  <c r="H220" i="12" s="1"/>
  <c r="I220" i="12" s="1"/>
  <c r="J221" i="25" s="1"/>
  <c r="G233" i="39"/>
  <c r="H233" i="39" s="1"/>
  <c r="I233" i="39" s="1"/>
  <c r="J233" i="39" s="1"/>
  <c r="I234" i="25" s="1"/>
  <c r="G230" i="39"/>
  <c r="H230" i="39" s="1"/>
  <c r="I230" i="39" s="1"/>
  <c r="J230" i="39" s="1"/>
  <c r="I231" i="25" s="1"/>
  <c r="G27" i="39"/>
  <c r="H27" i="39" s="1"/>
  <c r="I27" i="39" s="1"/>
  <c r="J27" i="39" s="1"/>
  <c r="I28" i="25" s="1"/>
  <c r="G17" i="39"/>
  <c r="H17" i="39" s="1"/>
  <c r="I17" i="39" s="1"/>
  <c r="J17" i="39" s="1"/>
  <c r="I18" i="25" s="1"/>
  <c r="G263" i="12"/>
  <c r="H263" i="12" s="1"/>
  <c r="I263" i="12" s="1"/>
  <c r="J264" i="25" s="1"/>
  <c r="G97" i="39"/>
  <c r="H97" i="39" s="1"/>
  <c r="I97" i="39" s="1"/>
  <c r="J97" i="39" s="1"/>
  <c r="I98" i="25" s="1"/>
  <c r="G51" i="39"/>
  <c r="H51" i="39" s="1"/>
  <c r="I51" i="39" s="1"/>
  <c r="J51" i="39" s="1"/>
  <c r="I52" i="25" s="1"/>
  <c r="G18" i="12"/>
  <c r="H18" i="12" s="1"/>
  <c r="N19" i="13" s="1"/>
  <c r="O19" i="13" s="1"/>
  <c r="G162" i="12"/>
  <c r="H162" i="12" s="1"/>
  <c r="N163" i="13" s="1"/>
  <c r="O163" i="13" s="1"/>
  <c r="G44" i="39"/>
  <c r="H44" i="39" s="1"/>
  <c r="I44" i="39" s="1"/>
  <c r="J44" i="39" s="1"/>
  <c r="I45" i="25" s="1"/>
  <c r="G173" i="39"/>
  <c r="H173" i="39" s="1"/>
  <c r="I173" i="39" s="1"/>
  <c r="J173" i="39" s="1"/>
  <c r="I174" i="25" s="1"/>
  <c r="G128" i="12"/>
  <c r="H128" i="12" s="1"/>
  <c r="I128" i="12" s="1"/>
  <c r="J129" i="25" s="1"/>
  <c r="G205" i="39"/>
  <c r="H205" i="39" s="1"/>
  <c r="I205" i="39" s="1"/>
  <c r="J205" i="39" s="1"/>
  <c r="I206" i="25" s="1"/>
  <c r="G139" i="39"/>
  <c r="H139" i="39" s="1"/>
  <c r="I139" i="39" s="1"/>
  <c r="J139" i="39" s="1"/>
  <c r="I140" i="25" s="1"/>
  <c r="G314" i="25"/>
  <c r="G282" i="25"/>
  <c r="G307" i="25"/>
  <c r="G228" i="25"/>
  <c r="G153" i="39"/>
  <c r="H153" i="39" s="1"/>
  <c r="I153" i="39" s="1"/>
  <c r="J153" i="39" s="1"/>
  <c r="I154" i="25" s="1"/>
  <c r="G138" i="12"/>
  <c r="H138" i="12" s="1"/>
  <c r="I138" i="12" s="1"/>
  <c r="J139" i="25" s="1"/>
  <c r="G181" i="25"/>
  <c r="G167" i="25"/>
  <c r="G180" i="12"/>
  <c r="H180" i="12" s="1"/>
  <c r="I180" i="12" s="1"/>
  <c r="J181" i="25" s="1"/>
  <c r="G211" i="39"/>
  <c r="H211" i="39" s="1"/>
  <c r="I211" i="39" s="1"/>
  <c r="J211" i="39" s="1"/>
  <c r="I212" i="25" s="1"/>
  <c r="G265" i="25"/>
  <c r="G217" i="12"/>
  <c r="H217" i="12" s="1"/>
  <c r="I217" i="12" s="1"/>
  <c r="J218" i="25" s="1"/>
  <c r="G128" i="25"/>
  <c r="G275" i="25"/>
  <c r="G43" i="25"/>
  <c r="G143" i="12"/>
  <c r="H143" i="12" s="1"/>
  <c r="I143" i="12" s="1"/>
  <c r="J144" i="25" s="1"/>
  <c r="G60" i="12"/>
  <c r="H60" i="12" s="1"/>
  <c r="I60" i="12" s="1"/>
  <c r="J61" i="25" s="1"/>
  <c r="G274" i="25"/>
  <c r="G123" i="39"/>
  <c r="H123" i="39" s="1"/>
  <c r="I123" i="39" s="1"/>
  <c r="J123" i="39" s="1"/>
  <c r="I124" i="25" s="1"/>
  <c r="G124" i="25"/>
  <c r="G312" i="25"/>
  <c r="G311" i="39"/>
  <c r="H311" i="39" s="1"/>
  <c r="I311" i="39" s="1"/>
  <c r="J311" i="39" s="1"/>
  <c r="I312" i="25" s="1"/>
  <c r="G161" i="25"/>
  <c r="G160" i="39"/>
  <c r="H160" i="39" s="1"/>
  <c r="I160" i="39" s="1"/>
  <c r="J160" i="39" s="1"/>
  <c r="I161" i="25" s="1"/>
  <c r="G64" i="12"/>
  <c r="H64" i="12" s="1"/>
  <c r="I64" i="12" s="1"/>
  <c r="J65" i="25" s="1"/>
  <c r="G65" i="25"/>
  <c r="G249" i="12"/>
  <c r="H249" i="12" s="1"/>
  <c r="I249" i="12" s="1"/>
  <c r="J250" i="25" s="1"/>
  <c r="G250" i="25"/>
  <c r="G161" i="12"/>
  <c r="H161" i="12" s="1"/>
  <c r="I161" i="12" s="1"/>
  <c r="J162" i="25" s="1"/>
  <c r="G162" i="25"/>
  <c r="G146" i="25"/>
  <c r="G145" i="39"/>
  <c r="H145" i="39" s="1"/>
  <c r="I145" i="39" s="1"/>
  <c r="J145" i="39" s="1"/>
  <c r="I146" i="25" s="1"/>
  <c r="G81" i="39"/>
  <c r="H81" i="39" s="1"/>
  <c r="I81" i="39" s="1"/>
  <c r="J81" i="39" s="1"/>
  <c r="I82" i="25" s="1"/>
  <c r="G82" i="25"/>
  <c r="G31" i="39"/>
  <c r="H31" i="39" s="1"/>
  <c r="I31" i="39" s="1"/>
  <c r="J31" i="39" s="1"/>
  <c r="I32" i="25" s="1"/>
  <c r="G31" i="12"/>
  <c r="H31" i="12" s="1"/>
  <c r="I31" i="12" s="1"/>
  <c r="J32" i="25" s="1"/>
  <c r="G282" i="12"/>
  <c r="H282" i="12" s="1"/>
  <c r="I282" i="12" s="1"/>
  <c r="J283" i="25" s="1"/>
  <c r="G283" i="25"/>
  <c r="G189" i="12"/>
  <c r="H189" i="12" s="1"/>
  <c r="I189" i="12" s="1"/>
  <c r="J190" i="25" s="1"/>
  <c r="G190" i="25"/>
  <c r="G66" i="12"/>
  <c r="H66" i="12" s="1"/>
  <c r="I66" i="12" s="1"/>
  <c r="J67" i="25" s="1"/>
  <c r="G67" i="25"/>
  <c r="G35" i="25"/>
  <c r="G34" i="39"/>
  <c r="H34" i="39" s="1"/>
  <c r="I34" i="39" s="1"/>
  <c r="J34" i="39" s="1"/>
  <c r="I35" i="25" s="1"/>
  <c r="G129" i="25"/>
  <c r="G76" i="12"/>
  <c r="H76" i="12" s="1"/>
  <c r="I76" i="12" s="1"/>
  <c r="J77" i="25" s="1"/>
  <c r="G220" i="39"/>
  <c r="H220" i="39" s="1"/>
  <c r="I220" i="39" s="1"/>
  <c r="J220" i="39" s="1"/>
  <c r="I221" i="25" s="1"/>
  <c r="G313" i="12"/>
  <c r="H313" i="12" s="1"/>
  <c r="I313" i="12" s="1"/>
  <c r="J314" i="25" s="1"/>
  <c r="G280" i="39"/>
  <c r="H280" i="39" s="1"/>
  <c r="I280" i="39" s="1"/>
  <c r="J280" i="39" s="1"/>
  <c r="I281" i="25" s="1"/>
  <c r="G147" i="25"/>
  <c r="G189" i="39"/>
  <c r="H189" i="39" s="1"/>
  <c r="I189" i="39" s="1"/>
  <c r="J189" i="39" s="1"/>
  <c r="I190" i="25" s="1"/>
  <c r="G205" i="12"/>
  <c r="H205" i="12" s="1"/>
  <c r="J205" i="12" s="1"/>
  <c r="G130" i="12"/>
  <c r="H130" i="12" s="1"/>
  <c r="I130" i="12" s="1"/>
  <c r="J131" i="25" s="1"/>
  <c r="G203" i="25"/>
  <c r="G281" i="39"/>
  <c r="H281" i="39" s="1"/>
  <c r="I281" i="39" s="1"/>
  <c r="J281" i="39" s="1"/>
  <c r="I282" i="25" s="1"/>
  <c r="G309" i="12"/>
  <c r="H309" i="12" s="1"/>
  <c r="I309" i="12" s="1"/>
  <c r="J310" i="25" s="1"/>
  <c r="G310" i="25"/>
  <c r="G265" i="12"/>
  <c r="H265" i="12" s="1"/>
  <c r="I265" i="12" s="1"/>
  <c r="J266" i="25" s="1"/>
  <c r="G297" i="25"/>
  <c r="G83" i="39"/>
  <c r="H83" i="39" s="1"/>
  <c r="I83" i="39" s="1"/>
  <c r="J83" i="39" s="1"/>
  <c r="I84" i="25" s="1"/>
  <c r="G260" i="25"/>
  <c r="G77" i="25"/>
  <c r="G50" i="39"/>
  <c r="H50" i="39" s="1"/>
  <c r="I50" i="39" s="1"/>
  <c r="J50" i="39" s="1"/>
  <c r="I51" i="25" s="1"/>
  <c r="G280" i="12"/>
  <c r="H280" i="12" s="1"/>
  <c r="I280" i="12" s="1"/>
  <c r="J281" i="25" s="1"/>
  <c r="G116" i="25"/>
  <c r="G146" i="39"/>
  <c r="H146" i="39" s="1"/>
  <c r="I146" i="39" s="1"/>
  <c r="J146" i="39" s="1"/>
  <c r="I147" i="25" s="1"/>
  <c r="G220" i="25"/>
  <c r="G34" i="25"/>
  <c r="G188" i="39"/>
  <c r="H188" i="39" s="1"/>
  <c r="I188" i="39" s="1"/>
  <c r="J188" i="39" s="1"/>
  <c r="I189" i="25" s="1"/>
  <c r="G200" i="25"/>
  <c r="G62" i="39"/>
  <c r="H62" i="39" s="1"/>
  <c r="I62" i="39" s="1"/>
  <c r="J62" i="39" s="1"/>
  <c r="I63" i="25" s="1"/>
  <c r="G161" i="39"/>
  <c r="H161" i="39" s="1"/>
  <c r="I161" i="39" s="1"/>
  <c r="J161" i="39" s="1"/>
  <c r="I162" i="25" s="1"/>
  <c r="G205" i="25"/>
  <c r="G187" i="12"/>
  <c r="H187" i="12" s="1"/>
  <c r="I187" i="12" s="1"/>
  <c r="J188" i="25" s="1"/>
  <c r="G235" i="25"/>
  <c r="G312" i="12"/>
  <c r="H312" i="12" s="1"/>
  <c r="I312" i="12" s="1"/>
  <c r="J313" i="25" s="1"/>
  <c r="G282" i="39"/>
  <c r="H282" i="39" s="1"/>
  <c r="I282" i="39" s="1"/>
  <c r="J282" i="39" s="1"/>
  <c r="I283" i="25" s="1"/>
  <c r="G131" i="25"/>
  <c r="G202" i="12"/>
  <c r="H202" i="12" s="1"/>
  <c r="I202" i="12" s="1"/>
  <c r="J203" i="25" s="1"/>
  <c r="G79" i="39"/>
  <c r="H79" i="39" s="1"/>
  <c r="I79" i="39" s="1"/>
  <c r="J79" i="39" s="1"/>
  <c r="I80" i="25" s="1"/>
  <c r="G242" i="12"/>
  <c r="H242" i="12" s="1"/>
  <c r="I242" i="12" s="1"/>
  <c r="J243" i="25" s="1"/>
  <c r="G298" i="25"/>
  <c r="G233" i="25"/>
  <c r="G125" i="12"/>
  <c r="H125" i="12" s="1"/>
  <c r="I125" i="12" s="1"/>
  <c r="J126" i="25" s="1"/>
  <c r="G129" i="39"/>
  <c r="H129" i="39" s="1"/>
  <c r="I129" i="39" s="1"/>
  <c r="J129" i="39" s="1"/>
  <c r="I130" i="25" s="1"/>
  <c r="G169" i="25"/>
  <c r="G160" i="12"/>
  <c r="H160" i="12" s="1"/>
  <c r="I160" i="12" s="1"/>
  <c r="J161" i="25" s="1"/>
  <c r="G275" i="12"/>
  <c r="H275" i="12" s="1"/>
  <c r="I275" i="12" s="1"/>
  <c r="J276" i="25" s="1"/>
  <c r="G276" i="25"/>
  <c r="G248" i="39"/>
  <c r="H248" i="39" s="1"/>
  <c r="I248" i="39" s="1"/>
  <c r="J248" i="39" s="1"/>
  <c r="I249" i="25" s="1"/>
  <c r="G249" i="25"/>
  <c r="G96" i="39"/>
  <c r="H96" i="39" s="1"/>
  <c r="I96" i="39" s="1"/>
  <c r="J96" i="39" s="1"/>
  <c r="I97" i="25" s="1"/>
  <c r="G96" i="12"/>
  <c r="H96" i="12" s="1"/>
  <c r="G24" i="39"/>
  <c r="H24" i="39" s="1"/>
  <c r="I24" i="39" s="1"/>
  <c r="J24" i="39" s="1"/>
  <c r="I25" i="25" s="1"/>
  <c r="G25" i="25"/>
  <c r="G296" i="25"/>
  <c r="G295" i="12"/>
  <c r="H295" i="12" s="1"/>
  <c r="I295" i="12" s="1"/>
  <c r="J296" i="25" s="1"/>
  <c r="G171" i="12"/>
  <c r="H171" i="12" s="1"/>
  <c r="I171" i="12" s="1"/>
  <c r="J172" i="25" s="1"/>
  <c r="G171" i="39"/>
  <c r="H171" i="39" s="1"/>
  <c r="I171" i="39" s="1"/>
  <c r="J171" i="39" s="1"/>
  <c r="I172" i="25" s="1"/>
  <c r="G47" i="12"/>
  <c r="H47" i="12" s="1"/>
  <c r="I47" i="12" s="1"/>
  <c r="J48" i="25" s="1"/>
  <c r="G47" i="39"/>
  <c r="H47" i="39" s="1"/>
  <c r="I47" i="39" s="1"/>
  <c r="J47" i="39" s="1"/>
  <c r="I48" i="25" s="1"/>
  <c r="G261" i="25"/>
  <c r="G260" i="12"/>
  <c r="H260" i="12" s="1"/>
  <c r="I260" i="12" s="1"/>
  <c r="J261" i="25" s="1"/>
  <c r="G140" i="39"/>
  <c r="H140" i="39" s="1"/>
  <c r="I140" i="39" s="1"/>
  <c r="J140" i="39" s="1"/>
  <c r="I141" i="25" s="1"/>
  <c r="G141" i="25"/>
  <c r="G108" i="12"/>
  <c r="H108" i="12" s="1"/>
  <c r="I108" i="12" s="1"/>
  <c r="J109" i="25" s="1"/>
  <c r="G108" i="39"/>
  <c r="H108" i="39" s="1"/>
  <c r="I108" i="39" s="1"/>
  <c r="J108" i="39" s="1"/>
  <c r="I109" i="25" s="1"/>
  <c r="G113" i="12"/>
  <c r="H113" i="12" s="1"/>
  <c r="I113" i="12" s="1"/>
  <c r="J114" i="25" s="1"/>
  <c r="G113" i="39"/>
  <c r="H113" i="39" s="1"/>
  <c r="I113" i="39" s="1"/>
  <c r="J113" i="39" s="1"/>
  <c r="I114" i="25" s="1"/>
  <c r="G65" i="39"/>
  <c r="H65" i="39" s="1"/>
  <c r="I65" i="39" s="1"/>
  <c r="J65" i="39" s="1"/>
  <c r="I66" i="25" s="1"/>
  <c r="G66" i="25"/>
  <c r="G82" i="12"/>
  <c r="H82" i="12" s="1"/>
  <c r="I82" i="12" s="1"/>
  <c r="J83" i="25" s="1"/>
  <c r="G83" i="25"/>
  <c r="G265" i="39"/>
  <c r="H265" i="39" s="1"/>
  <c r="I265" i="39" s="1"/>
  <c r="J265" i="39" s="1"/>
  <c r="I266" i="25" s="1"/>
  <c r="G235" i="12"/>
  <c r="H235" i="12" s="1"/>
  <c r="I235" i="12" s="1"/>
  <c r="J236" i="25" s="1"/>
  <c r="G49" i="39"/>
  <c r="H49" i="39" s="1"/>
  <c r="I49" i="39" s="1"/>
  <c r="J49" i="39" s="1"/>
  <c r="I50" i="25" s="1"/>
  <c r="G83" i="12"/>
  <c r="H83" i="12" s="1"/>
  <c r="I83" i="12" s="1"/>
  <c r="J84" i="25" s="1"/>
  <c r="G51" i="25"/>
  <c r="G98" i="12"/>
  <c r="H98" i="12" s="1"/>
  <c r="I98" i="12" s="1"/>
  <c r="J99" i="25" s="1"/>
  <c r="G264" i="25"/>
  <c r="G266" i="39"/>
  <c r="H266" i="39" s="1"/>
  <c r="I266" i="39" s="1"/>
  <c r="J266" i="39" s="1"/>
  <c r="I267" i="25" s="1"/>
  <c r="G52" i="25"/>
  <c r="G66" i="39"/>
  <c r="H66" i="39" s="1"/>
  <c r="I66" i="39" s="1"/>
  <c r="J66" i="39" s="1"/>
  <c r="I67" i="25" s="1"/>
  <c r="G233" i="12"/>
  <c r="H233" i="12" s="1"/>
  <c r="I233" i="12" s="1"/>
  <c r="J234" i="25" s="1"/>
  <c r="G34" i="12"/>
  <c r="H34" i="12" s="1"/>
  <c r="I34" i="12" s="1"/>
  <c r="J35" i="25" s="1"/>
  <c r="G251" i="25"/>
  <c r="G114" i="25"/>
  <c r="G79" i="12"/>
  <c r="H79" i="12" s="1"/>
  <c r="I79" i="12" s="1"/>
  <c r="J80" i="25" s="1"/>
  <c r="G297" i="39"/>
  <c r="H297" i="39" s="1"/>
  <c r="I297" i="39" s="1"/>
  <c r="J297" i="39" s="1"/>
  <c r="I298" i="25" s="1"/>
  <c r="G64" i="39"/>
  <c r="H64" i="39" s="1"/>
  <c r="I64" i="39" s="1"/>
  <c r="J64" i="39" s="1"/>
  <c r="I65" i="25" s="1"/>
  <c r="G123" i="12"/>
  <c r="H123" i="12" s="1"/>
  <c r="I123" i="12" s="1"/>
  <c r="J124" i="25" s="1"/>
  <c r="G18" i="25"/>
  <c r="G97" i="12"/>
  <c r="H97" i="12" s="1"/>
  <c r="I97" i="12" s="1"/>
  <c r="J98" i="25" s="1"/>
  <c r="G275" i="39"/>
  <c r="H275" i="39" s="1"/>
  <c r="I275" i="39" s="1"/>
  <c r="J275" i="39" s="1"/>
  <c r="I276" i="25" s="1"/>
  <c r="G111" i="12"/>
  <c r="H111" i="12" s="1"/>
  <c r="I111" i="12" s="1"/>
  <c r="J112" i="25" s="1"/>
  <c r="G296" i="12"/>
  <c r="H296" i="12" s="1"/>
  <c r="I296" i="12" s="1"/>
  <c r="J297" i="25" s="1"/>
  <c r="G174" i="25"/>
  <c r="G115" i="25"/>
  <c r="G115" i="12"/>
  <c r="H115" i="12" s="1"/>
  <c r="I115" i="12" s="1"/>
  <c r="J116" i="25" s="1"/>
  <c r="G219" i="39"/>
  <c r="H219" i="39" s="1"/>
  <c r="I219" i="39" s="1"/>
  <c r="J219" i="39" s="1"/>
  <c r="I220" i="25" s="1"/>
  <c r="G189" i="25"/>
  <c r="G199" i="12"/>
  <c r="H199" i="12" s="1"/>
  <c r="I199" i="12" s="1"/>
  <c r="J200" i="25" s="1"/>
  <c r="G81" i="12"/>
  <c r="H81" i="12" s="1"/>
  <c r="I81" i="12" s="1"/>
  <c r="J82" i="25" s="1"/>
  <c r="G204" i="39"/>
  <c r="H204" i="39" s="1"/>
  <c r="I204" i="39" s="1"/>
  <c r="J204" i="39" s="1"/>
  <c r="I205" i="25" s="1"/>
  <c r="G187" i="39"/>
  <c r="H187" i="39" s="1"/>
  <c r="I187" i="39" s="1"/>
  <c r="J187" i="39" s="1"/>
  <c r="I188" i="25" s="1"/>
  <c r="G234" i="39"/>
  <c r="H234" i="39" s="1"/>
  <c r="I234" i="39" s="1"/>
  <c r="J234" i="39" s="1"/>
  <c r="I235" i="25" s="1"/>
  <c r="G313" i="25"/>
  <c r="G144" i="25"/>
  <c r="G230" i="12"/>
  <c r="H230" i="12" s="1"/>
  <c r="I230" i="12" s="1"/>
  <c r="J231" i="25" s="1"/>
  <c r="G140" i="12"/>
  <c r="H140" i="12" s="1"/>
  <c r="I140" i="12" s="1"/>
  <c r="J141" i="25" s="1"/>
  <c r="G311" i="12"/>
  <c r="H311" i="12" s="1"/>
  <c r="I311" i="12" s="1"/>
  <c r="J312" i="25" s="1"/>
  <c r="G139" i="12"/>
  <c r="H139" i="12" s="1"/>
  <c r="I139" i="12" s="1"/>
  <c r="J140" i="25" s="1"/>
  <c r="G28" i="25"/>
  <c r="G65" i="12"/>
  <c r="H65" i="12" s="1"/>
  <c r="I65" i="12" s="1"/>
  <c r="J66" i="25" s="1"/>
  <c r="G19" i="25"/>
  <c r="G243" i="25"/>
  <c r="G163" i="25"/>
  <c r="G172" i="25"/>
  <c r="G44" i="12"/>
  <c r="H44" i="12" s="1"/>
  <c r="I44" i="12" s="1"/>
  <c r="J45" i="25" s="1"/>
  <c r="G97" i="25"/>
  <c r="G130" i="25"/>
  <c r="G168" i="39"/>
  <c r="H168" i="39" s="1"/>
  <c r="I168" i="39" s="1"/>
  <c r="J168" i="39" s="1"/>
  <c r="I169" i="25" s="1"/>
  <c r="G64" i="25"/>
  <c r="G95" i="12"/>
  <c r="H95" i="12" s="1"/>
  <c r="I95" i="12" s="1"/>
  <c r="J96" i="25" s="1"/>
  <c r="G179" i="12"/>
  <c r="H179" i="12" s="1"/>
  <c r="I179" i="12" s="1"/>
  <c r="J180" i="25" s="1"/>
  <c r="G285" i="25"/>
  <c r="G304" i="12"/>
  <c r="H304" i="12" s="1"/>
  <c r="I304" i="12" s="1"/>
  <c r="J305" i="25" s="1"/>
  <c r="G246" i="12"/>
  <c r="H246" i="12" s="1"/>
  <c r="I246" i="12" s="1"/>
  <c r="J247" i="25" s="1"/>
  <c r="G131" i="39"/>
  <c r="H131" i="39" s="1"/>
  <c r="I131" i="39" s="1"/>
  <c r="J131" i="39" s="1"/>
  <c r="I132" i="25" s="1"/>
  <c r="G309" i="25"/>
  <c r="G125" i="25"/>
  <c r="G10" i="39"/>
  <c r="H10" i="39" s="1"/>
  <c r="I10" i="39" s="1"/>
  <c r="J10" i="39" s="1"/>
  <c r="I11" i="25" s="1"/>
  <c r="G80" i="39"/>
  <c r="H80" i="39" s="1"/>
  <c r="I80" i="39" s="1"/>
  <c r="J80" i="39" s="1"/>
  <c r="I81" i="25" s="1"/>
  <c r="G197" i="39"/>
  <c r="H197" i="39" s="1"/>
  <c r="I197" i="39" s="1"/>
  <c r="J197" i="39" s="1"/>
  <c r="I198" i="25" s="1"/>
  <c r="G28" i="39"/>
  <c r="H28" i="39" s="1"/>
  <c r="I28" i="39" s="1"/>
  <c r="J28" i="39" s="1"/>
  <c r="I29" i="25" s="1"/>
  <c r="G241" i="25"/>
  <c r="G253" i="25"/>
  <c r="G182" i="12"/>
  <c r="H182" i="12" s="1"/>
  <c r="I182" i="12" s="1"/>
  <c r="J183" i="25" s="1"/>
  <c r="G229" i="25"/>
  <c r="G153" i="12"/>
  <c r="H153" i="12" s="1"/>
  <c r="I153" i="12" s="1"/>
  <c r="J154" i="25" s="1"/>
  <c r="G89" i="39"/>
  <c r="H89" i="39" s="1"/>
  <c r="I89" i="39" s="1"/>
  <c r="J89" i="39" s="1"/>
  <c r="I90" i="25" s="1"/>
  <c r="G292" i="39"/>
  <c r="H292" i="39" s="1"/>
  <c r="I292" i="39" s="1"/>
  <c r="J292" i="39" s="1"/>
  <c r="I293" i="25" s="1"/>
  <c r="G68" i="39"/>
  <c r="H68" i="39" s="1"/>
  <c r="I68" i="39" s="1"/>
  <c r="J68" i="39" s="1"/>
  <c r="I69" i="25" s="1"/>
  <c r="G174" i="39"/>
  <c r="H174" i="39" s="1"/>
  <c r="I174" i="39" s="1"/>
  <c r="J174" i="39" s="1"/>
  <c r="I175" i="25" s="1"/>
  <c r="G212" i="39"/>
  <c r="H212" i="39" s="1"/>
  <c r="I212" i="39" s="1"/>
  <c r="J212" i="39" s="1"/>
  <c r="I213" i="25" s="1"/>
  <c r="G43" i="12"/>
  <c r="H43" i="12" s="1"/>
  <c r="I43" i="12" s="1"/>
  <c r="J44" i="25" s="1"/>
  <c r="G49" i="25"/>
  <c r="G17" i="25"/>
  <c r="G16" i="25"/>
  <c r="G268" i="39"/>
  <c r="H268" i="39" s="1"/>
  <c r="I268" i="39" s="1"/>
  <c r="J268" i="39" s="1"/>
  <c r="I269" i="25" s="1"/>
  <c r="G222" i="39"/>
  <c r="H222" i="39" s="1"/>
  <c r="I222" i="39" s="1"/>
  <c r="J222" i="39" s="1"/>
  <c r="I223" i="25" s="1"/>
  <c r="G93" i="39"/>
  <c r="H93" i="39" s="1"/>
  <c r="I93" i="39" s="1"/>
  <c r="J93" i="39" s="1"/>
  <c r="I94" i="25" s="1"/>
  <c r="G216" i="39"/>
  <c r="H216" i="39" s="1"/>
  <c r="I216" i="39" s="1"/>
  <c r="J216" i="39" s="1"/>
  <c r="I217" i="25" s="1"/>
  <c r="G216" i="25"/>
  <c r="G283" i="12"/>
  <c r="H283" i="12" s="1"/>
  <c r="I283" i="12" s="1"/>
  <c r="J284" i="25" s="1"/>
  <c r="G80" i="12"/>
  <c r="H80" i="12" s="1"/>
  <c r="I80" i="12" s="1"/>
  <c r="J81" i="25" s="1"/>
  <c r="G75" i="25"/>
  <c r="G154" i="39"/>
  <c r="H154" i="39" s="1"/>
  <c r="I154" i="39" s="1"/>
  <c r="J154" i="39" s="1"/>
  <c r="I155" i="25" s="1"/>
  <c r="G187" i="25"/>
  <c r="G308" i="25"/>
  <c r="G112" i="12"/>
  <c r="H112" i="12" s="1"/>
  <c r="I112" i="12" s="1"/>
  <c r="J113" i="25" s="1"/>
  <c r="G91" i="25"/>
  <c r="G261" i="12"/>
  <c r="H261" i="12" s="1"/>
  <c r="I261" i="12" s="1"/>
  <c r="J262" i="25" s="1"/>
  <c r="G58" i="12"/>
  <c r="H58" i="12" s="1"/>
  <c r="I58" i="12" s="1"/>
  <c r="J59" i="25" s="1"/>
  <c r="G259" i="25"/>
  <c r="G111" i="25"/>
  <c r="G41" i="39"/>
  <c r="H41" i="39" s="1"/>
  <c r="I41" i="39" s="1"/>
  <c r="J41" i="39" s="1"/>
  <c r="I42" i="25" s="1"/>
  <c r="G156" i="39"/>
  <c r="H156" i="39" s="1"/>
  <c r="I156" i="39" s="1"/>
  <c r="J156" i="39" s="1"/>
  <c r="I157" i="25" s="1"/>
  <c r="G137" i="39"/>
  <c r="H137" i="39" s="1"/>
  <c r="I137" i="39" s="1"/>
  <c r="J137" i="39" s="1"/>
  <c r="I138" i="25" s="1"/>
  <c r="G20" i="39"/>
  <c r="H20" i="39" s="1"/>
  <c r="I20" i="39" s="1"/>
  <c r="J20" i="39" s="1"/>
  <c r="I21" i="25" s="1"/>
  <c r="G15" i="12"/>
  <c r="H15" i="12" s="1"/>
  <c r="I15" i="12" s="1"/>
  <c r="J16" i="25" s="1"/>
  <c r="G293" i="12"/>
  <c r="H293" i="12" s="1"/>
  <c r="I293" i="12" s="1"/>
  <c r="J294" i="25" s="1"/>
  <c r="G163" i="39"/>
  <c r="H163" i="39" s="1"/>
  <c r="I163" i="39" s="1"/>
  <c r="J163" i="39" s="1"/>
  <c r="I164" i="25" s="1"/>
  <c r="G288" i="25"/>
  <c r="G94" i="39"/>
  <c r="H94" i="39" s="1"/>
  <c r="I94" i="39" s="1"/>
  <c r="J94" i="39" s="1"/>
  <c r="I95" i="25" s="1"/>
  <c r="G159" i="25"/>
  <c r="G186" i="25"/>
  <c r="G304" i="39"/>
  <c r="H304" i="39" s="1"/>
  <c r="I304" i="39" s="1"/>
  <c r="J304" i="39" s="1"/>
  <c r="I305" i="25" s="1"/>
  <c r="G284" i="12"/>
  <c r="H284" i="12" s="1"/>
  <c r="I284" i="12" s="1"/>
  <c r="J285" i="25" s="1"/>
  <c r="G104" i="25"/>
  <c r="G232" i="25"/>
  <c r="G310" i="12"/>
  <c r="H310" i="12" s="1"/>
  <c r="I310" i="12" s="1"/>
  <c r="J311" i="25" s="1"/>
  <c r="G227" i="39"/>
  <c r="H227" i="39" s="1"/>
  <c r="I227" i="39" s="1"/>
  <c r="J227" i="39" s="1"/>
  <c r="I228" i="25" s="1"/>
  <c r="G73" i="12"/>
  <c r="H73" i="12" s="1"/>
  <c r="I73" i="12" s="1"/>
  <c r="J74" i="25" s="1"/>
  <c r="G230" i="25"/>
  <c r="G294" i="39"/>
  <c r="H294" i="39" s="1"/>
  <c r="I294" i="39" s="1"/>
  <c r="J294" i="39" s="1"/>
  <c r="I295" i="25" s="1"/>
  <c r="G274" i="39"/>
  <c r="H274" i="39" s="1"/>
  <c r="I274" i="39" s="1"/>
  <c r="J274" i="39" s="1"/>
  <c r="I275" i="25" s="1"/>
  <c r="G78" i="25"/>
  <c r="G215" i="12"/>
  <c r="H215" i="12" s="1"/>
  <c r="I215" i="12" s="1"/>
  <c r="J216" i="25" s="1"/>
  <c r="G58" i="25"/>
  <c r="G300" i="25"/>
  <c r="G11" i="12"/>
  <c r="H11" i="12" s="1"/>
  <c r="I11" i="12" s="1"/>
  <c r="J12" i="25" s="1"/>
  <c r="G62" i="25"/>
  <c r="G181" i="12"/>
  <c r="H181" i="12" s="1"/>
  <c r="I181" i="12" s="1"/>
  <c r="J182" i="25" s="1"/>
  <c r="G306" i="25"/>
  <c r="G135" i="39"/>
  <c r="H135" i="39" s="1"/>
  <c r="I135" i="39" s="1"/>
  <c r="J135" i="39" s="1"/>
  <c r="I136" i="25" s="1"/>
  <c r="G106" i="39"/>
  <c r="H106" i="39" s="1"/>
  <c r="I106" i="39" s="1"/>
  <c r="J106" i="39" s="1"/>
  <c r="I107" i="25" s="1"/>
  <c r="G121" i="39"/>
  <c r="H121" i="39" s="1"/>
  <c r="I121" i="39" s="1"/>
  <c r="J121" i="39" s="1"/>
  <c r="I122" i="25" s="1"/>
  <c r="G240" i="12"/>
  <c r="H240" i="12" s="1"/>
  <c r="I240" i="12" s="1"/>
  <c r="J241" i="25" s="1"/>
  <c r="G154" i="12"/>
  <c r="H154" i="12" s="1"/>
  <c r="I154" i="12" s="1"/>
  <c r="J155" i="25" s="1"/>
  <c r="G121" i="25"/>
  <c r="G100" i="25"/>
  <c r="G186" i="39"/>
  <c r="H186" i="39" s="1"/>
  <c r="I186" i="39" s="1"/>
  <c r="J186" i="39" s="1"/>
  <c r="I187" i="25" s="1"/>
  <c r="G246" i="25"/>
  <c r="G142" i="12"/>
  <c r="H142" i="12" s="1"/>
  <c r="I142" i="12" s="1"/>
  <c r="J143" i="25" s="1"/>
  <c r="G139" i="25"/>
  <c r="G277" i="12"/>
  <c r="H277" i="12" s="1"/>
  <c r="I277" i="12" s="1"/>
  <c r="J278" i="25" s="1"/>
  <c r="G196" i="39"/>
  <c r="H196" i="39" s="1"/>
  <c r="I196" i="39" s="1"/>
  <c r="J196" i="39" s="1"/>
  <c r="I197" i="25" s="1"/>
  <c r="G194" i="12"/>
  <c r="H194" i="12" s="1"/>
  <c r="I194" i="12" s="1"/>
  <c r="J195" i="25" s="1"/>
  <c r="G290" i="39"/>
  <c r="H290" i="39" s="1"/>
  <c r="I290" i="39" s="1"/>
  <c r="J290" i="39" s="1"/>
  <c r="I291" i="25" s="1"/>
  <c r="G144" i="12"/>
  <c r="H144" i="12" s="1"/>
  <c r="I144" i="12" s="1"/>
  <c r="J145" i="25" s="1"/>
  <c r="G16" i="39"/>
  <c r="H16" i="39" s="1"/>
  <c r="I16" i="39" s="1"/>
  <c r="J16" i="39" s="1"/>
  <c r="I17" i="25" s="1"/>
  <c r="G141" i="12"/>
  <c r="H141" i="12" s="1"/>
  <c r="I141" i="12" s="1"/>
  <c r="J142" i="25" s="1"/>
  <c r="G95" i="39"/>
  <c r="H95" i="39" s="1"/>
  <c r="I95" i="39" s="1"/>
  <c r="J95" i="39" s="1"/>
  <c r="I96" i="25" s="1"/>
  <c r="G92" i="39"/>
  <c r="H92" i="39" s="1"/>
  <c r="I92" i="39" s="1"/>
  <c r="J92" i="39" s="1"/>
  <c r="I93" i="25" s="1"/>
  <c r="G106" i="25"/>
  <c r="G138" i="25"/>
  <c r="G159" i="12"/>
  <c r="H159" i="12" s="1"/>
  <c r="I159" i="12" s="1"/>
  <c r="J160" i="25" s="1"/>
  <c r="G29" i="39"/>
  <c r="H29" i="39" s="1"/>
  <c r="I29" i="39" s="1"/>
  <c r="J29" i="39" s="1"/>
  <c r="I30" i="25" s="1"/>
  <c r="G203" i="39"/>
  <c r="H203" i="39" s="1"/>
  <c r="I203" i="39" s="1"/>
  <c r="J203" i="39" s="1"/>
  <c r="I204" i="25" s="1"/>
  <c r="G201" i="39"/>
  <c r="H201" i="39" s="1"/>
  <c r="I201" i="39" s="1"/>
  <c r="J201" i="39" s="1"/>
  <c r="I202" i="25" s="1"/>
  <c r="G56" i="39"/>
  <c r="H56" i="39" s="1"/>
  <c r="I56" i="39" s="1"/>
  <c r="J56" i="39" s="1"/>
  <c r="I57" i="25" s="1"/>
  <c r="G108" i="25"/>
  <c r="G262" i="12"/>
  <c r="H262" i="12" s="1"/>
  <c r="I262" i="12" s="1"/>
  <c r="J263" i="25" s="1"/>
  <c r="G14" i="25"/>
  <c r="G200" i="39"/>
  <c r="H200" i="39" s="1"/>
  <c r="I200" i="39" s="1"/>
  <c r="J200" i="39" s="1"/>
  <c r="I201" i="25" s="1"/>
  <c r="G241" i="12"/>
  <c r="H241" i="12" s="1"/>
  <c r="I241" i="12" s="1"/>
  <c r="J242" i="25" s="1"/>
  <c r="G306" i="39"/>
  <c r="H306" i="39" s="1"/>
  <c r="I306" i="39" s="1"/>
  <c r="J306" i="39" s="1"/>
  <c r="I307" i="25" s="1"/>
  <c r="G67" i="12"/>
  <c r="H67" i="12" s="1"/>
  <c r="I67" i="12" s="1"/>
  <c r="J68" i="25" s="1"/>
  <c r="G166" i="39"/>
  <c r="H166" i="39" s="1"/>
  <c r="I166" i="39" s="1"/>
  <c r="J166" i="39" s="1"/>
  <c r="I167" i="25" s="1"/>
  <c r="G298" i="39"/>
  <c r="H298" i="39" s="1"/>
  <c r="I298" i="39" s="1"/>
  <c r="J298" i="39" s="1"/>
  <c r="I299" i="25" s="1"/>
  <c r="G109" i="12"/>
  <c r="H109" i="12" s="1"/>
  <c r="I109" i="12" s="1"/>
  <c r="J110" i="25" s="1"/>
  <c r="G73" i="39"/>
  <c r="H73" i="39" s="1"/>
  <c r="I73" i="39" s="1"/>
  <c r="J73" i="39" s="1"/>
  <c r="I74" i="25" s="1"/>
  <c r="G258" i="25"/>
  <c r="G27" i="25"/>
  <c r="G10" i="12"/>
  <c r="H10" i="12" s="1"/>
  <c r="I10" i="12" s="1"/>
  <c r="J11" i="25" s="1"/>
  <c r="G199" i="25"/>
  <c r="G45" i="39"/>
  <c r="H45" i="39" s="1"/>
  <c r="I45" i="39" s="1"/>
  <c r="J45" i="39" s="1"/>
  <c r="I46" i="25" s="1"/>
  <c r="G221" i="12"/>
  <c r="H221" i="12" s="1"/>
  <c r="I221" i="12" s="1"/>
  <c r="J222" i="25" s="1"/>
  <c r="G303" i="39"/>
  <c r="H303" i="39" s="1"/>
  <c r="I303" i="39" s="1"/>
  <c r="J303" i="39" s="1"/>
  <c r="I304" i="25" s="1"/>
  <c r="G305" i="12"/>
  <c r="H305" i="12" s="1"/>
  <c r="I305" i="12" s="1"/>
  <c r="J306" i="25" s="1"/>
  <c r="G74" i="39"/>
  <c r="H74" i="39" s="1"/>
  <c r="I74" i="39" s="1"/>
  <c r="J74" i="39" s="1"/>
  <c r="I75" i="25" s="1"/>
  <c r="G247" i="39"/>
  <c r="H247" i="39" s="1"/>
  <c r="I247" i="39" s="1"/>
  <c r="J247" i="39" s="1"/>
  <c r="I248" i="25" s="1"/>
  <c r="G207" i="25"/>
  <c r="G228" i="39"/>
  <c r="H228" i="39" s="1"/>
  <c r="I228" i="39" s="1"/>
  <c r="J228" i="39" s="1"/>
  <c r="I229" i="25" s="1"/>
  <c r="G25" i="39"/>
  <c r="H25" i="39" s="1"/>
  <c r="I25" i="39" s="1"/>
  <c r="J25" i="39" s="1"/>
  <c r="I26" i="25" s="1"/>
  <c r="G63" i="39"/>
  <c r="H63" i="39" s="1"/>
  <c r="I63" i="39" s="1"/>
  <c r="J63" i="39" s="1"/>
  <c r="I64" i="25" s="1"/>
  <c r="G90" i="12"/>
  <c r="H90" i="12" s="1"/>
  <c r="I90" i="12" s="1"/>
  <c r="J91" i="25" s="1"/>
  <c r="G239" i="12"/>
  <c r="H239" i="12" s="1"/>
  <c r="I239" i="12" s="1"/>
  <c r="J240" i="25" s="1"/>
  <c r="G171" i="25"/>
  <c r="G252" i="25"/>
  <c r="G197" i="25"/>
  <c r="G100" i="12"/>
  <c r="H100" i="12" s="1"/>
  <c r="I100" i="12" s="1"/>
  <c r="J101" i="25" s="1"/>
  <c r="G290" i="12"/>
  <c r="H290" i="12" s="1"/>
  <c r="I290" i="12" s="1"/>
  <c r="J291" i="25" s="1"/>
  <c r="G30" i="39"/>
  <c r="H30" i="39" s="1"/>
  <c r="I30" i="39" s="1"/>
  <c r="J30" i="39" s="1"/>
  <c r="I31" i="25" s="1"/>
  <c r="G71" i="12"/>
  <c r="H71" i="12" s="1"/>
  <c r="I71" i="12" s="1"/>
  <c r="J72" i="25" s="1"/>
  <c r="G172" i="39"/>
  <c r="H172" i="39" s="1"/>
  <c r="I172" i="39" s="1"/>
  <c r="J172" i="39" s="1"/>
  <c r="I173" i="25" s="1"/>
  <c r="G157" i="25"/>
  <c r="G279" i="39"/>
  <c r="H279" i="39" s="1"/>
  <c r="I279" i="39" s="1"/>
  <c r="J279" i="39" s="1"/>
  <c r="I280" i="25" s="1"/>
  <c r="G75" i="12"/>
  <c r="H75" i="12" s="1"/>
  <c r="I75" i="12" s="1"/>
  <c r="J76" i="25" s="1"/>
  <c r="G290" i="25"/>
  <c r="G214" i="25"/>
  <c r="G245" i="25"/>
  <c r="G61" i="25"/>
  <c r="G88" i="39"/>
  <c r="H88" i="39" s="1"/>
  <c r="I88" i="39" s="1"/>
  <c r="J88" i="39" s="1"/>
  <c r="I89" i="25" s="1"/>
  <c r="G157" i="39"/>
  <c r="H157" i="39" s="1"/>
  <c r="I157" i="39" s="1"/>
  <c r="J157" i="39" s="1"/>
  <c r="I158" i="25" s="1"/>
  <c r="G214" i="39"/>
  <c r="H214" i="39" s="1"/>
  <c r="I214" i="39" s="1"/>
  <c r="J214" i="39" s="1"/>
  <c r="I215" i="25" s="1"/>
  <c r="G225" i="39"/>
  <c r="H225" i="39" s="1"/>
  <c r="I225" i="39" s="1"/>
  <c r="J225" i="39" s="1"/>
  <c r="I226" i="25" s="1"/>
  <c r="G298" i="12"/>
  <c r="H298" i="12" s="1"/>
  <c r="I298" i="12" s="1"/>
  <c r="J299" i="25" s="1"/>
  <c r="G103" i="39"/>
  <c r="H103" i="39" s="1"/>
  <c r="I103" i="39" s="1"/>
  <c r="J103" i="39" s="1"/>
  <c r="I104" i="25" s="1"/>
  <c r="G231" i="12"/>
  <c r="H231" i="12" s="1"/>
  <c r="I231" i="12" s="1"/>
  <c r="J232" i="25" s="1"/>
  <c r="G109" i="39"/>
  <c r="H109" i="39" s="1"/>
  <c r="I109" i="39" s="1"/>
  <c r="J109" i="39" s="1"/>
  <c r="I110" i="25" s="1"/>
  <c r="G20" i="25"/>
  <c r="G211" i="12"/>
  <c r="H211" i="12" s="1"/>
  <c r="I211" i="12" s="1"/>
  <c r="J212" i="25" s="1"/>
  <c r="G131" i="12"/>
  <c r="H131" i="12" s="1"/>
  <c r="I131" i="12" s="1"/>
  <c r="J132" i="25" s="1"/>
  <c r="G152" i="12"/>
  <c r="H152" i="12" s="1"/>
  <c r="I152" i="12" s="1"/>
  <c r="J153" i="25" s="1"/>
  <c r="G308" i="12"/>
  <c r="H308" i="12" s="1"/>
  <c r="I308" i="12" s="1"/>
  <c r="J309" i="25" s="1"/>
  <c r="G191" i="39"/>
  <c r="H191" i="39" s="1"/>
  <c r="I191" i="39" s="1"/>
  <c r="J191" i="39" s="1"/>
  <c r="I192" i="25" s="1"/>
  <c r="G179" i="39"/>
  <c r="H179" i="39" s="1"/>
  <c r="I179" i="39" s="1"/>
  <c r="J179" i="39" s="1"/>
  <c r="I180" i="25" s="1"/>
  <c r="G299" i="39"/>
  <c r="H299" i="39" s="1"/>
  <c r="I299" i="39" s="1"/>
  <c r="J299" i="39" s="1"/>
  <c r="I300" i="25" s="1"/>
  <c r="G93" i="12"/>
  <c r="H93" i="12" s="1"/>
  <c r="I93" i="12" s="1"/>
  <c r="J94" i="25" s="1"/>
  <c r="G37" i="25"/>
  <c r="G278" i="39"/>
  <c r="H278" i="39" s="1"/>
  <c r="I278" i="39" s="1"/>
  <c r="J278" i="39" s="1"/>
  <c r="I279" i="25" s="1"/>
  <c r="G206" i="12"/>
  <c r="H206" i="12" s="1"/>
  <c r="J206" i="12" s="1"/>
  <c r="G184" i="12"/>
  <c r="H184" i="12" s="1"/>
  <c r="I184" i="12" s="1"/>
  <c r="J185" i="25" s="1"/>
  <c r="G120" i="39"/>
  <c r="H120" i="39" s="1"/>
  <c r="I120" i="39" s="1"/>
  <c r="J120" i="39" s="1"/>
  <c r="I121" i="25" s="1"/>
  <c r="G8" i="39"/>
  <c r="H8" i="39" s="1"/>
  <c r="I8" i="39" s="1"/>
  <c r="J8" i="39" s="1"/>
  <c r="I9" i="25" s="1"/>
  <c r="G245" i="39"/>
  <c r="H245" i="39" s="1"/>
  <c r="I245" i="39" s="1"/>
  <c r="J245" i="39" s="1"/>
  <c r="I246" i="25" s="1"/>
  <c r="G101" i="25"/>
  <c r="G195" i="25"/>
  <c r="G263" i="25"/>
  <c r="G13" i="39"/>
  <c r="H13" i="39" s="1"/>
  <c r="I13" i="39" s="1"/>
  <c r="J13" i="39" s="1"/>
  <c r="I14" i="25" s="1"/>
  <c r="G218" i="25"/>
  <c r="G272" i="12"/>
  <c r="H272" i="12" s="1"/>
  <c r="I272" i="12" s="1"/>
  <c r="J273" i="25" s="1"/>
  <c r="G14" i="39"/>
  <c r="H14" i="39" s="1"/>
  <c r="I14" i="39" s="1"/>
  <c r="J14" i="39" s="1"/>
  <c r="I15" i="25" s="1"/>
  <c r="G200" i="12"/>
  <c r="H200" i="12" s="1"/>
  <c r="I200" i="12" s="1"/>
  <c r="J201" i="25" s="1"/>
  <c r="G132" i="12"/>
  <c r="H132" i="12" s="1"/>
  <c r="I132" i="12" s="1"/>
  <c r="J133" i="25" s="1"/>
  <c r="G89" i="25"/>
  <c r="G29" i="12"/>
  <c r="H29" i="12" s="1"/>
  <c r="I29" i="12" s="1"/>
  <c r="J30" i="25" s="1"/>
  <c r="G215" i="25"/>
  <c r="G164" i="25"/>
  <c r="G242" i="25"/>
  <c r="G24" i="25"/>
  <c r="G67" i="39"/>
  <c r="H67" i="39" s="1"/>
  <c r="I67" i="39" s="1"/>
  <c r="J67" i="39" s="1"/>
  <c r="I68" i="25" s="1"/>
  <c r="G293" i="39"/>
  <c r="H293" i="39" s="1"/>
  <c r="I293" i="39" s="1"/>
  <c r="J293" i="39" s="1"/>
  <c r="I294" i="25" s="1"/>
  <c r="G79" i="25"/>
  <c r="G247" i="25"/>
  <c r="G311" i="25"/>
  <c r="G127" i="39"/>
  <c r="H127" i="39" s="1"/>
  <c r="I127" i="39" s="1"/>
  <c r="J127" i="39" s="1"/>
  <c r="I128" i="25" s="1"/>
  <c r="G19" i="12"/>
  <c r="H19" i="12" s="1"/>
  <c r="I19" i="12" s="1"/>
  <c r="J20" i="25" s="1"/>
  <c r="G9" i="39"/>
  <c r="H9" i="39" s="1"/>
  <c r="I9" i="39" s="1"/>
  <c r="J9" i="39" s="1"/>
  <c r="I10" i="25" s="1"/>
  <c r="G229" i="39"/>
  <c r="H229" i="39" s="1"/>
  <c r="I229" i="39" s="1"/>
  <c r="J229" i="39" s="1"/>
  <c r="I230" i="25" s="1"/>
  <c r="G257" i="39"/>
  <c r="H257" i="39" s="1"/>
  <c r="I257" i="39" s="1"/>
  <c r="J257" i="39" s="1"/>
  <c r="I258" i="25" s="1"/>
  <c r="G287" i="39"/>
  <c r="H287" i="39" s="1"/>
  <c r="I287" i="39" s="1"/>
  <c r="J287" i="39" s="1"/>
  <c r="I288" i="25" s="1"/>
  <c r="G47" i="25"/>
  <c r="G152" i="39"/>
  <c r="H152" i="39" s="1"/>
  <c r="I152" i="39" s="1"/>
  <c r="J152" i="39" s="1"/>
  <c r="I153" i="25" s="1"/>
  <c r="G124" i="39"/>
  <c r="H124" i="39" s="1"/>
  <c r="I124" i="39" s="1"/>
  <c r="J124" i="39" s="1"/>
  <c r="I125" i="25" s="1"/>
  <c r="G191" i="12"/>
  <c r="H191" i="12" s="1"/>
  <c r="I191" i="12" s="1"/>
  <c r="J192" i="25" s="1"/>
  <c r="G202" i="25"/>
  <c r="G26" i="39"/>
  <c r="H26" i="39" s="1"/>
  <c r="I26" i="39" s="1"/>
  <c r="J26" i="39" s="1"/>
  <c r="I27" i="25" s="1"/>
  <c r="G57" i="12"/>
  <c r="H57" i="12" s="1"/>
  <c r="I57" i="12" s="1"/>
  <c r="J58" i="25" s="1"/>
  <c r="G12" i="25"/>
  <c r="G284" i="25"/>
  <c r="G57" i="25"/>
  <c r="G198" i="12"/>
  <c r="H198" i="12" s="1"/>
  <c r="I198" i="12" s="1"/>
  <c r="J199" i="25" s="1"/>
  <c r="G198" i="25"/>
  <c r="G122" i="12"/>
  <c r="H122" i="12" s="1"/>
  <c r="I122" i="12" s="1"/>
  <c r="J123" i="25" s="1"/>
  <c r="G221" i="39"/>
  <c r="H221" i="39" s="1"/>
  <c r="I221" i="39" s="1"/>
  <c r="J221" i="39" s="1"/>
  <c r="I222" i="25" s="1"/>
  <c r="G303" i="12"/>
  <c r="H303" i="12" s="1"/>
  <c r="I303" i="12" s="1"/>
  <c r="J304" i="25" s="1"/>
  <c r="G28" i="12"/>
  <c r="H28" i="12" s="1"/>
  <c r="I28" i="12" s="1"/>
  <c r="J29" i="25" s="1"/>
  <c r="G135" i="12"/>
  <c r="H135" i="12" s="1"/>
  <c r="I135" i="12" s="1"/>
  <c r="J136" i="25" s="1"/>
  <c r="G106" i="12"/>
  <c r="H106" i="12" s="1"/>
  <c r="I106" i="12" s="1"/>
  <c r="J107" i="25" s="1"/>
  <c r="G42" i="39"/>
  <c r="H42" i="39" s="1"/>
  <c r="I42" i="39" s="1"/>
  <c r="J42" i="39" s="1"/>
  <c r="I43" i="25" s="1"/>
  <c r="G36" i="12"/>
  <c r="H36" i="12" s="1"/>
  <c r="I36" i="12" s="1"/>
  <c r="J37" i="25" s="1"/>
  <c r="G248" i="25"/>
  <c r="G278" i="12"/>
  <c r="H278" i="12" s="1"/>
  <c r="I278" i="12" s="1"/>
  <c r="J279" i="25" s="1"/>
  <c r="G121" i="12"/>
  <c r="H121" i="12" s="1"/>
  <c r="I121" i="12" s="1"/>
  <c r="J122" i="25" s="1"/>
  <c r="G185" i="25"/>
  <c r="G252" i="39"/>
  <c r="H252" i="39" s="1"/>
  <c r="I252" i="39" s="1"/>
  <c r="J252" i="39" s="1"/>
  <c r="I253" i="25" s="1"/>
  <c r="G183" i="25"/>
  <c r="G99" i="39"/>
  <c r="H99" i="39" s="1"/>
  <c r="I99" i="39" s="1"/>
  <c r="J99" i="39" s="1"/>
  <c r="I100" i="25" s="1"/>
  <c r="G307" i="39"/>
  <c r="H307" i="39" s="1"/>
  <c r="I307" i="39" s="1"/>
  <c r="J307" i="39" s="1"/>
  <c r="I308" i="25" s="1"/>
  <c r="G8" i="12"/>
  <c r="H8" i="12" s="1"/>
  <c r="I8" i="12" s="1"/>
  <c r="J9" i="25" s="1"/>
  <c r="G26" i="25"/>
  <c r="G142" i="39"/>
  <c r="H142" i="39" s="1"/>
  <c r="I142" i="39" s="1"/>
  <c r="J142" i="39" s="1"/>
  <c r="I143" i="25" s="1"/>
  <c r="G90" i="25"/>
  <c r="G112" i="39"/>
  <c r="H112" i="39" s="1"/>
  <c r="I112" i="39" s="1"/>
  <c r="J112" i="39" s="1"/>
  <c r="I113" i="25" s="1"/>
  <c r="G126" i="39"/>
  <c r="H126" i="39" s="1"/>
  <c r="I126" i="39" s="1"/>
  <c r="J126" i="39" s="1"/>
  <c r="I127" i="25" s="1"/>
  <c r="G32" i="12"/>
  <c r="H32" i="12" s="1"/>
  <c r="I32" i="12" s="1"/>
  <c r="J33" i="25" s="1"/>
  <c r="G278" i="25"/>
  <c r="G262" i="25"/>
  <c r="G293" i="25"/>
  <c r="G59" i="25"/>
  <c r="G185" i="12"/>
  <c r="H185" i="12" s="1"/>
  <c r="I185" i="12" s="1"/>
  <c r="J186" i="25" s="1"/>
  <c r="G251" i="39"/>
  <c r="H251" i="39" s="1"/>
  <c r="I251" i="39" s="1"/>
  <c r="J251" i="39" s="1"/>
  <c r="I252" i="25" s="1"/>
  <c r="G68" i="12"/>
  <c r="H68" i="12" s="1"/>
  <c r="I68" i="12" s="1"/>
  <c r="J69" i="25" s="1"/>
  <c r="G216" i="12"/>
  <c r="H216" i="12" s="1"/>
  <c r="I216" i="12" s="1"/>
  <c r="J217" i="25" s="1"/>
  <c r="G258" i="12"/>
  <c r="H258" i="12" s="1"/>
  <c r="I258" i="12" s="1"/>
  <c r="J259" i="25" s="1"/>
  <c r="G175" i="25"/>
  <c r="G213" i="25"/>
  <c r="G255" i="39"/>
  <c r="H255" i="39" s="1"/>
  <c r="I255" i="39" s="1"/>
  <c r="J255" i="39" s="1"/>
  <c r="I256" i="25" s="1"/>
  <c r="G72" i="25"/>
  <c r="G144" i="39"/>
  <c r="H144" i="39" s="1"/>
  <c r="I144" i="39" s="1"/>
  <c r="J144" i="39" s="1"/>
  <c r="I145" i="25" s="1"/>
  <c r="G48" i="12"/>
  <c r="H48" i="12" s="1"/>
  <c r="J48" i="12" s="1"/>
  <c r="G173" i="25"/>
  <c r="G42" i="25"/>
  <c r="G142" i="25"/>
  <c r="G280" i="25"/>
  <c r="G75" i="39"/>
  <c r="H75" i="39" s="1"/>
  <c r="I75" i="39" s="1"/>
  <c r="J75" i="39" s="1"/>
  <c r="I76" i="25" s="1"/>
  <c r="G289" i="39"/>
  <c r="H289" i="39" s="1"/>
  <c r="I289" i="39" s="1"/>
  <c r="J289" i="39" s="1"/>
  <c r="I290" i="25" s="1"/>
  <c r="G244" i="39"/>
  <c r="H244" i="39" s="1"/>
  <c r="I244" i="39" s="1"/>
  <c r="J244" i="39" s="1"/>
  <c r="I245" i="25" s="1"/>
  <c r="G92" i="12"/>
  <c r="H92" i="12" s="1"/>
  <c r="I92" i="12" s="1"/>
  <c r="J93" i="25" s="1"/>
  <c r="G105" i="39"/>
  <c r="H105" i="39" s="1"/>
  <c r="I105" i="39" s="1"/>
  <c r="J105" i="39" s="1"/>
  <c r="I106" i="25" s="1"/>
  <c r="G21" i="25"/>
  <c r="G232" i="12"/>
  <c r="H232" i="12" s="1"/>
  <c r="I232" i="12" s="1"/>
  <c r="J233" i="25" s="1"/>
  <c r="G125" i="39"/>
  <c r="H125" i="39" s="1"/>
  <c r="I125" i="39" s="1"/>
  <c r="J125" i="39" s="1"/>
  <c r="I126" i="25" s="1"/>
  <c r="G273" i="25"/>
  <c r="G14" i="12"/>
  <c r="H14" i="12" s="1"/>
  <c r="I14" i="12" s="1"/>
  <c r="J15" i="25" s="1"/>
  <c r="G133" i="25"/>
  <c r="G264" i="39"/>
  <c r="H264" i="39" s="1"/>
  <c r="I264" i="39" s="1"/>
  <c r="J264" i="39" s="1"/>
  <c r="I265" i="25" s="1"/>
  <c r="G183" i="12"/>
  <c r="H183" i="12" s="1"/>
  <c r="I183" i="12" s="1"/>
  <c r="J184" i="25" s="1"/>
  <c r="G273" i="12"/>
  <c r="H273" i="12" s="1"/>
  <c r="I273" i="12" s="1"/>
  <c r="J274" i="25" s="1"/>
  <c r="G225" i="12"/>
  <c r="H225" i="12" s="1"/>
  <c r="I225" i="12" s="1"/>
  <c r="J226" i="25" s="1"/>
  <c r="G203" i="12"/>
  <c r="H203" i="12" s="1"/>
  <c r="I203" i="12" s="1"/>
  <c r="J204" i="25" s="1"/>
  <c r="G23" i="39"/>
  <c r="H23" i="39" s="1"/>
  <c r="I23" i="39" s="1"/>
  <c r="J23" i="39" s="1"/>
  <c r="I24" i="25" s="1"/>
  <c r="G78" i="12"/>
  <c r="H78" i="12" s="1"/>
  <c r="I78" i="12" s="1"/>
  <c r="J79" i="25" s="1"/>
  <c r="G294" i="12"/>
  <c r="H294" i="12" s="1"/>
  <c r="I294" i="12" s="1"/>
  <c r="J295" i="25" s="1"/>
  <c r="G46" i="39"/>
  <c r="H46" i="39" s="1"/>
  <c r="I46" i="39" s="1"/>
  <c r="J46" i="39" s="1"/>
  <c r="I47" i="25" s="1"/>
  <c r="G94" i="12"/>
  <c r="H94" i="12" s="1"/>
  <c r="I94" i="12" s="1"/>
  <c r="J95" i="25" s="1"/>
  <c r="G77" i="39"/>
  <c r="H77" i="39" s="1"/>
  <c r="I77" i="39" s="1"/>
  <c r="J77" i="39" s="1"/>
  <c r="I78" i="25" s="1"/>
  <c r="G158" i="39"/>
  <c r="H158" i="39" s="1"/>
  <c r="I158" i="39" s="1"/>
  <c r="J158" i="39" s="1"/>
  <c r="I159" i="25" s="1"/>
  <c r="G61" i="12"/>
  <c r="H61" i="12" s="1"/>
  <c r="I61" i="12" s="1"/>
  <c r="J62" i="25" s="1"/>
  <c r="G45" i="12"/>
  <c r="H45" i="12" s="1"/>
  <c r="I45" i="12" s="1"/>
  <c r="J46" i="25" s="1"/>
  <c r="G107" i="12"/>
  <c r="H107" i="12" s="1"/>
  <c r="I107" i="12" s="1"/>
  <c r="J108" i="25" s="1"/>
  <c r="G223" i="25"/>
  <c r="G63" i="25"/>
  <c r="G126" i="12"/>
  <c r="H126" i="12" s="1"/>
  <c r="I126" i="12" s="1"/>
  <c r="J127" i="25" s="1"/>
  <c r="G33" i="25"/>
  <c r="G239" i="39"/>
  <c r="H239" i="39" s="1"/>
  <c r="I239" i="39" s="1"/>
  <c r="J239" i="39" s="1"/>
  <c r="I240" i="25" s="1"/>
  <c r="G170" i="12"/>
  <c r="H170" i="12" s="1"/>
  <c r="I170" i="12" s="1"/>
  <c r="J171" i="25" s="1"/>
  <c r="G43" i="39"/>
  <c r="H43" i="39" s="1"/>
  <c r="I43" i="39" s="1"/>
  <c r="J43" i="39" s="1"/>
  <c r="I44" i="25" s="1"/>
  <c r="G255" i="12"/>
  <c r="H255" i="12" s="1"/>
  <c r="I255" i="12" s="1"/>
  <c r="J256" i="25" s="1"/>
  <c r="G31" i="25"/>
  <c r="G110" i="39"/>
  <c r="H110" i="39" s="1"/>
  <c r="I110" i="39" s="1"/>
  <c r="J110" i="39" s="1"/>
  <c r="I111" i="25" s="1"/>
  <c r="G309" i="39"/>
  <c r="H309" i="39" s="1"/>
  <c r="I309" i="39" s="1"/>
  <c r="J309" i="39" s="1"/>
  <c r="I310" i="25" s="1"/>
  <c r="G158" i="25"/>
  <c r="H50" i="12"/>
  <c r="I50" i="12" s="1"/>
  <c r="J51" i="25" s="1"/>
  <c r="H248" i="12"/>
  <c r="I248" i="12" s="1"/>
  <c r="J249" i="25" s="1"/>
  <c r="H288" i="12"/>
  <c r="I288" i="12" s="1"/>
  <c r="J289" i="25" s="1"/>
  <c r="H85" i="12"/>
  <c r="I85" i="12" s="1"/>
  <c r="J86" i="25" s="1"/>
  <c r="H24" i="12"/>
  <c r="I24" i="12" s="1"/>
  <c r="J25" i="25" s="1"/>
  <c r="H129" i="12"/>
  <c r="I129" i="12" s="1"/>
  <c r="J130" i="25" s="1"/>
  <c r="H168" i="12"/>
  <c r="I168" i="12" s="1"/>
  <c r="J169" i="25" s="1"/>
  <c r="H251" i="12"/>
  <c r="I251" i="12" s="1"/>
  <c r="J252" i="25" s="1"/>
  <c r="H212" i="12"/>
  <c r="I212" i="12" s="1"/>
  <c r="J213" i="25" s="1"/>
  <c r="H172" i="12"/>
  <c r="I172" i="12" s="1"/>
  <c r="J173" i="25" s="1"/>
  <c r="H16" i="12"/>
  <c r="I16" i="12" s="1"/>
  <c r="J17" i="25" s="1"/>
  <c r="H110" i="12"/>
  <c r="I110" i="12" s="1"/>
  <c r="J111" i="25" s="1"/>
  <c r="H52" i="12"/>
  <c r="I52" i="12" s="1"/>
  <c r="J53" i="25" s="1"/>
  <c r="H105" i="12"/>
  <c r="I105" i="12" s="1"/>
  <c r="J106" i="25" s="1"/>
  <c r="H306" i="12"/>
  <c r="I306" i="12" s="1"/>
  <c r="J307" i="25" s="1"/>
  <c r="H163" i="12"/>
  <c r="I163" i="12" s="1"/>
  <c r="J164" i="25" s="1"/>
  <c r="H103" i="12"/>
  <c r="I103" i="12" s="1"/>
  <c r="J104" i="25" s="1"/>
  <c r="H291" i="12"/>
  <c r="I291" i="12" s="1"/>
  <c r="J292" i="25" s="1"/>
  <c r="H227" i="12"/>
  <c r="I227" i="12" s="1"/>
  <c r="J228" i="25" s="1"/>
  <c r="H21" i="12"/>
  <c r="I21" i="12" s="1"/>
  <c r="J22" i="25" s="1"/>
  <c r="H37" i="12"/>
  <c r="I37" i="12" s="1"/>
  <c r="J38" i="25" s="1"/>
  <c r="H54" i="12"/>
  <c r="I54" i="12" s="1"/>
  <c r="J55" i="25" s="1"/>
  <c r="H74" i="12"/>
  <c r="I74" i="12" s="1"/>
  <c r="J75" i="25" s="1"/>
  <c r="H51" i="12"/>
  <c r="I51" i="12" s="1"/>
  <c r="J52" i="25" s="1"/>
  <c r="H120" i="12"/>
  <c r="I120" i="12" s="1"/>
  <c r="J121" i="25" s="1"/>
  <c r="H87" i="12"/>
  <c r="I87" i="12" s="1"/>
  <c r="J88" i="25" s="1"/>
  <c r="H196" i="12"/>
  <c r="I196" i="12" s="1"/>
  <c r="J197" i="25" s="1"/>
  <c r="H145" i="12"/>
  <c r="I145" i="12" s="1"/>
  <c r="J146" i="25" s="1"/>
  <c r="H119" i="12"/>
  <c r="I119" i="12" s="1"/>
  <c r="J120" i="25" s="1"/>
  <c r="H164" i="12"/>
  <c r="I164" i="12" s="1"/>
  <c r="J165" i="25" s="1"/>
  <c r="H188" i="12"/>
  <c r="I188" i="12" s="1"/>
  <c r="J189" i="25" s="1"/>
  <c r="H269" i="12"/>
  <c r="I269" i="12" s="1"/>
  <c r="J270" i="25" s="1"/>
  <c r="H118" i="12"/>
  <c r="I118" i="12" s="1"/>
  <c r="J119" i="25" s="1"/>
  <c r="H204" i="12"/>
  <c r="I204" i="12" s="1"/>
  <c r="J205" i="25" s="1"/>
  <c r="H234" i="12"/>
  <c r="I234" i="12" s="1"/>
  <c r="J235" i="25" s="1"/>
  <c r="H173" i="12"/>
  <c r="I173" i="12" s="1"/>
  <c r="J174" i="25" s="1"/>
  <c r="H287" i="12"/>
  <c r="I287" i="12" s="1"/>
  <c r="J288" i="25" s="1"/>
  <c r="H114" i="12"/>
  <c r="I114" i="12" s="1"/>
  <c r="J115" i="25" s="1"/>
  <c r="H267" i="12"/>
  <c r="I267" i="12" s="1"/>
  <c r="J268" i="25" s="1"/>
  <c r="H30" i="12"/>
  <c r="I30" i="12" s="1"/>
  <c r="J31" i="25" s="1"/>
  <c r="H41" i="12"/>
  <c r="I41" i="12" s="1"/>
  <c r="J42" i="25" s="1"/>
  <c r="H279" i="12"/>
  <c r="H289" i="12"/>
  <c r="I289" i="12" s="1"/>
  <c r="J290" i="25" s="1"/>
  <c r="H244" i="12"/>
  <c r="I244" i="12" s="1"/>
  <c r="J245" i="25" s="1"/>
  <c r="H20" i="12"/>
  <c r="I20" i="12" s="1"/>
  <c r="J21" i="25" s="1"/>
  <c r="H13" i="12"/>
  <c r="I13" i="12" s="1"/>
  <c r="J14" i="25" s="1"/>
  <c r="H17" i="12"/>
  <c r="I17" i="12" s="1"/>
  <c r="J18" i="25" s="1"/>
  <c r="H70" i="12"/>
  <c r="I70" i="12" s="1"/>
  <c r="J71" i="25" s="1"/>
  <c r="H88" i="12"/>
  <c r="I88" i="12" s="1"/>
  <c r="J89" i="25" s="1"/>
  <c r="H264" i="12"/>
  <c r="I264" i="12" s="1"/>
  <c r="J265" i="25" s="1"/>
  <c r="H157" i="12"/>
  <c r="I157" i="12" s="1"/>
  <c r="J158" i="25" s="1"/>
  <c r="H214" i="12"/>
  <c r="I214" i="12" s="1"/>
  <c r="J215" i="25" s="1"/>
  <c r="H23" i="12"/>
  <c r="I23" i="12" s="1"/>
  <c r="J24" i="25" s="1"/>
  <c r="H166" i="12"/>
  <c r="I166" i="12" s="1"/>
  <c r="J167" i="25" s="1"/>
  <c r="H127" i="12"/>
  <c r="I127" i="12" s="1"/>
  <c r="J128" i="25" s="1"/>
  <c r="H35" i="12"/>
  <c r="I35" i="12" s="1"/>
  <c r="J36" i="25" s="1"/>
  <c r="H229" i="12"/>
  <c r="H257" i="12"/>
  <c r="I257" i="12" s="1"/>
  <c r="J258" i="25" s="1"/>
  <c r="H274" i="12"/>
  <c r="I274" i="12" s="1"/>
  <c r="J275" i="25" s="1"/>
  <c r="H46" i="12"/>
  <c r="I46" i="12" s="1"/>
  <c r="J47" i="25" s="1"/>
  <c r="H124" i="12"/>
  <c r="I124" i="12" s="1"/>
  <c r="J125" i="25" s="1"/>
  <c r="H117" i="12"/>
  <c r="I117" i="12" s="1"/>
  <c r="J118" i="25" s="1"/>
  <c r="H77" i="12"/>
  <c r="I77" i="12" s="1"/>
  <c r="J78" i="25" s="1"/>
  <c r="H201" i="12"/>
  <c r="I201" i="12" s="1"/>
  <c r="J202" i="25" s="1"/>
  <c r="H26" i="12"/>
  <c r="I26" i="12" s="1"/>
  <c r="J27" i="25" s="1"/>
  <c r="H223" i="12"/>
  <c r="I223" i="12" s="1"/>
  <c r="J224" i="25" s="1"/>
  <c r="H299" i="12"/>
  <c r="I299" i="12" s="1"/>
  <c r="J300" i="25" s="1"/>
  <c r="H91" i="12"/>
  <c r="I91" i="12" s="1"/>
  <c r="J92" i="25" s="1"/>
  <c r="H158" i="12"/>
  <c r="I158" i="12" s="1"/>
  <c r="J159" i="25" s="1"/>
  <c r="H56" i="12"/>
  <c r="I56" i="12" s="1"/>
  <c r="J57" i="25" s="1"/>
  <c r="H197" i="12"/>
  <c r="I197" i="12" s="1"/>
  <c r="J198" i="25" s="1"/>
  <c r="H146" i="12"/>
  <c r="I146" i="12" s="1"/>
  <c r="J147" i="25" s="1"/>
  <c r="H219" i="12"/>
  <c r="I219" i="12" s="1"/>
  <c r="J220" i="25" s="1"/>
  <c r="H224" i="12"/>
  <c r="I224" i="12" s="1"/>
  <c r="J225" i="25" s="1"/>
  <c r="H222" i="12"/>
  <c r="I222" i="12" s="1"/>
  <c r="J223" i="25" s="1"/>
  <c r="H42" i="12"/>
  <c r="I42" i="12" s="1"/>
  <c r="J43" i="25" s="1"/>
  <c r="H247" i="12"/>
  <c r="I247" i="12" s="1"/>
  <c r="J248" i="25" s="1"/>
  <c r="H62" i="12"/>
  <c r="I62" i="12" s="1"/>
  <c r="J63" i="25" s="1"/>
  <c r="H252" i="12"/>
  <c r="I252" i="12" s="1"/>
  <c r="J253" i="25" s="1"/>
  <c r="H228" i="12"/>
  <c r="I228" i="12" s="1"/>
  <c r="J229" i="25" s="1"/>
  <c r="H99" i="12"/>
  <c r="H186" i="12"/>
  <c r="I186" i="12" s="1"/>
  <c r="J187" i="25" s="1"/>
  <c r="H307" i="12"/>
  <c r="I307" i="12" s="1"/>
  <c r="J308" i="25" s="1"/>
  <c r="H25" i="12"/>
  <c r="I25" i="12" s="1"/>
  <c r="J26" i="25" s="1"/>
  <c r="H245" i="12"/>
  <c r="I245" i="12" s="1"/>
  <c r="J246" i="25" s="1"/>
  <c r="H89" i="12"/>
  <c r="H63" i="12"/>
  <c r="I63" i="12" s="1"/>
  <c r="J64" i="25" s="1"/>
  <c r="H292" i="12"/>
  <c r="I292" i="12" s="1"/>
  <c r="J293" i="25" s="1"/>
  <c r="H174" i="12"/>
  <c r="I174" i="12" s="1"/>
  <c r="J175" i="25" s="1"/>
  <c r="H27" i="12"/>
  <c r="I27" i="12" s="1"/>
  <c r="J28" i="25" s="1"/>
  <c r="H156" i="12"/>
  <c r="I156" i="12" s="1"/>
  <c r="J157" i="25" s="1"/>
  <c r="H254" i="12"/>
  <c r="I254" i="12" s="1"/>
  <c r="J255" i="25" s="1"/>
  <c r="H297" i="12"/>
  <c r="I297" i="12" s="1"/>
  <c r="J298" i="25" s="1"/>
  <c r="H137" i="12"/>
  <c r="I137" i="12" s="1"/>
  <c r="J138" i="25" s="1"/>
  <c r="H40" i="12"/>
  <c r="I40" i="12" s="1"/>
  <c r="J41" i="25" s="1"/>
  <c r="H22" i="12"/>
  <c r="I22" i="12" s="1"/>
  <c r="J23" i="25" s="1"/>
  <c r="H268" i="12"/>
  <c r="I268" i="12" s="1"/>
  <c r="J269" i="25" s="1"/>
  <c r="H281" i="12"/>
  <c r="I281" i="12" s="1"/>
  <c r="J282" i="25" s="1"/>
  <c r="H243" i="12" l="1"/>
  <c r="I243" i="12" s="1"/>
  <c r="J244" i="25" s="1"/>
  <c r="H169" i="12"/>
  <c r="I169" i="12" s="1"/>
  <c r="J170" i="25" s="1"/>
  <c r="H218" i="12"/>
  <c r="I218" i="12" s="1"/>
  <c r="J219" i="25" s="1"/>
  <c r="C4" i="34"/>
  <c r="C10" i="34" s="1"/>
  <c r="C11" i="34" s="1"/>
  <c r="G314" i="39"/>
  <c r="H314" i="39" s="1"/>
  <c r="G315" i="25"/>
  <c r="G5" i="12"/>
  <c r="H5" i="12" s="1"/>
  <c r="I5" i="12" s="1"/>
  <c r="G6" i="25"/>
  <c r="N254" i="13"/>
  <c r="O254" i="13" s="1"/>
  <c r="N97" i="13"/>
  <c r="O97" i="13" s="1"/>
  <c r="P97" i="13" s="1"/>
  <c r="Q97" i="13" s="1"/>
  <c r="K97" i="25" s="1"/>
  <c r="N100" i="13"/>
  <c r="O100" i="13" s="1"/>
  <c r="P100" i="13" s="1"/>
  <c r="Q100" i="13" s="1"/>
  <c r="K100" i="25" s="1"/>
  <c r="N90" i="13"/>
  <c r="O90" i="13" s="1"/>
  <c r="P90" i="13" s="1"/>
  <c r="Q90" i="13" s="1"/>
  <c r="K90" i="25" s="1"/>
  <c r="N280" i="13"/>
  <c r="O280" i="13" s="1"/>
  <c r="P280" i="13" s="1"/>
  <c r="Q280" i="13" s="1"/>
  <c r="K280" i="25" s="1"/>
  <c r="N285" i="13"/>
  <c r="O285" i="13" s="1"/>
  <c r="P285" i="13" s="1"/>
  <c r="Q285" i="13" s="1"/>
  <c r="K285" i="25" s="1"/>
  <c r="L285" i="25" s="1"/>
  <c r="N285" i="25" s="1"/>
  <c r="J141" i="12"/>
  <c r="J147" i="12"/>
  <c r="N307" i="13"/>
  <c r="O307" i="13" s="1"/>
  <c r="P307" i="13" s="1"/>
  <c r="Q307" i="13" s="1"/>
  <c r="K307" i="25" s="1"/>
  <c r="L307" i="25" s="1"/>
  <c r="N307" i="25" s="1"/>
  <c r="N188" i="13"/>
  <c r="O188" i="13" s="1"/>
  <c r="P188" i="13" s="1"/>
  <c r="Q188" i="13" s="1"/>
  <c r="K188" i="25" s="1"/>
  <c r="L188" i="25" s="1"/>
  <c r="N188" i="25" s="1"/>
  <c r="J281" i="12"/>
  <c r="N233" i="13"/>
  <c r="O233" i="13" s="1"/>
  <c r="P233" i="13" s="1"/>
  <c r="Q233" i="13" s="1"/>
  <c r="K233" i="25" s="1"/>
  <c r="L233" i="25" s="1"/>
  <c r="N233" i="25" s="1"/>
  <c r="N27" i="13"/>
  <c r="O27" i="13" s="1"/>
  <c r="P27" i="13" s="1"/>
  <c r="Q27" i="13" s="1"/>
  <c r="K27" i="25" s="1"/>
  <c r="L27" i="25" s="1"/>
  <c r="N27" i="25" s="1"/>
  <c r="N74" i="13"/>
  <c r="O74" i="13" s="1"/>
  <c r="P74" i="13" s="1"/>
  <c r="Q74" i="13" s="1"/>
  <c r="K74" i="25" s="1"/>
  <c r="L74" i="25" s="1"/>
  <c r="N74" i="25" s="1"/>
  <c r="J277" i="12"/>
  <c r="N56" i="13"/>
  <c r="O56" i="13" s="1"/>
  <c r="P56" i="13" s="1"/>
  <c r="Q56" i="13" s="1"/>
  <c r="K56" i="25" s="1"/>
  <c r="L56" i="25" s="1"/>
  <c r="N56" i="25" s="1"/>
  <c r="N306" i="13"/>
  <c r="O306" i="13" s="1"/>
  <c r="P306" i="13" s="1"/>
  <c r="Q306" i="13" s="1"/>
  <c r="K306" i="25" s="1"/>
  <c r="L306" i="25" s="1"/>
  <c r="N114" i="13"/>
  <c r="O114" i="13" s="1"/>
  <c r="P114" i="13" s="1"/>
  <c r="Q114" i="13" s="1"/>
  <c r="K114" i="25" s="1"/>
  <c r="L114" i="25" s="1"/>
  <c r="N114" i="25" s="1"/>
  <c r="J36" i="12"/>
  <c r="N123" i="13"/>
  <c r="O123" i="13" s="1"/>
  <c r="P123" i="13" s="1"/>
  <c r="Q123" i="13" s="1"/>
  <c r="K123" i="25" s="1"/>
  <c r="L123" i="25" s="1"/>
  <c r="N123" i="25" s="1"/>
  <c r="N95" i="13"/>
  <c r="O95" i="13" s="1"/>
  <c r="P95" i="13" s="1"/>
  <c r="Q95" i="13" s="1"/>
  <c r="K95" i="25" s="1"/>
  <c r="L95" i="25" s="1"/>
  <c r="N95" i="25" s="1"/>
  <c r="J20" i="12"/>
  <c r="J289" i="12"/>
  <c r="J193" i="12"/>
  <c r="J95" i="12"/>
  <c r="N195" i="13"/>
  <c r="O195" i="13" s="1"/>
  <c r="P195" i="13" s="1"/>
  <c r="Q195" i="13" s="1"/>
  <c r="K195" i="25" s="1"/>
  <c r="L195" i="25" s="1"/>
  <c r="N195" i="25" s="1"/>
  <c r="J261" i="12"/>
  <c r="J122" i="12"/>
  <c r="N127" i="13"/>
  <c r="O127" i="13" s="1"/>
  <c r="P127" i="13" s="1"/>
  <c r="Q127" i="13" s="1"/>
  <c r="K127" i="25" s="1"/>
  <c r="L127" i="25" s="1"/>
  <c r="N127" i="25" s="1"/>
  <c r="N249" i="13"/>
  <c r="O249" i="13" s="1"/>
  <c r="P249" i="13" s="1"/>
  <c r="Q249" i="13" s="1"/>
  <c r="K249" i="25" s="1"/>
  <c r="L249" i="25" s="1"/>
  <c r="N249" i="25" s="1"/>
  <c r="N175" i="13"/>
  <c r="O175" i="13" s="1"/>
  <c r="P175" i="13" s="1"/>
  <c r="Q175" i="13" s="1"/>
  <c r="K175" i="25" s="1"/>
  <c r="L175" i="25" s="1"/>
  <c r="J186" i="12"/>
  <c r="N253" i="13"/>
  <c r="O253" i="13" s="1"/>
  <c r="P253" i="13" s="1"/>
  <c r="Q253" i="13" s="1"/>
  <c r="K253" i="25" s="1"/>
  <c r="L253" i="25" s="1"/>
  <c r="N253" i="25" s="1"/>
  <c r="N309" i="13"/>
  <c r="O309" i="13" s="1"/>
  <c r="P309" i="13" s="1"/>
  <c r="Q309" i="13" s="1"/>
  <c r="K309" i="25" s="1"/>
  <c r="L309" i="25" s="1"/>
  <c r="N165" i="13"/>
  <c r="O165" i="13" s="1"/>
  <c r="P165" i="13" s="1"/>
  <c r="Q165" i="13" s="1"/>
  <c r="K165" i="25" s="1"/>
  <c r="L165" i="25" s="1"/>
  <c r="N165" i="25" s="1"/>
  <c r="J82" i="12"/>
  <c r="N98" i="13"/>
  <c r="O98" i="13" s="1"/>
  <c r="P98" i="13" s="1"/>
  <c r="Q98" i="13" s="1"/>
  <c r="K98" i="25" s="1"/>
  <c r="L98" i="25" s="1"/>
  <c r="N98" i="25" s="1"/>
  <c r="N29" i="13"/>
  <c r="O29" i="13" s="1"/>
  <c r="P29" i="13" s="1"/>
  <c r="Q29" i="13" s="1"/>
  <c r="K29" i="25" s="1"/>
  <c r="L29" i="25" s="1"/>
  <c r="N29" i="25" s="1"/>
  <c r="N66" i="13"/>
  <c r="O66" i="13" s="1"/>
  <c r="P66" i="13" s="1"/>
  <c r="Q66" i="13" s="1"/>
  <c r="K66" i="25" s="1"/>
  <c r="L66" i="25" s="1"/>
  <c r="N66" i="25" s="1"/>
  <c r="J251" i="12"/>
  <c r="J255" i="12"/>
  <c r="J27" i="12"/>
  <c r="J282" i="12"/>
  <c r="N26" i="13"/>
  <c r="O26" i="13" s="1"/>
  <c r="P26" i="13" s="1"/>
  <c r="Q26" i="13" s="1"/>
  <c r="K26" i="25" s="1"/>
  <c r="L26" i="25" s="1"/>
  <c r="N26" i="25" s="1"/>
  <c r="J219" i="12"/>
  <c r="N236" i="13"/>
  <c r="O236" i="13" s="1"/>
  <c r="P236" i="13" s="1"/>
  <c r="Q236" i="13" s="1"/>
  <c r="K236" i="25" s="1"/>
  <c r="L236" i="25" s="1"/>
  <c r="N62" i="13"/>
  <c r="O62" i="13" s="1"/>
  <c r="P62" i="13" s="1"/>
  <c r="Q62" i="13" s="1"/>
  <c r="K62" i="25" s="1"/>
  <c r="L62" i="25" s="1"/>
  <c r="N62" i="25" s="1"/>
  <c r="J73" i="12"/>
  <c r="J256" i="12"/>
  <c r="J196" i="12"/>
  <c r="N271" i="13"/>
  <c r="O271" i="13" s="1"/>
  <c r="P271" i="13" s="1"/>
  <c r="Q271" i="13" s="1"/>
  <c r="K271" i="25" s="1"/>
  <c r="L271" i="25" s="1"/>
  <c r="N304" i="13"/>
  <c r="O304" i="13" s="1"/>
  <c r="P304" i="13" s="1"/>
  <c r="Q304" i="13" s="1"/>
  <c r="K304" i="25" s="1"/>
  <c r="L304" i="25" s="1"/>
  <c r="N304" i="25" s="1"/>
  <c r="J236" i="12"/>
  <c r="N20" i="13"/>
  <c r="O20" i="13" s="1"/>
  <c r="P20" i="13" s="1"/>
  <c r="Q20" i="13" s="1"/>
  <c r="K20" i="25" s="1"/>
  <c r="L20" i="25" s="1"/>
  <c r="N20" i="25" s="1"/>
  <c r="J172" i="12"/>
  <c r="N252" i="13"/>
  <c r="O252" i="13" s="1"/>
  <c r="P252" i="13" s="1"/>
  <c r="Q252" i="13" s="1"/>
  <c r="K252" i="25" s="1"/>
  <c r="L252" i="25" s="1"/>
  <c r="N252" i="25" s="1"/>
  <c r="J310" i="12"/>
  <c r="J239" i="12"/>
  <c r="N113" i="13"/>
  <c r="O113" i="13" s="1"/>
  <c r="P113" i="13" s="1"/>
  <c r="Q113" i="13" s="1"/>
  <c r="K113" i="25" s="1"/>
  <c r="L113" i="25" s="1"/>
  <c r="N113" i="25" s="1"/>
  <c r="J238" i="12"/>
  <c r="N179" i="13"/>
  <c r="O179" i="13" s="1"/>
  <c r="P179" i="13" s="1"/>
  <c r="Q179" i="13" s="1"/>
  <c r="K179" i="25" s="1"/>
  <c r="L179" i="25" s="1"/>
  <c r="N179" i="25" s="1"/>
  <c r="J224" i="12"/>
  <c r="J237" i="12"/>
  <c r="J267" i="12"/>
  <c r="N153" i="13"/>
  <c r="O153" i="13" s="1"/>
  <c r="P153" i="13" s="1"/>
  <c r="Q153" i="13" s="1"/>
  <c r="K153" i="25" s="1"/>
  <c r="L153" i="25" s="1"/>
  <c r="N153" i="25" s="1"/>
  <c r="N260" i="13"/>
  <c r="O260" i="13" s="1"/>
  <c r="P260" i="13" s="1"/>
  <c r="Q260" i="13" s="1"/>
  <c r="K260" i="25" s="1"/>
  <c r="L260" i="25" s="1"/>
  <c r="N260" i="25" s="1"/>
  <c r="N273" i="13"/>
  <c r="O273" i="13" s="1"/>
  <c r="P273" i="13" s="1"/>
  <c r="Q273" i="13" s="1"/>
  <c r="K273" i="25" s="1"/>
  <c r="L273" i="25" s="1"/>
  <c r="N273" i="25" s="1"/>
  <c r="N140" i="13"/>
  <c r="O140" i="13" s="1"/>
  <c r="P140" i="13" s="1"/>
  <c r="Q140" i="13" s="1"/>
  <c r="K140" i="25" s="1"/>
  <c r="L140" i="25" s="1"/>
  <c r="N140" i="25" s="1"/>
  <c r="N278" i="13"/>
  <c r="O278" i="13" s="1"/>
  <c r="P278" i="13" s="1"/>
  <c r="Q278" i="13" s="1"/>
  <c r="K278" i="25" s="1"/>
  <c r="L278" i="25" s="1"/>
  <c r="N278" i="25" s="1"/>
  <c r="N120" i="13"/>
  <c r="O120" i="13" s="1"/>
  <c r="P120" i="13" s="1"/>
  <c r="Q120" i="13" s="1"/>
  <c r="K120" i="25" s="1"/>
  <c r="L120" i="25" s="1"/>
  <c r="N120" i="25" s="1"/>
  <c r="J159" i="12"/>
  <c r="N151" i="13"/>
  <c r="O151" i="13" s="1"/>
  <c r="P151" i="13" s="1"/>
  <c r="Q151" i="13" s="1"/>
  <c r="K151" i="25" s="1"/>
  <c r="L151" i="25" s="1"/>
  <c r="N151" i="25" s="1"/>
  <c r="N197" i="13"/>
  <c r="O197" i="13" s="1"/>
  <c r="P197" i="13" s="1"/>
  <c r="Q197" i="13" s="1"/>
  <c r="K197" i="25" s="1"/>
  <c r="L197" i="25" s="1"/>
  <c r="N197" i="25" s="1"/>
  <c r="N234" i="13"/>
  <c r="O234" i="13" s="1"/>
  <c r="P234" i="13" s="1"/>
  <c r="Q234" i="13" s="1"/>
  <c r="K234" i="25" s="1"/>
  <c r="L234" i="25" s="1"/>
  <c r="N234" i="25" s="1"/>
  <c r="N121" i="13"/>
  <c r="O121" i="13" s="1"/>
  <c r="P121" i="13" s="1"/>
  <c r="Q121" i="13" s="1"/>
  <c r="K121" i="25" s="1"/>
  <c r="L121" i="25" s="1"/>
  <c r="N121" i="25" s="1"/>
  <c r="J226" i="12"/>
  <c r="N264" i="13"/>
  <c r="O264" i="13" s="1"/>
  <c r="P264" i="13" s="1"/>
  <c r="Q264" i="13" s="1"/>
  <c r="K264" i="25" s="1"/>
  <c r="L264" i="25" s="1"/>
  <c r="N264" i="25" s="1"/>
  <c r="J92" i="12"/>
  <c r="N283" i="13"/>
  <c r="O283" i="13" s="1"/>
  <c r="P283" i="13" s="1"/>
  <c r="Q283" i="13" s="1"/>
  <c r="K283" i="25" s="1"/>
  <c r="L283" i="25" s="1"/>
  <c r="N283" i="25" s="1"/>
  <c r="J174" i="12"/>
  <c r="N148" i="13"/>
  <c r="O148" i="13" s="1"/>
  <c r="P148" i="13" s="1"/>
  <c r="Q148" i="13" s="1"/>
  <c r="K148" i="25" s="1"/>
  <c r="L148" i="25" s="1"/>
  <c r="N148" i="25" s="1"/>
  <c r="J247" i="12"/>
  <c r="N92" i="13"/>
  <c r="O92" i="13" s="1"/>
  <c r="P92" i="13" s="1"/>
  <c r="Q92" i="13" s="1"/>
  <c r="K92" i="25" s="1"/>
  <c r="L92" i="25" s="1"/>
  <c r="N92" i="25" s="1"/>
  <c r="J274" i="12"/>
  <c r="N265" i="13"/>
  <c r="O265" i="13" s="1"/>
  <c r="P265" i="13" s="1"/>
  <c r="Q265" i="13" s="1"/>
  <c r="K265" i="25" s="1"/>
  <c r="L265" i="25" s="1"/>
  <c r="N265" i="25" s="1"/>
  <c r="J90" i="12"/>
  <c r="J207" i="12"/>
  <c r="J45" i="12"/>
  <c r="J280" i="12"/>
  <c r="J308" i="12"/>
  <c r="N115" i="13"/>
  <c r="O115" i="13" s="1"/>
  <c r="P115" i="13" s="1"/>
  <c r="Q115" i="13" s="1"/>
  <c r="K115" i="25" s="1"/>
  <c r="L115" i="25" s="1"/>
  <c r="N115" i="25" s="1"/>
  <c r="J259" i="12"/>
  <c r="J49" i="12"/>
  <c r="N96" i="13"/>
  <c r="O96" i="13" s="1"/>
  <c r="P96" i="13" s="1"/>
  <c r="Q96" i="13" s="1"/>
  <c r="K96" i="25" s="1"/>
  <c r="L96" i="25" s="1"/>
  <c r="N96" i="25" s="1"/>
  <c r="J139" i="12"/>
  <c r="N101" i="13"/>
  <c r="O101" i="13" s="1"/>
  <c r="P101" i="13" s="1"/>
  <c r="Q101" i="13" s="1"/>
  <c r="K101" i="25" s="1"/>
  <c r="L101" i="25" s="1"/>
  <c r="N101" i="25" s="1"/>
  <c r="N262" i="13"/>
  <c r="O262" i="13" s="1"/>
  <c r="P262" i="13" s="1"/>
  <c r="Q262" i="13" s="1"/>
  <c r="K262" i="25" s="1"/>
  <c r="L262" i="25" s="1"/>
  <c r="N262" i="25" s="1"/>
  <c r="N155" i="13"/>
  <c r="O155" i="13" s="1"/>
  <c r="P155" i="13" s="1"/>
  <c r="Q155" i="13" s="1"/>
  <c r="K155" i="25" s="1"/>
  <c r="L155" i="25" s="1"/>
  <c r="N155" i="25" s="1"/>
  <c r="N257" i="13"/>
  <c r="O257" i="13" s="1"/>
  <c r="P257" i="13" s="1"/>
  <c r="Q257" i="13" s="1"/>
  <c r="K257" i="25" s="1"/>
  <c r="L257" i="25" s="1"/>
  <c r="N257" i="25" s="1"/>
  <c r="J160" i="12"/>
  <c r="N276" i="13"/>
  <c r="O276" i="13" s="1"/>
  <c r="P276" i="13" s="1"/>
  <c r="Q276" i="13" s="1"/>
  <c r="K276" i="25" s="1"/>
  <c r="L276" i="25" s="1"/>
  <c r="N276" i="25" s="1"/>
  <c r="J209" i="12"/>
  <c r="J290" i="12"/>
  <c r="J113" i="12"/>
  <c r="N40" i="13"/>
  <c r="O40" i="13" s="1"/>
  <c r="P40" i="13" s="1"/>
  <c r="Q40" i="13" s="1"/>
  <c r="K40" i="25" s="1"/>
  <c r="L40" i="25" s="1"/>
  <c r="N40" i="25" s="1"/>
  <c r="J208" i="12"/>
  <c r="J54" i="12"/>
  <c r="J28" i="12"/>
  <c r="J190" i="12"/>
  <c r="N237" i="13"/>
  <c r="O237" i="13" s="1"/>
  <c r="P237" i="13" s="1"/>
  <c r="Q237" i="13" s="1"/>
  <c r="K237" i="25" s="1"/>
  <c r="L237" i="25" s="1"/>
  <c r="N237" i="25" s="1"/>
  <c r="J57" i="12"/>
  <c r="N227" i="13"/>
  <c r="O227" i="13" s="1"/>
  <c r="P227" i="13" s="1"/>
  <c r="Q227" i="13" s="1"/>
  <c r="K227" i="25" s="1"/>
  <c r="L227" i="25" s="1"/>
  <c r="N227" i="25" s="1"/>
  <c r="J65" i="12"/>
  <c r="N152" i="13"/>
  <c r="O152" i="13" s="1"/>
  <c r="P152" i="13" s="1"/>
  <c r="J131" i="12"/>
  <c r="J195" i="12"/>
  <c r="J129" i="12"/>
  <c r="N145" i="13"/>
  <c r="O145" i="13" s="1"/>
  <c r="N256" i="13"/>
  <c r="O256" i="13" s="1"/>
  <c r="J266" i="12"/>
  <c r="J109" i="12"/>
  <c r="J268" i="12"/>
  <c r="N93" i="13"/>
  <c r="O93" i="13" s="1"/>
  <c r="P93" i="13" s="1"/>
  <c r="Q93" i="13" s="1"/>
  <c r="K93" i="25" s="1"/>
  <c r="L93" i="25" s="1"/>
  <c r="J202" i="12"/>
  <c r="N187" i="13"/>
  <c r="O187" i="13" s="1"/>
  <c r="P187" i="13" s="1"/>
  <c r="Q187" i="13" s="1"/>
  <c r="K187" i="25" s="1"/>
  <c r="L187" i="25" s="1"/>
  <c r="J62" i="12"/>
  <c r="N248" i="13"/>
  <c r="O248" i="13" s="1"/>
  <c r="P248" i="13" s="1"/>
  <c r="Q248" i="13" s="1"/>
  <c r="K248" i="25" s="1"/>
  <c r="L248" i="25" s="1"/>
  <c r="N248" i="25" s="1"/>
  <c r="J26" i="12"/>
  <c r="N125" i="13"/>
  <c r="O125" i="13" s="1"/>
  <c r="P125" i="13" s="1"/>
  <c r="Q125" i="13" s="1"/>
  <c r="K125" i="25" s="1"/>
  <c r="L125" i="25" s="1"/>
  <c r="N125" i="25" s="1"/>
  <c r="N7" i="13"/>
  <c r="O7" i="13" s="1"/>
  <c r="J264" i="12"/>
  <c r="J111" i="12"/>
  <c r="N21" i="13"/>
  <c r="O21" i="13" s="1"/>
  <c r="P21" i="13" s="1"/>
  <c r="Q21" i="13" s="1"/>
  <c r="K21" i="25" s="1"/>
  <c r="L21" i="25" s="1"/>
  <c r="N21" i="25" s="1"/>
  <c r="N238" i="13"/>
  <c r="O238" i="13" s="1"/>
  <c r="P238" i="13" s="1"/>
  <c r="Q238" i="13" s="1"/>
  <c r="K238" i="25" s="1"/>
  <c r="L238" i="25" s="1"/>
  <c r="N238" i="25" s="1"/>
  <c r="N59" i="13"/>
  <c r="O59" i="13" s="1"/>
  <c r="P59" i="13" s="1"/>
  <c r="Q59" i="13" s="1"/>
  <c r="K59" i="25" s="1"/>
  <c r="L59" i="25" s="1"/>
  <c r="N59" i="25" s="1"/>
  <c r="N91" i="13"/>
  <c r="O91" i="13" s="1"/>
  <c r="P91" i="13" s="1"/>
  <c r="Q91" i="13" s="1"/>
  <c r="K91" i="25" s="1"/>
  <c r="L91" i="25" s="1"/>
  <c r="N91" i="25" s="1"/>
  <c r="N46" i="13"/>
  <c r="O46" i="13" s="1"/>
  <c r="P46" i="13" s="1"/>
  <c r="Q46" i="13" s="1"/>
  <c r="K46" i="25" s="1"/>
  <c r="L46" i="25" s="1"/>
  <c r="N46" i="25" s="1"/>
  <c r="J148" i="12"/>
  <c r="J204" i="12"/>
  <c r="N216" i="13"/>
  <c r="O216" i="13" s="1"/>
  <c r="P216" i="13" s="1"/>
  <c r="Q216" i="13" s="1"/>
  <c r="K216" i="25" s="1"/>
  <c r="L216" i="25" s="1"/>
  <c r="N247" i="13"/>
  <c r="O247" i="13" s="1"/>
  <c r="P247" i="13" s="1"/>
  <c r="Q247" i="13" s="1"/>
  <c r="K247" i="25" s="1"/>
  <c r="L247" i="25" s="1"/>
  <c r="N247" i="25" s="1"/>
  <c r="N160" i="13"/>
  <c r="O160" i="13" s="1"/>
  <c r="P160" i="13" s="1"/>
  <c r="Q160" i="13" s="1"/>
  <c r="K160" i="25" s="1"/>
  <c r="L160" i="25" s="1"/>
  <c r="N160" i="25" s="1"/>
  <c r="N210" i="13"/>
  <c r="O210" i="13" s="1"/>
  <c r="J187" i="12"/>
  <c r="N9" i="13"/>
  <c r="O9" i="13" s="1"/>
  <c r="P9" i="13" s="1"/>
  <c r="Q9" i="13" s="1"/>
  <c r="K9" i="25" s="1"/>
  <c r="L9" i="25" s="1"/>
  <c r="N9" i="25" s="1"/>
  <c r="J39" i="12"/>
  <c r="N209" i="13"/>
  <c r="O209" i="13" s="1"/>
  <c r="P209" i="13" s="1"/>
  <c r="Q209" i="13" s="1"/>
  <c r="K209" i="25" s="1"/>
  <c r="L209" i="25" s="1"/>
  <c r="N209" i="25" s="1"/>
  <c r="N22" i="13"/>
  <c r="O22" i="13" s="1"/>
  <c r="P22" i="13" s="1"/>
  <c r="Q22" i="13" s="1"/>
  <c r="K22" i="25" s="1"/>
  <c r="L22" i="25" s="1"/>
  <c r="N22" i="25" s="1"/>
  <c r="J265" i="12"/>
  <c r="J94" i="12"/>
  <c r="N311" i="13"/>
  <c r="O311" i="13" s="1"/>
  <c r="P311" i="13" s="1"/>
  <c r="Q311" i="13" s="1"/>
  <c r="K311" i="25" s="1"/>
  <c r="L311" i="25" s="1"/>
  <c r="N311" i="25" s="1"/>
  <c r="J168" i="12"/>
  <c r="N130" i="13"/>
  <c r="O130" i="13" s="1"/>
  <c r="P130" i="13" s="1"/>
  <c r="Q130" i="13" s="1"/>
  <c r="K130" i="25" s="1"/>
  <c r="L130" i="25" s="1"/>
  <c r="N130" i="25" s="1"/>
  <c r="J144" i="12"/>
  <c r="J248" i="12"/>
  <c r="J182" i="12"/>
  <c r="N267" i="13"/>
  <c r="O267" i="13" s="1"/>
  <c r="P267" i="13" s="1"/>
  <c r="Q267" i="13" s="1"/>
  <c r="K267" i="25" s="1"/>
  <c r="L267" i="25" s="1"/>
  <c r="N267" i="25" s="1"/>
  <c r="N110" i="13"/>
  <c r="O110" i="13" s="1"/>
  <c r="P110" i="13" s="1"/>
  <c r="Q110" i="13" s="1"/>
  <c r="K110" i="25" s="1"/>
  <c r="L110" i="25" s="1"/>
  <c r="N110" i="25" s="1"/>
  <c r="J273" i="12"/>
  <c r="J297" i="12"/>
  <c r="N272" i="13"/>
  <c r="O272" i="13" s="1"/>
  <c r="P272" i="13" s="1"/>
  <c r="Q272" i="13" s="1"/>
  <c r="K272" i="25" s="1"/>
  <c r="L272" i="25" s="1"/>
  <c r="N272" i="25" s="1"/>
  <c r="N293" i="13"/>
  <c r="O293" i="13" s="1"/>
  <c r="N150" i="13"/>
  <c r="O150" i="13" s="1"/>
  <c r="P150" i="13" s="1"/>
  <c r="Q150" i="13" s="1"/>
  <c r="K150" i="25" s="1"/>
  <c r="L150" i="25" s="1"/>
  <c r="N150" i="25" s="1"/>
  <c r="N167" i="13"/>
  <c r="O167" i="13" s="1"/>
  <c r="P167" i="13" s="1"/>
  <c r="Q167" i="13" s="1"/>
  <c r="K167" i="25" s="1"/>
  <c r="L167" i="25" s="1"/>
  <c r="J157" i="12"/>
  <c r="J47" i="12"/>
  <c r="N274" i="13"/>
  <c r="O274" i="13" s="1"/>
  <c r="P274" i="13" s="1"/>
  <c r="Q274" i="13" s="1"/>
  <c r="K274" i="25" s="1"/>
  <c r="L274" i="25" s="1"/>
  <c r="N274" i="25" s="1"/>
  <c r="N41" i="13"/>
  <c r="O41" i="13" s="1"/>
  <c r="P41" i="13" s="1"/>
  <c r="Q41" i="13" s="1"/>
  <c r="K41" i="25" s="1"/>
  <c r="L41" i="25" s="1"/>
  <c r="N41" i="25" s="1"/>
  <c r="J123" i="12"/>
  <c r="J137" i="12"/>
  <c r="N298" i="13"/>
  <c r="O298" i="13" s="1"/>
  <c r="P298" i="13" s="1"/>
  <c r="Q298" i="13" s="1"/>
  <c r="K298" i="25" s="1"/>
  <c r="L298" i="25" s="1"/>
  <c r="N298" i="25" s="1"/>
  <c r="N28" i="13"/>
  <c r="O28" i="13" s="1"/>
  <c r="P28" i="13" s="1"/>
  <c r="Q28" i="13" s="1"/>
  <c r="K28" i="25" s="1"/>
  <c r="L28" i="25" s="1"/>
  <c r="N28" i="25" s="1"/>
  <c r="N203" i="13"/>
  <c r="O203" i="13" s="1"/>
  <c r="P203" i="13" s="1"/>
  <c r="Q203" i="13" s="1"/>
  <c r="K203" i="25" s="1"/>
  <c r="L203" i="25" s="1"/>
  <c r="N203" i="25" s="1"/>
  <c r="J271" i="12"/>
  <c r="N239" i="13"/>
  <c r="O239" i="13" s="1"/>
  <c r="P239" i="13" s="1"/>
  <c r="Q239" i="13" s="1"/>
  <c r="K239" i="25" s="1"/>
  <c r="L239" i="25" s="1"/>
  <c r="J312" i="12"/>
  <c r="J292" i="12"/>
  <c r="N246" i="13"/>
  <c r="O246" i="13" s="1"/>
  <c r="P246" i="13" s="1"/>
  <c r="Q246" i="13" s="1"/>
  <c r="K246" i="25" s="1"/>
  <c r="L246" i="25" s="1"/>
  <c r="N246" i="25" s="1"/>
  <c r="J199" i="12"/>
  <c r="J197" i="12"/>
  <c r="N159" i="13"/>
  <c r="O159" i="13" s="1"/>
  <c r="P159" i="13" s="1"/>
  <c r="N300" i="13"/>
  <c r="O300" i="13" s="1"/>
  <c r="P300" i="13" s="1"/>
  <c r="Q300" i="13" s="1"/>
  <c r="K300" i="25" s="1"/>
  <c r="L300" i="25" s="1"/>
  <c r="N300" i="25" s="1"/>
  <c r="N224" i="13"/>
  <c r="O224" i="13" s="1"/>
  <c r="J55" i="12"/>
  <c r="J149" i="12"/>
  <c r="N54" i="13"/>
  <c r="O54" i="13" s="1"/>
  <c r="P54" i="13" s="1"/>
  <c r="Q54" i="13" s="1"/>
  <c r="K54" i="25" s="1"/>
  <c r="L54" i="25" s="1"/>
  <c r="N54" i="25" s="1"/>
  <c r="J166" i="12"/>
  <c r="J23" i="12"/>
  <c r="N158" i="13"/>
  <c r="O158" i="13" s="1"/>
  <c r="P158" i="13" s="1"/>
  <c r="Q158" i="13" s="1"/>
  <c r="K158" i="25" s="1"/>
  <c r="L158" i="25" s="1"/>
  <c r="N158" i="25" s="1"/>
  <c r="N48" i="13"/>
  <c r="O48" i="13" s="1"/>
  <c r="P48" i="13" s="1"/>
  <c r="Q48" i="13" s="1"/>
  <c r="K48" i="25" s="1"/>
  <c r="L48" i="25" s="1"/>
  <c r="N48" i="25" s="1"/>
  <c r="N194" i="13"/>
  <c r="O194" i="13" s="1"/>
  <c r="P194" i="13" s="1"/>
  <c r="Q194" i="13" s="1"/>
  <c r="K194" i="25" s="1"/>
  <c r="L194" i="25" s="1"/>
  <c r="J41" i="12"/>
  <c r="N144" i="13"/>
  <c r="O144" i="13" s="1"/>
  <c r="P144" i="13" s="1"/>
  <c r="Q144" i="13" s="1"/>
  <c r="K144" i="25" s="1"/>
  <c r="L144" i="25" s="1"/>
  <c r="N144" i="25" s="1"/>
  <c r="J138" i="12"/>
  <c r="N284" i="13"/>
  <c r="O284" i="13" s="1"/>
  <c r="P284" i="13" s="1"/>
  <c r="Q284" i="13" s="1"/>
  <c r="K284" i="25" s="1"/>
  <c r="L284" i="25" s="1"/>
  <c r="N284" i="25" s="1"/>
  <c r="J231" i="12"/>
  <c r="N68" i="13"/>
  <c r="O68" i="13" s="1"/>
  <c r="P68" i="13" s="1"/>
  <c r="Q68" i="13" s="1"/>
  <c r="K68" i="25" s="1"/>
  <c r="L68" i="25" s="1"/>
  <c r="N68" i="25" s="1"/>
  <c r="N133" i="13"/>
  <c r="O133" i="13" s="1"/>
  <c r="P133" i="13" s="1"/>
  <c r="Q133" i="13" s="1"/>
  <c r="K133" i="25" s="1"/>
  <c r="L133" i="25" s="1"/>
  <c r="N133" i="25" s="1"/>
  <c r="J64" i="12"/>
  <c r="N178" i="13"/>
  <c r="O178" i="13" s="1"/>
  <c r="P178" i="13" s="1"/>
  <c r="Q178" i="13" s="1"/>
  <c r="K178" i="25" s="1"/>
  <c r="L178" i="25" s="1"/>
  <c r="N190" i="13"/>
  <c r="O190" i="13" s="1"/>
  <c r="P190" i="13" s="1"/>
  <c r="Q190" i="13" s="1"/>
  <c r="K190" i="25" s="1"/>
  <c r="L190" i="25" s="1"/>
  <c r="N190" i="25" s="1"/>
  <c r="J118" i="12"/>
  <c r="J300" i="12"/>
  <c r="N189" i="13"/>
  <c r="O189" i="13" s="1"/>
  <c r="P189" i="13" s="1"/>
  <c r="Q189" i="13" s="1"/>
  <c r="K189" i="25" s="1"/>
  <c r="L189" i="25" s="1"/>
  <c r="N189" i="25" s="1"/>
  <c r="N70" i="13"/>
  <c r="O70" i="13" s="1"/>
  <c r="P70" i="13" s="1"/>
  <c r="Q70" i="13" s="1"/>
  <c r="K70" i="25" s="1"/>
  <c r="L70" i="25" s="1"/>
  <c r="N70" i="25" s="1"/>
  <c r="J215" i="12"/>
  <c r="N161" i="13"/>
  <c r="O161" i="13" s="1"/>
  <c r="P161" i="13" s="1"/>
  <c r="Q161" i="13" s="1"/>
  <c r="K161" i="25" s="1"/>
  <c r="L161" i="25" s="1"/>
  <c r="N161" i="25" s="1"/>
  <c r="J97" i="12"/>
  <c r="J249" i="12"/>
  <c r="N146" i="13"/>
  <c r="O146" i="13" s="1"/>
  <c r="P146" i="13" s="1"/>
  <c r="J150" i="12"/>
  <c r="J71" i="12"/>
  <c r="N88" i="13"/>
  <c r="O88" i="13" s="1"/>
  <c r="P88" i="13" s="1"/>
  <c r="Q88" i="13" s="1"/>
  <c r="K88" i="25" s="1"/>
  <c r="L88" i="25" s="1"/>
  <c r="N88" i="25" s="1"/>
  <c r="N296" i="13"/>
  <c r="O296" i="13" s="1"/>
  <c r="P296" i="13" s="1"/>
  <c r="Q296" i="13" s="1"/>
  <c r="K296" i="25" s="1"/>
  <c r="L296" i="25" s="1"/>
  <c r="N296" i="25" s="1"/>
  <c r="J120" i="12"/>
  <c r="J74" i="12"/>
  <c r="J76" i="12"/>
  <c r="N84" i="13"/>
  <c r="O84" i="13" s="1"/>
  <c r="N228" i="13"/>
  <c r="O228" i="13" s="1"/>
  <c r="P228" i="13" s="1"/>
  <c r="Q228" i="13" s="1"/>
  <c r="K228" i="25" s="1"/>
  <c r="L228" i="25" s="1"/>
  <c r="N228" i="25" s="1"/>
  <c r="N303" i="13"/>
  <c r="O303" i="13" s="1"/>
  <c r="P303" i="13" s="1"/>
  <c r="Q303" i="13" s="1"/>
  <c r="K303" i="25" s="1"/>
  <c r="L303" i="25" s="1"/>
  <c r="N303" i="25" s="1"/>
  <c r="N266" i="13"/>
  <c r="O266" i="13" s="1"/>
  <c r="P266" i="13" s="1"/>
  <c r="Q266" i="13" s="1"/>
  <c r="K266" i="25" s="1"/>
  <c r="L266" i="25" s="1"/>
  <c r="N266" i="25" s="1"/>
  <c r="N45" i="13"/>
  <c r="O45" i="13" s="1"/>
  <c r="P45" i="13" s="1"/>
  <c r="Q45" i="13" s="1"/>
  <c r="K45" i="25" s="1"/>
  <c r="L45" i="25" s="1"/>
  <c r="N45" i="25" s="1"/>
  <c r="J52" i="12"/>
  <c r="N302" i="13"/>
  <c r="O302" i="13" s="1"/>
  <c r="P302" i="13" s="1"/>
  <c r="Q302" i="13" s="1"/>
  <c r="K302" i="25" s="1"/>
  <c r="L302" i="25" s="1"/>
  <c r="N302" i="25" s="1"/>
  <c r="N132" i="13"/>
  <c r="O132" i="13" s="1"/>
  <c r="P132" i="13" s="1"/>
  <c r="Q132" i="13" s="1"/>
  <c r="K132" i="25" s="1"/>
  <c r="L132" i="25" s="1"/>
  <c r="J304" i="12"/>
  <c r="J24" i="12"/>
  <c r="N286" i="13"/>
  <c r="O286" i="13" s="1"/>
  <c r="P286" i="13" s="1"/>
  <c r="Q286" i="13" s="1"/>
  <c r="K286" i="25" s="1"/>
  <c r="L286" i="25" s="1"/>
  <c r="N286" i="25" s="1"/>
  <c r="J263" i="12"/>
  <c r="N124" i="13"/>
  <c r="O124" i="13" s="1"/>
  <c r="P124" i="13" s="1"/>
  <c r="Q124" i="13" s="1"/>
  <c r="K124" i="25" s="1"/>
  <c r="L124" i="25" s="1"/>
  <c r="N124" i="25" s="1"/>
  <c r="N200" i="13"/>
  <c r="O200" i="13" s="1"/>
  <c r="P200" i="13" s="1"/>
  <c r="Q200" i="13" s="1"/>
  <c r="K200" i="25" s="1"/>
  <c r="L200" i="25" s="1"/>
  <c r="N200" i="25" s="1"/>
  <c r="J158" i="12"/>
  <c r="J223" i="12"/>
  <c r="N42" i="13"/>
  <c r="O42" i="13" s="1"/>
  <c r="P42" i="13" s="1"/>
  <c r="Q42" i="13" s="1"/>
  <c r="K42" i="25" s="1"/>
  <c r="L42" i="25" s="1"/>
  <c r="N42" i="25" s="1"/>
  <c r="N232" i="13"/>
  <c r="O232" i="13" s="1"/>
  <c r="P232" i="13" s="1"/>
  <c r="Q232" i="13" s="1"/>
  <c r="K232" i="25" s="1"/>
  <c r="L232" i="25" s="1"/>
  <c r="N232" i="25" s="1"/>
  <c r="J132" i="12"/>
  <c r="J177" i="12"/>
  <c r="J189" i="12"/>
  <c r="N301" i="13"/>
  <c r="O301" i="13" s="1"/>
  <c r="J69" i="12"/>
  <c r="N250" i="13"/>
  <c r="O250" i="13" s="1"/>
  <c r="P250" i="13" s="1"/>
  <c r="J83" i="12"/>
  <c r="J302" i="12"/>
  <c r="J44" i="12"/>
  <c r="N25" i="13"/>
  <c r="O25" i="13" s="1"/>
  <c r="P25" i="13" s="1"/>
  <c r="Q25" i="13" s="1"/>
  <c r="K25" i="25" s="1"/>
  <c r="L25" i="25" s="1"/>
  <c r="N25" i="25" s="1"/>
  <c r="J31" i="12"/>
  <c r="J22" i="12"/>
  <c r="J276" i="12"/>
  <c r="J192" i="12"/>
  <c r="N204" i="13"/>
  <c r="O204" i="13" s="1"/>
  <c r="P204" i="13" s="1"/>
  <c r="Q204" i="13" s="1"/>
  <c r="K204" i="25" s="1"/>
  <c r="L204" i="25" s="1"/>
  <c r="N204" i="25" s="1"/>
  <c r="N32" i="13"/>
  <c r="O32" i="13" s="1"/>
  <c r="P32" i="13" s="1"/>
  <c r="N269" i="13"/>
  <c r="O269" i="13" s="1"/>
  <c r="P269" i="13" s="1"/>
  <c r="Q269" i="13" s="1"/>
  <c r="K269" i="25" s="1"/>
  <c r="L269" i="25" s="1"/>
  <c r="N269" i="25" s="1"/>
  <c r="N23" i="13"/>
  <c r="O23" i="13" s="1"/>
  <c r="J232" i="12"/>
  <c r="J254" i="12"/>
  <c r="N277" i="13"/>
  <c r="O277" i="13" s="1"/>
  <c r="P277" i="13" s="1"/>
  <c r="Q277" i="13" s="1"/>
  <c r="K277" i="25" s="1"/>
  <c r="L277" i="25" s="1"/>
  <c r="N277" i="25" s="1"/>
  <c r="J140" i="12"/>
  <c r="J230" i="12"/>
  <c r="N135" i="13"/>
  <c r="O135" i="13" s="1"/>
  <c r="P135" i="13" s="1"/>
  <c r="Q135" i="13" s="1"/>
  <c r="K135" i="25" s="1"/>
  <c r="L135" i="25" s="1"/>
  <c r="N135" i="25" s="1"/>
  <c r="J178" i="12"/>
  <c r="N64" i="13"/>
  <c r="O64" i="13" s="1"/>
  <c r="P64" i="13" s="1"/>
  <c r="Q64" i="13" s="1"/>
  <c r="K64" i="25" s="1"/>
  <c r="L64" i="25" s="1"/>
  <c r="N64" i="25" s="1"/>
  <c r="J245" i="12"/>
  <c r="J252" i="12"/>
  <c r="N193" i="13"/>
  <c r="O193" i="13" s="1"/>
  <c r="P193" i="13" s="1"/>
  <c r="Q193" i="13" s="1"/>
  <c r="K193" i="25" s="1"/>
  <c r="L193" i="25" s="1"/>
  <c r="N193" i="25" s="1"/>
  <c r="N223" i="13"/>
  <c r="O223" i="13" s="1"/>
  <c r="P223" i="13" s="1"/>
  <c r="Q223" i="13" s="1"/>
  <c r="K223" i="25" s="1"/>
  <c r="L223" i="25" s="1"/>
  <c r="N223" i="25" s="1"/>
  <c r="N220" i="13"/>
  <c r="O220" i="13" s="1"/>
  <c r="P220" i="13" s="1"/>
  <c r="Q220" i="13" s="1"/>
  <c r="K220" i="25" s="1"/>
  <c r="L220" i="25" s="1"/>
  <c r="N220" i="25" s="1"/>
  <c r="J146" i="12"/>
  <c r="J91" i="12"/>
  <c r="N202" i="13"/>
  <c r="O202" i="13" s="1"/>
  <c r="N118" i="13"/>
  <c r="O118" i="13" s="1"/>
  <c r="P118" i="13" s="1"/>
  <c r="Q118" i="13" s="1"/>
  <c r="K118" i="25" s="1"/>
  <c r="L118" i="25" s="1"/>
  <c r="N118" i="25" s="1"/>
  <c r="N275" i="13"/>
  <c r="O275" i="13" s="1"/>
  <c r="P275" i="13" s="1"/>
  <c r="Q275" i="13" s="1"/>
  <c r="K275" i="25" s="1"/>
  <c r="L275" i="25" s="1"/>
  <c r="N275" i="25" s="1"/>
  <c r="J257" i="12"/>
  <c r="N36" i="13"/>
  <c r="O36" i="13" s="1"/>
  <c r="J6" i="12"/>
  <c r="N168" i="13"/>
  <c r="O168" i="13" s="1"/>
  <c r="P168" i="13" s="1"/>
  <c r="Q168" i="13" s="1"/>
  <c r="K168" i="25" s="1"/>
  <c r="L168" i="25" s="1"/>
  <c r="N168" i="25" s="1"/>
  <c r="J235" i="12"/>
  <c r="J88" i="12"/>
  <c r="J175" i="12"/>
  <c r="N18" i="13"/>
  <c r="O18" i="13" s="1"/>
  <c r="P18" i="13" s="1"/>
  <c r="Q18" i="13" s="1"/>
  <c r="K18" i="25" s="1"/>
  <c r="L18" i="25" s="1"/>
  <c r="N18" i="25" s="1"/>
  <c r="N14" i="13"/>
  <c r="O14" i="13" s="1"/>
  <c r="N290" i="13"/>
  <c r="O290" i="13" s="1"/>
  <c r="P290" i="13" s="1"/>
  <c r="Q290" i="13" s="1"/>
  <c r="K290" i="25" s="1"/>
  <c r="L290" i="25" s="1"/>
  <c r="N290" i="25" s="1"/>
  <c r="N287" i="13"/>
  <c r="O287" i="13" s="1"/>
  <c r="P287" i="13" s="1"/>
  <c r="Q287" i="13" s="1"/>
  <c r="K287" i="25" s="1"/>
  <c r="L287" i="25" s="1"/>
  <c r="N287" i="25" s="1"/>
  <c r="N31" i="13"/>
  <c r="O31" i="13" s="1"/>
  <c r="P31" i="13" s="1"/>
  <c r="N268" i="13"/>
  <c r="O268" i="13" s="1"/>
  <c r="P268" i="13" s="1"/>
  <c r="Q268" i="13" s="1"/>
  <c r="K268" i="25" s="1"/>
  <c r="L268" i="25" s="1"/>
  <c r="N268" i="25" s="1"/>
  <c r="N85" i="13"/>
  <c r="O85" i="13" s="1"/>
  <c r="P85" i="13" s="1"/>
  <c r="Q85" i="13" s="1"/>
  <c r="K85" i="25" s="1"/>
  <c r="L85" i="25" s="1"/>
  <c r="N85" i="25" s="1"/>
  <c r="N139" i="13"/>
  <c r="O139" i="13" s="1"/>
  <c r="P139" i="13" s="1"/>
  <c r="Q139" i="13" s="1"/>
  <c r="K139" i="25" s="1"/>
  <c r="L139" i="25" s="1"/>
  <c r="N139" i="25" s="1"/>
  <c r="J93" i="12"/>
  <c r="J221" i="12"/>
  <c r="J283" i="12"/>
  <c r="N8" i="13"/>
  <c r="O8" i="13" s="1"/>
  <c r="P8" i="13" s="1"/>
  <c r="Q8" i="13" s="1"/>
  <c r="K8" i="25" s="1"/>
  <c r="L8" i="25" s="1"/>
  <c r="N8" i="25" s="1"/>
  <c r="J152" i="12"/>
  <c r="N129" i="13"/>
  <c r="O129" i="13" s="1"/>
  <c r="N174" i="13"/>
  <c r="O174" i="13" s="1"/>
  <c r="P174" i="13" s="1"/>
  <c r="N50" i="13"/>
  <c r="O50" i="13" s="1"/>
  <c r="P50" i="13" s="1"/>
  <c r="Q50" i="13" s="1"/>
  <c r="K50" i="25" s="1"/>
  <c r="L50" i="25" s="1"/>
  <c r="N297" i="13"/>
  <c r="O297" i="13" s="1"/>
  <c r="P297" i="13" s="1"/>
  <c r="Q297" i="13" s="1"/>
  <c r="K297" i="25" s="1"/>
  <c r="L297" i="25" s="1"/>
  <c r="N297" i="25" s="1"/>
  <c r="J272" i="12"/>
  <c r="J194" i="12"/>
  <c r="J142" i="12"/>
  <c r="J154" i="12"/>
  <c r="N82" i="13"/>
  <c r="O82" i="13" s="1"/>
  <c r="J305" i="12"/>
  <c r="J80" i="12"/>
  <c r="N12" i="13"/>
  <c r="O12" i="13" s="1"/>
  <c r="J119" i="12"/>
  <c r="N10" i="13"/>
  <c r="O10" i="13" s="1"/>
  <c r="N83" i="13"/>
  <c r="O83" i="13" s="1"/>
  <c r="P83" i="13" s="1"/>
  <c r="Q83" i="13" s="1"/>
  <c r="K83" i="25" s="1"/>
  <c r="L83" i="25" s="1"/>
  <c r="N83" i="25" s="1"/>
  <c r="N61" i="13"/>
  <c r="O61" i="13" s="1"/>
  <c r="J217" i="12"/>
  <c r="J213" i="12"/>
  <c r="N166" i="13"/>
  <c r="O166" i="13" s="1"/>
  <c r="N72" i="13"/>
  <c r="O72" i="13" s="1"/>
  <c r="P72" i="13" s="1"/>
  <c r="Q72" i="13" s="1"/>
  <c r="K72" i="25" s="1"/>
  <c r="L72" i="25" s="1"/>
  <c r="N72" i="25" s="1"/>
  <c r="N261" i="13"/>
  <c r="O261" i="13" s="1"/>
  <c r="J216" i="12"/>
  <c r="J233" i="12"/>
  <c r="N186" i="13"/>
  <c r="O186" i="13" s="1"/>
  <c r="J295" i="12"/>
  <c r="N52" i="13"/>
  <c r="O52" i="13" s="1"/>
  <c r="P52" i="13" s="1"/>
  <c r="Q52" i="13" s="1"/>
  <c r="K52" i="25" s="1"/>
  <c r="L52" i="25" s="1"/>
  <c r="N52" i="25" s="1"/>
  <c r="N279" i="13"/>
  <c r="O279" i="13" s="1"/>
  <c r="N75" i="13"/>
  <c r="O75" i="13" s="1"/>
  <c r="N107" i="13"/>
  <c r="O107" i="13" s="1"/>
  <c r="P107" i="13" s="1"/>
  <c r="Q107" i="13" s="1"/>
  <c r="K107" i="25" s="1"/>
  <c r="L107" i="25" s="1"/>
  <c r="N107" i="25" s="1"/>
  <c r="J303" i="12"/>
  <c r="N116" i="13"/>
  <c r="O116" i="13" s="1"/>
  <c r="P116" i="13" s="1"/>
  <c r="Q116" i="13" s="1"/>
  <c r="K116" i="25" s="1"/>
  <c r="L116" i="25" s="1"/>
  <c r="N116" i="25" s="1"/>
  <c r="N38" i="13"/>
  <c r="O38" i="13" s="1"/>
  <c r="N58" i="13"/>
  <c r="O58" i="13" s="1"/>
  <c r="P58" i="13" s="1"/>
  <c r="Q58" i="13" s="1"/>
  <c r="K58" i="25" s="1"/>
  <c r="L58" i="25" s="1"/>
  <c r="N58" i="25" s="1"/>
  <c r="J191" i="12"/>
  <c r="J19" i="12"/>
  <c r="N39" i="13"/>
  <c r="O39" i="13" s="1"/>
  <c r="P39" i="13" s="1"/>
  <c r="Q39" i="13" s="1"/>
  <c r="K39" i="25" s="1"/>
  <c r="L39" i="25" s="1"/>
  <c r="N39" i="25" s="1"/>
  <c r="N164" i="13"/>
  <c r="O164" i="13" s="1"/>
  <c r="P164" i="13" s="1"/>
  <c r="Q164" i="13" s="1"/>
  <c r="K164" i="25" s="1"/>
  <c r="L164" i="25" s="1"/>
  <c r="N164" i="25" s="1"/>
  <c r="N106" i="13"/>
  <c r="O106" i="13" s="1"/>
  <c r="P106" i="13" s="1"/>
  <c r="Q106" i="13" s="1"/>
  <c r="K106" i="25" s="1"/>
  <c r="L106" i="25" s="1"/>
  <c r="N106" i="25" s="1"/>
  <c r="N243" i="13"/>
  <c r="O243" i="13" s="1"/>
  <c r="J151" i="12"/>
  <c r="J16" i="12"/>
  <c r="J301" i="12"/>
  <c r="J294" i="12"/>
  <c r="J211" i="12"/>
  <c r="N305" i="13"/>
  <c r="O305" i="13" s="1"/>
  <c r="P305" i="13" s="1"/>
  <c r="Q305" i="13" s="1"/>
  <c r="K305" i="25" s="1"/>
  <c r="L305" i="25" s="1"/>
  <c r="N305" i="25" s="1"/>
  <c r="J29" i="12"/>
  <c r="J250" i="12"/>
  <c r="J86" i="12"/>
  <c r="J285" i="12"/>
  <c r="J181" i="12"/>
  <c r="J50" i="12"/>
  <c r="N231" i="13"/>
  <c r="O231" i="13" s="1"/>
  <c r="P231" i="13" s="1"/>
  <c r="Q231" i="13" s="1"/>
  <c r="K231" i="25" s="1"/>
  <c r="L231" i="25" s="1"/>
  <c r="N231" i="25" s="1"/>
  <c r="J222" i="12"/>
  <c r="N147" i="13"/>
  <c r="O147" i="13" s="1"/>
  <c r="P147" i="13" s="1"/>
  <c r="Q147" i="13" s="1"/>
  <c r="K147" i="25" s="1"/>
  <c r="L147" i="25" s="1"/>
  <c r="N147" i="25" s="1"/>
  <c r="J117" i="12"/>
  <c r="N258" i="13"/>
  <c r="O258" i="13" s="1"/>
  <c r="P258" i="13" s="1"/>
  <c r="Q258" i="13" s="1"/>
  <c r="K258" i="25" s="1"/>
  <c r="L258" i="25" s="1"/>
  <c r="N258" i="25" s="1"/>
  <c r="J35" i="12"/>
  <c r="J167" i="12"/>
  <c r="N176" i="13"/>
  <c r="O176" i="13" s="1"/>
  <c r="J13" i="12"/>
  <c r="J30" i="12"/>
  <c r="J84" i="12"/>
  <c r="N222" i="13"/>
  <c r="O222" i="13" s="1"/>
  <c r="P222" i="13" s="1"/>
  <c r="Q222" i="13" s="1"/>
  <c r="K222" i="25" s="1"/>
  <c r="L222" i="25" s="1"/>
  <c r="N222" i="25" s="1"/>
  <c r="J7" i="12"/>
  <c r="J173" i="12"/>
  <c r="J296" i="12"/>
  <c r="N143" i="13"/>
  <c r="O143" i="13" s="1"/>
  <c r="P143" i="13" s="1"/>
  <c r="Q143" i="13" s="1"/>
  <c r="K143" i="25" s="1"/>
  <c r="L143" i="25" s="1"/>
  <c r="N143" i="25" s="1"/>
  <c r="J81" i="12"/>
  <c r="J11" i="12"/>
  <c r="J9" i="12"/>
  <c r="N218" i="13"/>
  <c r="O218" i="13" s="1"/>
  <c r="J165" i="12"/>
  <c r="J260" i="12"/>
  <c r="N217" i="13"/>
  <c r="O217" i="13" s="1"/>
  <c r="P217" i="13" s="1"/>
  <c r="J185" i="12"/>
  <c r="J278" i="12"/>
  <c r="J106" i="12"/>
  <c r="J37" i="12"/>
  <c r="N192" i="13"/>
  <c r="O192" i="13" s="1"/>
  <c r="P192" i="13" s="1"/>
  <c r="J163" i="12"/>
  <c r="J242" i="12"/>
  <c r="N17" i="13"/>
  <c r="O17" i="13" s="1"/>
  <c r="P17" i="13" s="1"/>
  <c r="Q17" i="13" s="1"/>
  <c r="K17" i="25" s="1"/>
  <c r="L17" i="25" s="1"/>
  <c r="N17" i="25" s="1"/>
  <c r="N212" i="13"/>
  <c r="O212" i="13" s="1"/>
  <c r="N30" i="13"/>
  <c r="O30" i="13" s="1"/>
  <c r="P30" i="13" s="1"/>
  <c r="Q30" i="13" s="1"/>
  <c r="K30" i="25" s="1"/>
  <c r="L30" i="25" s="1"/>
  <c r="N30" i="25" s="1"/>
  <c r="N87" i="13"/>
  <c r="O87" i="13" s="1"/>
  <c r="P87" i="13" s="1"/>
  <c r="Q87" i="13" s="1"/>
  <c r="K87" i="25" s="1"/>
  <c r="L87" i="25" s="1"/>
  <c r="N87" i="25" s="1"/>
  <c r="N51" i="13"/>
  <c r="O51" i="13" s="1"/>
  <c r="P51" i="13" s="1"/>
  <c r="Q51" i="13" s="1"/>
  <c r="K51" i="25" s="1"/>
  <c r="L51" i="25" s="1"/>
  <c r="N51" i="25" s="1"/>
  <c r="P19" i="13"/>
  <c r="Q19" i="13" s="1"/>
  <c r="K19" i="25" s="1"/>
  <c r="J229" i="12"/>
  <c r="I229" i="12"/>
  <c r="J230" i="25" s="1"/>
  <c r="J99" i="12"/>
  <c r="I99" i="12"/>
  <c r="J100" i="25" s="1"/>
  <c r="J279" i="12"/>
  <c r="I279" i="12"/>
  <c r="J280" i="25" s="1"/>
  <c r="J183" i="12"/>
  <c r="N15" i="13"/>
  <c r="O15" i="13" s="1"/>
  <c r="J203" i="12"/>
  <c r="J225" i="12"/>
  <c r="N282" i="13"/>
  <c r="O282" i="13" s="1"/>
  <c r="N184" i="13"/>
  <c r="O184" i="13" s="1"/>
  <c r="J40" i="12"/>
  <c r="J14" i="12"/>
  <c r="N138" i="13"/>
  <c r="O138" i="13" s="1"/>
  <c r="J171" i="12"/>
  <c r="N255" i="13"/>
  <c r="O255" i="13" s="1"/>
  <c r="N157" i="13"/>
  <c r="O157" i="13" s="1"/>
  <c r="N141" i="13"/>
  <c r="O141" i="13" s="1"/>
  <c r="J130" i="12"/>
  <c r="J134" i="12"/>
  <c r="N206" i="13"/>
  <c r="O206" i="13" s="1"/>
  <c r="I205" i="12"/>
  <c r="J206" i="25" s="1"/>
  <c r="N313" i="13"/>
  <c r="O313" i="13" s="1"/>
  <c r="J66" i="12"/>
  <c r="J63" i="12"/>
  <c r="J89" i="12"/>
  <c r="I89" i="12"/>
  <c r="J90" i="25" s="1"/>
  <c r="J25" i="12"/>
  <c r="J307" i="12"/>
  <c r="J228" i="12"/>
  <c r="N63" i="13"/>
  <c r="O63" i="13" s="1"/>
  <c r="N43" i="13"/>
  <c r="O43" i="13" s="1"/>
  <c r="N225" i="13"/>
  <c r="O225" i="13" s="1"/>
  <c r="J98" i="12"/>
  <c r="N198" i="13"/>
  <c r="O198" i="13" s="1"/>
  <c r="N57" i="13"/>
  <c r="O57" i="13" s="1"/>
  <c r="J299" i="12"/>
  <c r="J201" i="12"/>
  <c r="N78" i="13"/>
  <c r="O78" i="13" s="1"/>
  <c r="J124" i="12"/>
  <c r="N47" i="13"/>
  <c r="O47" i="13" s="1"/>
  <c r="N230" i="13"/>
  <c r="O230" i="13" s="1"/>
  <c r="J127" i="12"/>
  <c r="J53" i="12"/>
  <c r="J102" i="12"/>
  <c r="N24" i="13"/>
  <c r="O24" i="13" s="1"/>
  <c r="N215" i="13"/>
  <c r="O215" i="13" s="1"/>
  <c r="N89" i="13"/>
  <c r="O89" i="13" s="1"/>
  <c r="J70" i="12"/>
  <c r="N112" i="13"/>
  <c r="O112" i="13" s="1"/>
  <c r="N73" i="13"/>
  <c r="O73" i="13" s="1"/>
  <c r="I72" i="12"/>
  <c r="J73" i="25" s="1"/>
  <c r="J17" i="12"/>
  <c r="N105" i="13"/>
  <c r="O105" i="13" s="1"/>
  <c r="N245" i="13"/>
  <c r="O245" i="13" s="1"/>
  <c r="N80" i="13"/>
  <c r="O80" i="13" s="1"/>
  <c r="J286" i="12"/>
  <c r="J311" i="12"/>
  <c r="J143" i="12"/>
  <c r="J155" i="12"/>
  <c r="J58" i="12"/>
  <c r="J170" i="12"/>
  <c r="N208" i="13"/>
  <c r="O208" i="13" s="1"/>
  <c r="N185" i="13"/>
  <c r="O185" i="13" s="1"/>
  <c r="N94" i="13"/>
  <c r="O94" i="13" s="1"/>
  <c r="N134" i="13"/>
  <c r="O134" i="13" s="1"/>
  <c r="J61" i="12"/>
  <c r="N211" i="13"/>
  <c r="O211" i="13" s="1"/>
  <c r="N281" i="13"/>
  <c r="O281" i="13" s="1"/>
  <c r="N11" i="13"/>
  <c r="O11" i="13" s="1"/>
  <c r="J114" i="12"/>
  <c r="J287" i="12"/>
  <c r="J128" i="12"/>
  <c r="N149" i="13"/>
  <c r="O149" i="13" s="1"/>
  <c r="N79" i="13"/>
  <c r="O79" i="13" s="1"/>
  <c r="J67" i="12"/>
  <c r="J59" i="12"/>
  <c r="N65" i="13"/>
  <c r="O65" i="13" s="1"/>
  <c r="N102" i="13"/>
  <c r="O102" i="13" s="1"/>
  <c r="J100" i="12"/>
  <c r="N181" i="13"/>
  <c r="O181" i="13" s="1"/>
  <c r="J234" i="12"/>
  <c r="N205" i="13"/>
  <c r="O205" i="13" s="1"/>
  <c r="N154" i="13"/>
  <c r="O154" i="13" s="1"/>
  <c r="N119" i="13"/>
  <c r="O119" i="13" s="1"/>
  <c r="J269" i="12"/>
  <c r="J188" i="12"/>
  <c r="J33" i="12"/>
  <c r="N81" i="13"/>
  <c r="O81" i="13" s="1"/>
  <c r="J116" i="12"/>
  <c r="J164" i="12"/>
  <c r="N221" i="13"/>
  <c r="O221" i="13" s="1"/>
  <c r="J246" i="12"/>
  <c r="J241" i="12"/>
  <c r="J275" i="12"/>
  <c r="J15" i="12"/>
  <c r="J60" i="12"/>
  <c r="J125" i="12"/>
  <c r="J145" i="12"/>
  <c r="J162" i="12"/>
  <c r="I162" i="12"/>
  <c r="J163" i="25" s="1"/>
  <c r="N214" i="13"/>
  <c r="O214" i="13" s="1"/>
  <c r="J75" i="12"/>
  <c r="N142" i="13"/>
  <c r="O142" i="13" s="1"/>
  <c r="J262" i="12"/>
  <c r="N291" i="13"/>
  <c r="O291" i="13" s="1"/>
  <c r="J43" i="12"/>
  <c r="N259" i="13"/>
  <c r="O259" i="13" s="1"/>
  <c r="J87" i="12"/>
  <c r="J68" i="12"/>
  <c r="J270" i="12"/>
  <c r="J32" i="12"/>
  <c r="J8" i="12"/>
  <c r="J161" i="12"/>
  <c r="J51" i="12"/>
  <c r="N122" i="13"/>
  <c r="O122" i="13" s="1"/>
  <c r="N37" i="13"/>
  <c r="O37" i="13" s="1"/>
  <c r="N55" i="13"/>
  <c r="O55" i="13" s="1"/>
  <c r="N136" i="13"/>
  <c r="O136" i="13" s="1"/>
  <c r="N191" i="13"/>
  <c r="O191" i="13" s="1"/>
  <c r="J136" i="12"/>
  <c r="J115" i="12"/>
  <c r="N199" i="13"/>
  <c r="O199" i="13" s="1"/>
  <c r="J21" i="12"/>
  <c r="J313" i="12"/>
  <c r="N77" i="13"/>
  <c r="O77" i="13" s="1"/>
  <c r="J12" i="12"/>
  <c r="J227" i="12"/>
  <c r="N292" i="13"/>
  <c r="O292" i="13" s="1"/>
  <c r="J38" i="12"/>
  <c r="J103" i="12"/>
  <c r="J306" i="12"/>
  <c r="J96" i="12"/>
  <c r="I96" i="12"/>
  <c r="J97" i="25" s="1"/>
  <c r="J105" i="12"/>
  <c r="J309" i="12"/>
  <c r="N53" i="13"/>
  <c r="O53" i="13" s="1"/>
  <c r="J110" i="12"/>
  <c r="N173" i="13"/>
  <c r="O173" i="13" s="1"/>
  <c r="N213" i="13"/>
  <c r="O213" i="13" s="1"/>
  <c r="J126" i="12"/>
  <c r="J107" i="12"/>
  <c r="N295" i="13"/>
  <c r="O295" i="13" s="1"/>
  <c r="N177" i="13"/>
  <c r="O177" i="13" s="1"/>
  <c r="N196" i="13"/>
  <c r="O196" i="13" s="1"/>
  <c r="N299" i="13"/>
  <c r="O299" i="13" s="1"/>
  <c r="N169" i="13"/>
  <c r="O169" i="13" s="1"/>
  <c r="J200" i="12"/>
  <c r="N109" i="13"/>
  <c r="O109" i="13" s="1"/>
  <c r="N251" i="13"/>
  <c r="O251" i="13" s="1"/>
  <c r="N35" i="13"/>
  <c r="O35" i="13" s="1"/>
  <c r="N240" i="13"/>
  <c r="O240" i="13" s="1"/>
  <c r="J85" i="12"/>
  <c r="J112" i="12"/>
  <c r="N289" i="13"/>
  <c r="O289" i="13" s="1"/>
  <c r="N183" i="13"/>
  <c r="O183" i="13" s="1"/>
  <c r="N241" i="13"/>
  <c r="O241" i="13" s="1"/>
  <c r="N182" i="13"/>
  <c r="O182" i="13" s="1"/>
  <c r="J179" i="12"/>
  <c r="J284" i="12"/>
  <c r="N294" i="13"/>
  <c r="O294" i="13" s="1"/>
  <c r="N49" i="13"/>
  <c r="O49" i="13" s="1"/>
  <c r="I48" i="12"/>
  <c r="J49" i="25" s="1"/>
  <c r="P254" i="13"/>
  <c r="Q254" i="13" s="1"/>
  <c r="K254" i="25" s="1"/>
  <c r="J18" i="12"/>
  <c r="I18" i="12"/>
  <c r="J19" i="25" s="1"/>
  <c r="J253" i="12"/>
  <c r="I253" i="12"/>
  <c r="J254" i="25" s="1"/>
  <c r="E38" i="48"/>
  <c r="I6" i="25"/>
  <c r="J314" i="39"/>
  <c r="N226" i="13"/>
  <c r="O226" i="13" s="1"/>
  <c r="N172" i="13"/>
  <c r="O172" i="13" s="1"/>
  <c r="J156" i="12"/>
  <c r="N131" i="13"/>
  <c r="O131" i="13" s="1"/>
  <c r="N67" i="13"/>
  <c r="O67" i="13" s="1"/>
  <c r="N308" i="13"/>
  <c r="O308" i="13" s="1"/>
  <c r="N229" i="13"/>
  <c r="O229" i="13" s="1"/>
  <c r="J42" i="12"/>
  <c r="N99" i="13"/>
  <c r="O99" i="13" s="1"/>
  <c r="J56" i="12"/>
  <c r="J77" i="12"/>
  <c r="J46" i="12"/>
  <c r="N128" i="13"/>
  <c r="O128" i="13" s="1"/>
  <c r="N103" i="13"/>
  <c r="O103" i="13" s="1"/>
  <c r="J214" i="12"/>
  <c r="N71" i="13"/>
  <c r="O71" i="13" s="1"/>
  <c r="J104" i="12"/>
  <c r="J244" i="12"/>
  <c r="J79" i="12"/>
  <c r="N312" i="13"/>
  <c r="O312" i="13" s="1"/>
  <c r="N156" i="13"/>
  <c r="O156" i="13" s="1"/>
  <c r="N171" i="13"/>
  <c r="O171" i="13" s="1"/>
  <c r="J184" i="12"/>
  <c r="N207" i="13"/>
  <c r="O207" i="13" s="1"/>
  <c r="I206" i="12"/>
  <c r="J207" i="25" s="1"/>
  <c r="J133" i="12"/>
  <c r="J210" i="12"/>
  <c r="J10" i="12"/>
  <c r="N288" i="13"/>
  <c r="O288" i="13" s="1"/>
  <c r="J78" i="12"/>
  <c r="N60" i="13"/>
  <c r="O60" i="13" s="1"/>
  <c r="J101" i="12"/>
  <c r="J180" i="12"/>
  <c r="N235" i="13"/>
  <c r="O235" i="13" s="1"/>
  <c r="J153" i="12"/>
  <c r="N270" i="13"/>
  <c r="O270" i="13" s="1"/>
  <c r="N34" i="13"/>
  <c r="O34" i="13" s="1"/>
  <c r="N117" i="13"/>
  <c r="O117" i="13" s="1"/>
  <c r="J220" i="12"/>
  <c r="N242" i="13"/>
  <c r="O242" i="13" s="1"/>
  <c r="N16" i="13"/>
  <c r="O16" i="13" s="1"/>
  <c r="N126" i="13"/>
  <c r="O126" i="13" s="1"/>
  <c r="P163" i="13"/>
  <c r="Q163" i="13" s="1"/>
  <c r="K163" i="25" s="1"/>
  <c r="N76" i="13"/>
  <c r="O76" i="13" s="1"/>
  <c r="N263" i="13"/>
  <c r="O263" i="13" s="1"/>
  <c r="N44" i="13"/>
  <c r="O44" i="13" s="1"/>
  <c r="J258" i="12"/>
  <c r="N69" i="13"/>
  <c r="O69" i="13" s="1"/>
  <c r="N33" i="13"/>
  <c r="O33" i="13" s="1"/>
  <c r="N162" i="13"/>
  <c r="O162" i="13" s="1"/>
  <c r="J121" i="12"/>
  <c r="J135" i="12"/>
  <c r="N137" i="13"/>
  <c r="O137" i="13" s="1"/>
  <c r="J198" i="12"/>
  <c r="N314" i="13"/>
  <c r="O314" i="13" s="1"/>
  <c r="N13" i="13"/>
  <c r="O13" i="13" s="1"/>
  <c r="J291" i="12"/>
  <c r="N104" i="13"/>
  <c r="O104" i="13" s="1"/>
  <c r="N310" i="13"/>
  <c r="O310" i="13" s="1"/>
  <c r="N111" i="13"/>
  <c r="O111" i="13" s="1"/>
  <c r="J212" i="12"/>
  <c r="N108" i="13"/>
  <c r="O108" i="13" s="1"/>
  <c r="J176" i="12"/>
  <c r="J298" i="12"/>
  <c r="N201" i="13"/>
  <c r="O201" i="13" s="1"/>
  <c r="J108" i="12"/>
  <c r="J34" i="12"/>
  <c r="N86" i="13"/>
  <c r="O86" i="13" s="1"/>
  <c r="J288" i="12"/>
  <c r="J240" i="12"/>
  <c r="N180" i="13"/>
  <c r="O180" i="13" s="1"/>
  <c r="J293" i="12"/>
  <c r="J243" i="12" l="1"/>
  <c r="J169" i="12"/>
  <c r="N170" i="13"/>
  <c r="O170" i="13" s="1"/>
  <c r="N244" i="13"/>
  <c r="O244" i="13" s="1"/>
  <c r="P170" i="13"/>
  <c r="Q170" i="13" s="1"/>
  <c r="K170" i="25" s="1"/>
  <c r="L170" i="25" s="1"/>
  <c r="N170" i="25" s="1"/>
  <c r="P244" i="13"/>
  <c r="Q244" i="13" s="1"/>
  <c r="K244" i="25" s="1"/>
  <c r="L244" i="25" s="1"/>
  <c r="N244" i="25" s="1"/>
  <c r="J218" i="12"/>
  <c r="N219" i="13"/>
  <c r="O219" i="13" s="1"/>
  <c r="D10" i="34"/>
  <c r="D11" i="34" s="1"/>
  <c r="L90" i="25"/>
  <c r="N90" i="25" s="1"/>
  <c r="R90" i="13"/>
  <c r="S90" i="13" s="1"/>
  <c r="N93" i="25"/>
  <c r="N50" i="25"/>
  <c r="N271" i="25"/>
  <c r="N194" i="25"/>
  <c r="N167" i="25"/>
  <c r="N187" i="25"/>
  <c r="N236" i="25"/>
  <c r="N175" i="25"/>
  <c r="N306" i="25"/>
  <c r="N178" i="25"/>
  <c r="N132" i="25"/>
  <c r="N239" i="25"/>
  <c r="N216" i="25"/>
  <c r="N309" i="25"/>
  <c r="R264" i="13"/>
  <c r="S264" i="13" s="1"/>
  <c r="R280" i="13"/>
  <c r="S280" i="13" s="1"/>
  <c r="R18" i="13"/>
  <c r="S18" i="13" s="1"/>
  <c r="R74" i="13"/>
  <c r="S74" i="13" s="1"/>
  <c r="R306" i="13"/>
  <c r="S306" i="13" s="1"/>
  <c r="R265" i="13"/>
  <c r="S265" i="13" s="1"/>
  <c r="R175" i="13"/>
  <c r="S175" i="13" s="1"/>
  <c r="R153" i="13"/>
  <c r="S153" i="13" s="1"/>
  <c r="R123" i="13"/>
  <c r="S123" i="13" s="1"/>
  <c r="R302" i="13"/>
  <c r="S302" i="13" s="1"/>
  <c r="Q146" i="13"/>
  <c r="K146" i="25" s="1"/>
  <c r="L146" i="25" s="1"/>
  <c r="N146" i="25" s="1"/>
  <c r="R146" i="13"/>
  <c r="S146" i="13" s="1"/>
  <c r="R298" i="13"/>
  <c r="S298" i="13" s="1"/>
  <c r="R132" i="13"/>
  <c r="S132" i="13" s="1"/>
  <c r="R239" i="13"/>
  <c r="S239" i="13" s="1"/>
  <c r="R309" i="13"/>
  <c r="S309" i="13" s="1"/>
  <c r="R72" i="13"/>
  <c r="S72" i="13" s="1"/>
  <c r="R233" i="13"/>
  <c r="S233" i="13" s="1"/>
  <c r="R216" i="13"/>
  <c r="S216" i="13" s="1"/>
  <c r="R165" i="13"/>
  <c r="S165" i="13" s="1"/>
  <c r="L280" i="25"/>
  <c r="N280" i="25" s="1"/>
  <c r="R97" i="13"/>
  <c r="S97" i="13" s="1"/>
  <c r="R113" i="13"/>
  <c r="S113" i="13" s="1"/>
  <c r="R54" i="13"/>
  <c r="S54" i="13" s="1"/>
  <c r="R200" i="13"/>
  <c r="S200" i="13" s="1"/>
  <c r="R50" i="13"/>
  <c r="S50" i="13" s="1"/>
  <c r="R29" i="13"/>
  <c r="S29" i="13" s="1"/>
  <c r="R179" i="13"/>
  <c r="S179" i="13" s="1"/>
  <c r="R287" i="13"/>
  <c r="S287" i="13" s="1"/>
  <c r="R187" i="13"/>
  <c r="S187" i="13" s="1"/>
  <c r="R64" i="13"/>
  <c r="S64" i="13" s="1"/>
  <c r="P202" i="13"/>
  <c r="Q202" i="13" s="1"/>
  <c r="K202" i="25" s="1"/>
  <c r="L202" i="25" s="1"/>
  <c r="N202" i="25" s="1"/>
  <c r="R303" i="13"/>
  <c r="S303" i="13" s="1"/>
  <c r="R133" i="13"/>
  <c r="S133" i="13" s="1"/>
  <c r="R91" i="13"/>
  <c r="S91" i="13" s="1"/>
  <c r="P7" i="13"/>
  <c r="Q7" i="13" s="1"/>
  <c r="K7" i="25" s="1"/>
  <c r="L7" i="25" s="1"/>
  <c r="N7" i="25" s="1"/>
  <c r="R236" i="13"/>
  <c r="S236" i="13" s="1"/>
  <c r="R87" i="13"/>
  <c r="S87" i="13" s="1"/>
  <c r="R247" i="13"/>
  <c r="S247" i="13" s="1"/>
  <c r="P145" i="13"/>
  <c r="Q145" i="13" s="1"/>
  <c r="K145" i="25" s="1"/>
  <c r="L145" i="25" s="1"/>
  <c r="N145" i="25" s="1"/>
  <c r="J5" i="12"/>
  <c r="R167" i="13"/>
  <c r="S167" i="13" s="1"/>
  <c r="R209" i="13"/>
  <c r="S209" i="13" s="1"/>
  <c r="P261" i="13"/>
  <c r="Q261" i="13" s="1"/>
  <c r="K261" i="25" s="1"/>
  <c r="L261" i="25" s="1"/>
  <c r="N261" i="25" s="1"/>
  <c r="R70" i="13"/>
  <c r="S70" i="13" s="1"/>
  <c r="R227" i="13"/>
  <c r="S227" i="13" s="1"/>
  <c r="R271" i="13"/>
  <c r="S271" i="13" s="1"/>
  <c r="R40" i="13"/>
  <c r="S40" i="13" s="1"/>
  <c r="N6" i="13"/>
  <c r="O6" i="13" s="1"/>
  <c r="P6" i="13" s="1"/>
  <c r="Q6" i="13" s="1"/>
  <c r="Q32" i="13"/>
  <c r="K32" i="25" s="1"/>
  <c r="L32" i="25" s="1"/>
  <c r="R32" i="13"/>
  <c r="S32" i="13" s="1"/>
  <c r="Q217" i="13"/>
  <c r="K217" i="25" s="1"/>
  <c r="L217" i="25" s="1"/>
  <c r="R217" i="13"/>
  <c r="S217" i="13" s="1"/>
  <c r="Q174" i="13"/>
  <c r="K174" i="25" s="1"/>
  <c r="L174" i="25" s="1"/>
  <c r="R174" i="13"/>
  <c r="S174" i="13" s="1"/>
  <c r="Q152" i="13"/>
  <c r="K152" i="25" s="1"/>
  <c r="L152" i="25" s="1"/>
  <c r="R152" i="13"/>
  <c r="S152" i="13" s="1"/>
  <c r="P210" i="13"/>
  <c r="Q210" i="13" s="1"/>
  <c r="K210" i="25" s="1"/>
  <c r="L210" i="25" s="1"/>
  <c r="N210" i="25" s="1"/>
  <c r="P256" i="13"/>
  <c r="Q256" i="13" s="1"/>
  <c r="K256" i="25" s="1"/>
  <c r="L256" i="25" s="1"/>
  <c r="N256" i="25" s="1"/>
  <c r="R258" i="13"/>
  <c r="S258" i="13" s="1"/>
  <c r="R155" i="13"/>
  <c r="S155" i="13" s="1"/>
  <c r="R248" i="13"/>
  <c r="S248" i="13" s="1"/>
  <c r="R305" i="13"/>
  <c r="S305" i="13" s="1"/>
  <c r="R139" i="13"/>
  <c r="S139" i="13" s="1"/>
  <c r="R118" i="13"/>
  <c r="S118" i="13" s="1"/>
  <c r="R58" i="13"/>
  <c r="S58" i="13" s="1"/>
  <c r="R222" i="13"/>
  <c r="S222" i="13" s="1"/>
  <c r="R307" i="13"/>
  <c r="S307" i="13" s="1"/>
  <c r="R231" i="13"/>
  <c r="S231" i="13" s="1"/>
  <c r="R189" i="13"/>
  <c r="S189" i="13" s="1"/>
  <c r="R220" i="13"/>
  <c r="S220" i="13" s="1"/>
  <c r="R197" i="13"/>
  <c r="S197" i="13" s="1"/>
  <c r="R148" i="13"/>
  <c r="S148" i="13" s="1"/>
  <c r="R9" i="13"/>
  <c r="S9" i="13" s="1"/>
  <c r="R278" i="13"/>
  <c r="S278" i="13" s="1"/>
  <c r="R204" i="13"/>
  <c r="S204" i="13" s="1"/>
  <c r="P10" i="13"/>
  <c r="Q10" i="13" s="1"/>
  <c r="K10" i="25" s="1"/>
  <c r="L10" i="25" s="1"/>
  <c r="N10" i="25" s="1"/>
  <c r="R273" i="13"/>
  <c r="S273" i="13" s="1"/>
  <c r="P176" i="13"/>
  <c r="Q176" i="13" s="1"/>
  <c r="K176" i="25" s="1"/>
  <c r="L176" i="25" s="1"/>
  <c r="R274" i="13"/>
  <c r="S274" i="13" s="1"/>
  <c r="R26" i="13"/>
  <c r="S26" i="13" s="1"/>
  <c r="Q159" i="13"/>
  <c r="K159" i="25" s="1"/>
  <c r="L159" i="25" s="1"/>
  <c r="N159" i="25" s="1"/>
  <c r="R159" i="13"/>
  <c r="S159" i="13" s="1"/>
  <c r="Q250" i="13"/>
  <c r="K250" i="25" s="1"/>
  <c r="L250" i="25" s="1"/>
  <c r="N250" i="25" s="1"/>
  <c r="R250" i="13"/>
  <c r="S250" i="13" s="1"/>
  <c r="R275" i="13"/>
  <c r="S275" i="13" s="1"/>
  <c r="P84" i="13"/>
  <c r="Q84" i="13" s="1"/>
  <c r="K84" i="25" s="1"/>
  <c r="L84" i="25" s="1"/>
  <c r="N84" i="25" s="1"/>
  <c r="R178" i="13"/>
  <c r="S178" i="13" s="1"/>
  <c r="R158" i="13"/>
  <c r="S158" i="13" s="1"/>
  <c r="R267" i="13"/>
  <c r="S267" i="13" s="1"/>
  <c r="R249" i="13"/>
  <c r="S249" i="13" s="1"/>
  <c r="R130" i="13"/>
  <c r="S130" i="13" s="1"/>
  <c r="P166" i="13"/>
  <c r="Q166" i="13" s="1"/>
  <c r="K166" i="25" s="1"/>
  <c r="L166" i="25" s="1"/>
  <c r="R98" i="13"/>
  <c r="S98" i="13" s="1"/>
  <c r="R262" i="13"/>
  <c r="S262" i="13" s="1"/>
  <c r="R253" i="13"/>
  <c r="S253" i="13" s="1"/>
  <c r="R194" i="13"/>
  <c r="S194" i="13" s="1"/>
  <c r="R110" i="13"/>
  <c r="S110" i="13" s="1"/>
  <c r="R296" i="13"/>
  <c r="S296" i="13" s="1"/>
  <c r="R311" i="13"/>
  <c r="S311" i="13" s="1"/>
  <c r="R160" i="13"/>
  <c r="S160" i="13" s="1"/>
  <c r="R276" i="13"/>
  <c r="S276" i="13" s="1"/>
  <c r="R101" i="13"/>
  <c r="S101" i="13" s="1"/>
  <c r="R68" i="13"/>
  <c r="S68" i="13" s="1"/>
  <c r="R124" i="13"/>
  <c r="S124" i="13" s="1"/>
  <c r="R20" i="13"/>
  <c r="S20" i="13" s="1"/>
  <c r="R304" i="13"/>
  <c r="S304" i="13" s="1"/>
  <c r="R107" i="13"/>
  <c r="S107" i="13" s="1"/>
  <c r="R114" i="13"/>
  <c r="S114" i="13" s="1"/>
  <c r="R151" i="13"/>
  <c r="S151" i="13" s="1"/>
  <c r="R140" i="13"/>
  <c r="S140" i="13" s="1"/>
  <c r="R260" i="13"/>
  <c r="S260" i="13" s="1"/>
  <c r="R285" i="13"/>
  <c r="S285" i="13" s="1"/>
  <c r="R66" i="13"/>
  <c r="S66" i="13" s="1"/>
  <c r="R115" i="13"/>
  <c r="S115" i="13" s="1"/>
  <c r="R238" i="13"/>
  <c r="S238" i="13" s="1"/>
  <c r="R284" i="13"/>
  <c r="S284" i="13" s="1"/>
  <c r="P301" i="13"/>
  <c r="Q301" i="13" s="1"/>
  <c r="K301" i="25" s="1"/>
  <c r="L301" i="25" s="1"/>
  <c r="N301" i="25" s="1"/>
  <c r="P293" i="13"/>
  <c r="Q293" i="13" s="1"/>
  <c r="K293" i="25" s="1"/>
  <c r="L293" i="25" s="1"/>
  <c r="N293" i="25" s="1"/>
  <c r="R269" i="13"/>
  <c r="S269" i="13" s="1"/>
  <c r="R45" i="13"/>
  <c r="S45" i="13" s="1"/>
  <c r="R28" i="13"/>
  <c r="S28" i="13" s="1"/>
  <c r="R30" i="13"/>
  <c r="S30" i="13" s="1"/>
  <c r="P224" i="13"/>
  <c r="Q224" i="13" s="1"/>
  <c r="K224" i="25" s="1"/>
  <c r="L224" i="25" s="1"/>
  <c r="N224" i="25" s="1"/>
  <c r="Q192" i="13"/>
  <c r="K192" i="25" s="1"/>
  <c r="L192" i="25" s="1"/>
  <c r="R192" i="13"/>
  <c r="S192" i="13" s="1"/>
  <c r="Q31" i="13"/>
  <c r="K31" i="25" s="1"/>
  <c r="L31" i="25" s="1"/>
  <c r="N31" i="25" s="1"/>
  <c r="R31" i="13"/>
  <c r="S31" i="13" s="1"/>
  <c r="P38" i="13"/>
  <c r="Q38" i="13" s="1"/>
  <c r="K38" i="25" s="1"/>
  <c r="L38" i="25" s="1"/>
  <c r="N38" i="25" s="1"/>
  <c r="P129" i="13"/>
  <c r="Q129" i="13" s="1"/>
  <c r="K129" i="25" s="1"/>
  <c r="L129" i="25" s="1"/>
  <c r="N129" i="25" s="1"/>
  <c r="R193" i="13"/>
  <c r="S193" i="13" s="1"/>
  <c r="P212" i="13"/>
  <c r="Q212" i="13" s="1"/>
  <c r="K212" i="25" s="1"/>
  <c r="L212" i="25" s="1"/>
  <c r="N212" i="25" s="1"/>
  <c r="P218" i="13"/>
  <c r="Q218" i="13" s="1"/>
  <c r="K218" i="25" s="1"/>
  <c r="L218" i="25" s="1"/>
  <c r="N218" i="25" s="1"/>
  <c r="P243" i="13"/>
  <c r="Q243" i="13" s="1"/>
  <c r="K243" i="25" s="1"/>
  <c r="L243" i="25" s="1"/>
  <c r="R95" i="13"/>
  <c r="S95" i="13" s="1"/>
  <c r="R164" i="13"/>
  <c r="S164" i="13" s="1"/>
  <c r="R163" i="13"/>
  <c r="S163" i="13" s="1"/>
  <c r="R120" i="13"/>
  <c r="S120" i="13" s="1"/>
  <c r="P12" i="13"/>
  <c r="Q12" i="13" s="1"/>
  <c r="K12" i="25" s="1"/>
  <c r="L12" i="25" s="1"/>
  <c r="N12" i="25" s="1"/>
  <c r="P75" i="13"/>
  <c r="Q75" i="13" s="1"/>
  <c r="K75" i="25" s="1"/>
  <c r="L75" i="25" s="1"/>
  <c r="N75" i="25" s="1"/>
  <c r="P186" i="13"/>
  <c r="Q186" i="13" s="1"/>
  <c r="K186" i="25" s="1"/>
  <c r="L186" i="25" s="1"/>
  <c r="R190" i="13"/>
  <c r="S190" i="13" s="1"/>
  <c r="R46" i="13"/>
  <c r="S46" i="13" s="1"/>
  <c r="P61" i="13"/>
  <c r="Q61" i="13" s="1"/>
  <c r="K61" i="25" s="1"/>
  <c r="L61" i="25" s="1"/>
  <c r="N61" i="25" s="1"/>
  <c r="R59" i="13"/>
  <c r="S59" i="13" s="1"/>
  <c r="R83" i="13"/>
  <c r="S83" i="13" s="1"/>
  <c r="R51" i="13"/>
  <c r="S51" i="13" s="1"/>
  <c r="R92" i="13"/>
  <c r="S92" i="13" s="1"/>
  <c r="R127" i="13"/>
  <c r="S127" i="13" s="1"/>
  <c r="R52" i="13"/>
  <c r="S52" i="13" s="1"/>
  <c r="R62" i="13"/>
  <c r="S62" i="13" s="1"/>
  <c r="R125" i="13"/>
  <c r="S125" i="13" s="1"/>
  <c r="R300" i="13"/>
  <c r="S300" i="13" s="1"/>
  <c r="R19" i="13"/>
  <c r="S19" i="13" s="1"/>
  <c r="P82" i="13"/>
  <c r="Q82" i="13" s="1"/>
  <c r="K82" i="25" s="1"/>
  <c r="L82" i="25" s="1"/>
  <c r="N82" i="25" s="1"/>
  <c r="P36" i="13"/>
  <c r="Q36" i="13" s="1"/>
  <c r="K36" i="25" s="1"/>
  <c r="L36" i="25" s="1"/>
  <c r="N36" i="25" s="1"/>
  <c r="P14" i="13"/>
  <c r="Q14" i="13" s="1"/>
  <c r="K14" i="25" s="1"/>
  <c r="L14" i="25" s="1"/>
  <c r="N14" i="25" s="1"/>
  <c r="P23" i="13"/>
  <c r="Q23" i="13" s="1"/>
  <c r="K23" i="25" s="1"/>
  <c r="L23" i="25" s="1"/>
  <c r="N23" i="25" s="1"/>
  <c r="P279" i="13"/>
  <c r="Q279" i="13" s="1"/>
  <c r="K279" i="25" s="1"/>
  <c r="L279" i="25" s="1"/>
  <c r="N279" i="25" s="1"/>
  <c r="R223" i="13"/>
  <c r="S223" i="13" s="1"/>
  <c r="R121" i="13"/>
  <c r="S121" i="13" s="1"/>
  <c r="R195" i="13"/>
  <c r="S195" i="13" s="1"/>
  <c r="R48" i="13"/>
  <c r="S48" i="13" s="1"/>
  <c r="R266" i="13"/>
  <c r="S266" i="13" s="1"/>
  <c r="R88" i="13"/>
  <c r="S88" i="13" s="1"/>
  <c r="R297" i="13"/>
  <c r="S297" i="13" s="1"/>
  <c r="P180" i="13"/>
  <c r="Q180" i="13" s="1"/>
  <c r="K180" i="25" s="1"/>
  <c r="L180" i="25" s="1"/>
  <c r="N180" i="25" s="1"/>
  <c r="P111" i="13"/>
  <c r="Q111" i="13" s="1"/>
  <c r="K111" i="25" s="1"/>
  <c r="L111" i="25" s="1"/>
  <c r="N111" i="25" s="1"/>
  <c r="P76" i="13"/>
  <c r="Q76" i="13" s="1"/>
  <c r="K76" i="25" s="1"/>
  <c r="L76" i="25" s="1"/>
  <c r="N76" i="25" s="1"/>
  <c r="P312" i="13"/>
  <c r="Q312" i="13" s="1"/>
  <c r="K312" i="25" s="1"/>
  <c r="L312" i="25" s="1"/>
  <c r="N312" i="25" s="1"/>
  <c r="P226" i="13"/>
  <c r="Q226" i="13" s="1"/>
  <c r="K226" i="25" s="1"/>
  <c r="L226" i="25" s="1"/>
  <c r="N226" i="25" s="1"/>
  <c r="P169" i="13"/>
  <c r="Q169" i="13" s="1"/>
  <c r="K169" i="25" s="1"/>
  <c r="L169" i="25" s="1"/>
  <c r="N169" i="25" s="1"/>
  <c r="P295" i="13"/>
  <c r="Q295" i="13" s="1"/>
  <c r="K295" i="25" s="1"/>
  <c r="L295" i="25" s="1"/>
  <c r="N295" i="25" s="1"/>
  <c r="P53" i="13"/>
  <c r="Q53" i="13" s="1"/>
  <c r="K53" i="25" s="1"/>
  <c r="L53" i="25" s="1"/>
  <c r="N53" i="25" s="1"/>
  <c r="P154" i="13"/>
  <c r="Q154" i="13" s="1"/>
  <c r="K154" i="25" s="1"/>
  <c r="L154" i="25" s="1"/>
  <c r="N154" i="25" s="1"/>
  <c r="P208" i="13"/>
  <c r="Q208" i="13" s="1"/>
  <c r="K208" i="25" s="1"/>
  <c r="L208" i="25" s="1"/>
  <c r="N208" i="25" s="1"/>
  <c r="P80" i="13"/>
  <c r="Q80" i="13" s="1"/>
  <c r="K80" i="25" s="1"/>
  <c r="L80" i="25" s="1"/>
  <c r="N80" i="25" s="1"/>
  <c r="P310" i="13"/>
  <c r="Q310" i="13" s="1"/>
  <c r="K310" i="25" s="1"/>
  <c r="L310" i="25" s="1"/>
  <c r="N310" i="25" s="1"/>
  <c r="P314" i="13"/>
  <c r="Q314" i="13" s="1"/>
  <c r="K314" i="25" s="1"/>
  <c r="L314" i="25" s="1"/>
  <c r="N314" i="25" s="1"/>
  <c r="P137" i="13"/>
  <c r="Q137" i="13" s="1"/>
  <c r="K137" i="25" s="1"/>
  <c r="L137" i="25" s="1"/>
  <c r="N137" i="25" s="1"/>
  <c r="P33" i="13"/>
  <c r="Q33" i="13" s="1"/>
  <c r="K33" i="25" s="1"/>
  <c r="L33" i="25" s="1"/>
  <c r="N33" i="25" s="1"/>
  <c r="P263" i="13"/>
  <c r="Q263" i="13" s="1"/>
  <c r="K263" i="25" s="1"/>
  <c r="L263" i="25" s="1"/>
  <c r="N263" i="25" s="1"/>
  <c r="P207" i="13"/>
  <c r="Q207" i="13" s="1"/>
  <c r="K207" i="25" s="1"/>
  <c r="L207" i="25" s="1"/>
  <c r="N207" i="25" s="1"/>
  <c r="P49" i="13"/>
  <c r="Q49" i="13" s="1"/>
  <c r="K49" i="25" s="1"/>
  <c r="L49" i="25" s="1"/>
  <c r="N49" i="25" s="1"/>
  <c r="P182" i="13"/>
  <c r="Q182" i="13" s="1"/>
  <c r="K182" i="25" s="1"/>
  <c r="L182" i="25" s="1"/>
  <c r="N182" i="25" s="1"/>
  <c r="P240" i="13"/>
  <c r="Q240" i="13" s="1"/>
  <c r="K240" i="25" s="1"/>
  <c r="L240" i="25" s="1"/>
  <c r="N240" i="25" s="1"/>
  <c r="P299" i="13"/>
  <c r="Q299" i="13" s="1"/>
  <c r="K299" i="25" s="1"/>
  <c r="L299" i="25" s="1"/>
  <c r="N299" i="25" s="1"/>
  <c r="P205" i="13"/>
  <c r="Q205" i="13" s="1"/>
  <c r="K205" i="25" s="1"/>
  <c r="L205" i="25" s="1"/>
  <c r="N205" i="25" s="1"/>
  <c r="P102" i="13"/>
  <c r="Q102" i="13" s="1"/>
  <c r="K102" i="25" s="1"/>
  <c r="L102" i="25" s="1"/>
  <c r="N102" i="25" s="1"/>
  <c r="P134" i="13"/>
  <c r="Q134" i="13" s="1"/>
  <c r="K134" i="25" s="1"/>
  <c r="L134" i="25" s="1"/>
  <c r="N134" i="25" s="1"/>
  <c r="P78" i="13"/>
  <c r="Q78" i="13" s="1"/>
  <c r="K78" i="25" s="1"/>
  <c r="L78" i="25" s="1"/>
  <c r="N78" i="25" s="1"/>
  <c r="P43" i="13"/>
  <c r="Q43" i="13" s="1"/>
  <c r="K43" i="25" s="1"/>
  <c r="L43" i="25" s="1"/>
  <c r="N43" i="25" s="1"/>
  <c r="P157" i="13"/>
  <c r="Q157" i="13" s="1"/>
  <c r="K157" i="25" s="1"/>
  <c r="L157" i="25" s="1"/>
  <c r="N157" i="25" s="1"/>
  <c r="P184" i="13"/>
  <c r="Q184" i="13" s="1"/>
  <c r="K184" i="25" s="1"/>
  <c r="L184" i="25" s="1"/>
  <c r="N184" i="25" s="1"/>
  <c r="P86" i="13"/>
  <c r="Q86" i="13" s="1"/>
  <c r="K86" i="25" s="1"/>
  <c r="L86" i="25" s="1"/>
  <c r="N86" i="25" s="1"/>
  <c r="P108" i="13"/>
  <c r="Q108" i="13" s="1"/>
  <c r="K108" i="25" s="1"/>
  <c r="L108" i="25" s="1"/>
  <c r="N108" i="25" s="1"/>
  <c r="P34" i="13"/>
  <c r="Q34" i="13" s="1"/>
  <c r="K34" i="25" s="1"/>
  <c r="L34" i="25" s="1"/>
  <c r="N34" i="25" s="1"/>
  <c r="P60" i="13"/>
  <c r="Q60" i="13" s="1"/>
  <c r="K60" i="25" s="1"/>
  <c r="L60" i="25" s="1"/>
  <c r="N60" i="25" s="1"/>
  <c r="P128" i="13"/>
  <c r="Q128" i="13" s="1"/>
  <c r="K128" i="25" s="1"/>
  <c r="L128" i="25" s="1"/>
  <c r="N128" i="25" s="1"/>
  <c r="R252" i="13"/>
  <c r="S252" i="13" s="1"/>
  <c r="P104" i="13"/>
  <c r="Q104" i="13" s="1"/>
  <c r="K104" i="25" s="1"/>
  <c r="L104" i="25" s="1"/>
  <c r="N104" i="25" s="1"/>
  <c r="P13" i="13"/>
  <c r="Q13" i="13" s="1"/>
  <c r="K13" i="25" s="1"/>
  <c r="L13" i="25" s="1"/>
  <c r="N13" i="25" s="1"/>
  <c r="R237" i="13"/>
  <c r="S237" i="13" s="1"/>
  <c r="R188" i="13"/>
  <c r="S188" i="13" s="1"/>
  <c r="R234" i="13"/>
  <c r="S234" i="13" s="1"/>
  <c r="P44" i="13"/>
  <c r="Q44" i="13" s="1"/>
  <c r="K44" i="25" s="1"/>
  <c r="L44" i="25" s="1"/>
  <c r="N44" i="25" s="1"/>
  <c r="P126" i="13"/>
  <c r="Q126" i="13" s="1"/>
  <c r="K126" i="25" s="1"/>
  <c r="L126" i="25" s="1"/>
  <c r="N126" i="25" s="1"/>
  <c r="P242" i="13"/>
  <c r="Q242" i="13" s="1"/>
  <c r="K242" i="25" s="1"/>
  <c r="L242" i="25" s="1"/>
  <c r="P270" i="13"/>
  <c r="Q270" i="13" s="1"/>
  <c r="K270" i="25" s="1"/>
  <c r="L270" i="25" s="1"/>
  <c r="N270" i="25" s="1"/>
  <c r="P288" i="13"/>
  <c r="Q288" i="13" s="1"/>
  <c r="K288" i="25" s="1"/>
  <c r="L288" i="25" s="1"/>
  <c r="N288" i="25" s="1"/>
  <c r="P71" i="13"/>
  <c r="Q71" i="13" s="1"/>
  <c r="K71" i="25" s="1"/>
  <c r="L71" i="25" s="1"/>
  <c r="N71" i="25" s="1"/>
  <c r="P103" i="13"/>
  <c r="Q103" i="13" s="1"/>
  <c r="K103" i="25" s="1"/>
  <c r="L103" i="25" s="1"/>
  <c r="N103" i="25" s="1"/>
  <c r="P308" i="13"/>
  <c r="Q308" i="13" s="1"/>
  <c r="K308" i="25" s="1"/>
  <c r="L308" i="25" s="1"/>
  <c r="N308" i="25" s="1"/>
  <c r="P131" i="13"/>
  <c r="Q131" i="13" s="1"/>
  <c r="K131" i="25" s="1"/>
  <c r="L131" i="25" s="1"/>
  <c r="N131" i="25" s="1"/>
  <c r="P172" i="13"/>
  <c r="Q172" i="13" s="1"/>
  <c r="K172" i="25" s="1"/>
  <c r="L172" i="25" s="1"/>
  <c r="N172" i="25" s="1"/>
  <c r="R96" i="13"/>
  <c r="S96" i="13" s="1"/>
  <c r="R8" i="13"/>
  <c r="S8" i="13" s="1"/>
  <c r="R85" i="13"/>
  <c r="S85" i="13" s="1"/>
  <c r="I315" i="25"/>
  <c r="R27" i="13"/>
  <c r="S27" i="13" s="1"/>
  <c r="R246" i="13"/>
  <c r="S246" i="13" s="1"/>
  <c r="R93" i="13"/>
  <c r="S93" i="13" s="1"/>
  <c r="R25" i="13"/>
  <c r="S25" i="13" s="1"/>
  <c r="R39" i="13"/>
  <c r="S39" i="13" s="1"/>
  <c r="R22" i="13"/>
  <c r="S22" i="13" s="1"/>
  <c r="R232" i="13"/>
  <c r="S232" i="13" s="1"/>
  <c r="R42" i="13"/>
  <c r="S42" i="13" s="1"/>
  <c r="R21" i="13"/>
  <c r="S21" i="13" s="1"/>
  <c r="R150" i="13"/>
  <c r="S150" i="13" s="1"/>
  <c r="R147" i="13"/>
  <c r="S147" i="13" s="1"/>
  <c r="R254" i="13"/>
  <c r="S254" i="13" s="1"/>
  <c r="R135" i="13"/>
  <c r="S135" i="13" s="1"/>
  <c r="R41" i="13"/>
  <c r="S41" i="13" s="1"/>
  <c r="P241" i="13"/>
  <c r="Q241" i="13" s="1"/>
  <c r="K241" i="25" s="1"/>
  <c r="L241" i="25" s="1"/>
  <c r="N241" i="25" s="1"/>
  <c r="P251" i="13"/>
  <c r="Q251" i="13" s="1"/>
  <c r="K251" i="25" s="1"/>
  <c r="L251" i="25" s="1"/>
  <c r="N251" i="25" s="1"/>
  <c r="P177" i="13"/>
  <c r="Q177" i="13" s="1"/>
  <c r="K177" i="25" s="1"/>
  <c r="L177" i="25" s="1"/>
  <c r="N177" i="25" s="1"/>
  <c r="L97" i="25"/>
  <c r="N97" i="25" s="1"/>
  <c r="P77" i="13"/>
  <c r="Q77" i="13" s="1"/>
  <c r="K77" i="25" s="1"/>
  <c r="L77" i="25" s="1"/>
  <c r="N77" i="25" s="1"/>
  <c r="P199" i="13"/>
  <c r="Q199" i="13" s="1"/>
  <c r="K199" i="25" s="1"/>
  <c r="L199" i="25" s="1"/>
  <c r="N199" i="25" s="1"/>
  <c r="P136" i="13"/>
  <c r="Q136" i="13" s="1"/>
  <c r="K136" i="25" s="1"/>
  <c r="L136" i="25" s="1"/>
  <c r="N136" i="25" s="1"/>
  <c r="P122" i="13"/>
  <c r="Q122" i="13" s="1"/>
  <c r="K122" i="25" s="1"/>
  <c r="L122" i="25" s="1"/>
  <c r="N122" i="25" s="1"/>
  <c r="P259" i="13"/>
  <c r="Q259" i="13" s="1"/>
  <c r="K259" i="25" s="1"/>
  <c r="L259" i="25" s="1"/>
  <c r="N259" i="25" s="1"/>
  <c r="P142" i="13"/>
  <c r="Q142" i="13" s="1"/>
  <c r="K142" i="25" s="1"/>
  <c r="L142" i="25" s="1"/>
  <c r="N142" i="25" s="1"/>
  <c r="L163" i="25"/>
  <c r="N163" i="25" s="1"/>
  <c r="P119" i="13"/>
  <c r="Q119" i="13" s="1"/>
  <c r="K119" i="25" s="1"/>
  <c r="L119" i="25" s="1"/>
  <c r="N119" i="25" s="1"/>
  <c r="P185" i="13"/>
  <c r="Q185" i="13" s="1"/>
  <c r="K185" i="25" s="1"/>
  <c r="L185" i="25" s="1"/>
  <c r="N185" i="25" s="1"/>
  <c r="P105" i="13"/>
  <c r="Q105" i="13" s="1"/>
  <c r="K105" i="25" s="1"/>
  <c r="L105" i="25" s="1"/>
  <c r="N105" i="25" s="1"/>
  <c r="P112" i="13"/>
  <c r="Q112" i="13" s="1"/>
  <c r="K112" i="25" s="1"/>
  <c r="L112" i="25" s="1"/>
  <c r="N112" i="25" s="1"/>
  <c r="P215" i="13"/>
  <c r="Q215" i="13" s="1"/>
  <c r="K215" i="25" s="1"/>
  <c r="L215" i="25" s="1"/>
  <c r="N215" i="25" s="1"/>
  <c r="P47" i="13"/>
  <c r="Q47" i="13" s="1"/>
  <c r="K47" i="25" s="1"/>
  <c r="L47" i="25" s="1"/>
  <c r="N47" i="25" s="1"/>
  <c r="P63" i="13"/>
  <c r="Q63" i="13" s="1"/>
  <c r="K63" i="25" s="1"/>
  <c r="L63" i="25" s="1"/>
  <c r="N63" i="25" s="1"/>
  <c r="P313" i="13"/>
  <c r="Q313" i="13" s="1"/>
  <c r="K313" i="25" s="1"/>
  <c r="L313" i="25" s="1"/>
  <c r="N313" i="25" s="1"/>
  <c r="R277" i="13"/>
  <c r="S277" i="13" s="1"/>
  <c r="R286" i="13"/>
  <c r="S286" i="13" s="1"/>
  <c r="R161" i="13"/>
  <c r="S161" i="13" s="1"/>
  <c r="R257" i="13"/>
  <c r="S257" i="13" s="1"/>
  <c r="R143" i="13"/>
  <c r="S143" i="13" s="1"/>
  <c r="R268" i="13"/>
  <c r="S268" i="13" s="1"/>
  <c r="R290" i="13"/>
  <c r="S290" i="13" s="1"/>
  <c r="R168" i="13"/>
  <c r="S168" i="13" s="1"/>
  <c r="R56" i="13"/>
  <c r="S56" i="13" s="1"/>
  <c r="R283" i="13"/>
  <c r="S283" i="13" s="1"/>
  <c r="R203" i="13"/>
  <c r="S203" i="13" s="1"/>
  <c r="R17" i="13"/>
  <c r="S17" i="13" s="1"/>
  <c r="R106" i="13"/>
  <c r="S106" i="13" s="1"/>
  <c r="R228" i="13"/>
  <c r="S228" i="13" s="1"/>
  <c r="R116" i="13"/>
  <c r="S116" i="13" s="1"/>
  <c r="R144" i="13"/>
  <c r="S144" i="13" s="1"/>
  <c r="J6" i="25"/>
  <c r="I314" i="12"/>
  <c r="E37" i="48"/>
  <c r="R100" i="13"/>
  <c r="S100" i="13" s="1"/>
  <c r="R272" i="13"/>
  <c r="S272" i="13" s="1"/>
  <c r="P201" i="13"/>
  <c r="Q201" i="13" s="1"/>
  <c r="K201" i="25" s="1"/>
  <c r="L201" i="25" s="1"/>
  <c r="N201" i="25" s="1"/>
  <c r="P235" i="13"/>
  <c r="Q235" i="13" s="1"/>
  <c r="K235" i="25" s="1"/>
  <c r="L235" i="25" s="1"/>
  <c r="N235" i="25" s="1"/>
  <c r="P156" i="13"/>
  <c r="Q156" i="13" s="1"/>
  <c r="K156" i="25" s="1"/>
  <c r="L156" i="25" s="1"/>
  <c r="N156" i="25" s="1"/>
  <c r="P183" i="13"/>
  <c r="Q183" i="13" s="1"/>
  <c r="K183" i="25" s="1"/>
  <c r="L183" i="25" s="1"/>
  <c r="N183" i="25" s="1"/>
  <c r="P109" i="13"/>
  <c r="Q109" i="13" s="1"/>
  <c r="K109" i="25" s="1"/>
  <c r="L109" i="25" s="1"/>
  <c r="N109" i="25" s="1"/>
  <c r="P213" i="13"/>
  <c r="Q213" i="13" s="1"/>
  <c r="K213" i="25" s="1"/>
  <c r="L213" i="25" s="1"/>
  <c r="N213" i="25" s="1"/>
  <c r="P292" i="13"/>
  <c r="Q292" i="13" s="1"/>
  <c r="K292" i="25" s="1"/>
  <c r="L292" i="25" s="1"/>
  <c r="N292" i="25" s="1"/>
  <c r="P55" i="13"/>
  <c r="Q55" i="13" s="1"/>
  <c r="K55" i="25" s="1"/>
  <c r="L55" i="25" s="1"/>
  <c r="N55" i="25" s="1"/>
  <c r="P11" i="13"/>
  <c r="Q11" i="13" s="1"/>
  <c r="K11" i="25" s="1"/>
  <c r="L11" i="25" s="1"/>
  <c r="N11" i="25" s="1"/>
  <c r="P24" i="13"/>
  <c r="Q24" i="13" s="1"/>
  <c r="K24" i="25" s="1"/>
  <c r="L24" i="25" s="1"/>
  <c r="N24" i="25" s="1"/>
  <c r="P225" i="13"/>
  <c r="Q225" i="13" s="1"/>
  <c r="K225" i="25" s="1"/>
  <c r="L225" i="25" s="1"/>
  <c r="N225" i="25" s="1"/>
  <c r="P141" i="13"/>
  <c r="Q141" i="13" s="1"/>
  <c r="K141" i="25" s="1"/>
  <c r="L141" i="25" s="1"/>
  <c r="N141" i="25" s="1"/>
  <c r="P162" i="13"/>
  <c r="Q162" i="13" s="1"/>
  <c r="K162" i="25" s="1"/>
  <c r="L162" i="25" s="1"/>
  <c r="N162" i="25" s="1"/>
  <c r="P69" i="13"/>
  <c r="Q69" i="13" s="1"/>
  <c r="K69" i="25" s="1"/>
  <c r="L69" i="25" s="1"/>
  <c r="N69" i="25" s="1"/>
  <c r="P99" i="13"/>
  <c r="Q99" i="13" s="1"/>
  <c r="K99" i="25" s="1"/>
  <c r="L99" i="25" s="1"/>
  <c r="N99" i="25" s="1"/>
  <c r="P67" i="13"/>
  <c r="Q67" i="13" s="1"/>
  <c r="K67" i="25" s="1"/>
  <c r="L67" i="25" s="1"/>
  <c r="N67" i="25" s="1"/>
  <c r="L254" i="25"/>
  <c r="N254" i="25" s="1"/>
  <c r="P294" i="13"/>
  <c r="Q294" i="13" s="1"/>
  <c r="K294" i="25" s="1"/>
  <c r="L294" i="25" s="1"/>
  <c r="N294" i="25" s="1"/>
  <c r="P173" i="13"/>
  <c r="Q173" i="13" s="1"/>
  <c r="K173" i="25" s="1"/>
  <c r="L173" i="25" s="1"/>
  <c r="N173" i="25" s="1"/>
  <c r="P291" i="13"/>
  <c r="Q291" i="13" s="1"/>
  <c r="K291" i="25" s="1"/>
  <c r="L291" i="25" s="1"/>
  <c r="N291" i="25" s="1"/>
  <c r="P79" i="13"/>
  <c r="Q79" i="13" s="1"/>
  <c r="K79" i="25" s="1"/>
  <c r="L79" i="25" s="1"/>
  <c r="N79" i="25" s="1"/>
  <c r="P281" i="13"/>
  <c r="Q281" i="13" s="1"/>
  <c r="K281" i="25" s="1"/>
  <c r="L281" i="25" s="1"/>
  <c r="N281" i="25" s="1"/>
  <c r="P245" i="13"/>
  <c r="Q245" i="13" s="1"/>
  <c r="K245" i="25" s="1"/>
  <c r="L245" i="25" s="1"/>
  <c r="N245" i="25" s="1"/>
  <c r="P57" i="13"/>
  <c r="Q57" i="13" s="1"/>
  <c r="K57" i="25" s="1"/>
  <c r="L57" i="25" s="1"/>
  <c r="N57" i="25" s="1"/>
  <c r="P206" i="13"/>
  <c r="Q206" i="13" s="1"/>
  <c r="K206" i="25" s="1"/>
  <c r="L206" i="25" s="1"/>
  <c r="N206" i="25" s="1"/>
  <c r="P138" i="13"/>
  <c r="Q138" i="13" s="1"/>
  <c r="K138" i="25" s="1"/>
  <c r="L138" i="25" s="1"/>
  <c r="N138" i="25" s="1"/>
  <c r="P16" i="13"/>
  <c r="Q16" i="13" s="1"/>
  <c r="K16" i="25" s="1"/>
  <c r="L16" i="25" s="1"/>
  <c r="N16" i="25" s="1"/>
  <c r="P117" i="13"/>
  <c r="Q117" i="13" s="1"/>
  <c r="K117" i="25" s="1"/>
  <c r="L117" i="25" s="1"/>
  <c r="N117" i="25" s="1"/>
  <c r="P171" i="13"/>
  <c r="Q171" i="13" s="1"/>
  <c r="K171" i="25" s="1"/>
  <c r="L171" i="25" s="1"/>
  <c r="N171" i="25" s="1"/>
  <c r="P229" i="13"/>
  <c r="Q229" i="13" s="1"/>
  <c r="K229" i="25" s="1"/>
  <c r="L229" i="25" s="1"/>
  <c r="N229" i="25" s="1"/>
  <c r="L19" i="25"/>
  <c r="N19" i="25" s="1"/>
  <c r="P289" i="13"/>
  <c r="Q289" i="13" s="1"/>
  <c r="K289" i="25" s="1"/>
  <c r="L289" i="25" s="1"/>
  <c r="N289" i="25" s="1"/>
  <c r="P35" i="13"/>
  <c r="Q35" i="13" s="1"/>
  <c r="K35" i="25" s="1"/>
  <c r="L35" i="25" s="1"/>
  <c r="N35" i="25" s="1"/>
  <c r="P196" i="13"/>
  <c r="Q196" i="13" s="1"/>
  <c r="K196" i="25" s="1"/>
  <c r="L196" i="25" s="1"/>
  <c r="N196" i="25" s="1"/>
  <c r="P191" i="13"/>
  <c r="Q191" i="13" s="1"/>
  <c r="K191" i="25" s="1"/>
  <c r="L191" i="25" s="1"/>
  <c r="N191" i="25" s="1"/>
  <c r="P37" i="13"/>
  <c r="Q37" i="13" s="1"/>
  <c r="K37" i="25" s="1"/>
  <c r="L37" i="25" s="1"/>
  <c r="N37" i="25" s="1"/>
  <c r="P214" i="13"/>
  <c r="Q214" i="13" s="1"/>
  <c r="K214" i="25" s="1"/>
  <c r="L214" i="25" s="1"/>
  <c r="N214" i="25" s="1"/>
  <c r="P221" i="13"/>
  <c r="Q221" i="13" s="1"/>
  <c r="K221" i="25" s="1"/>
  <c r="L221" i="25" s="1"/>
  <c r="N221" i="25" s="1"/>
  <c r="P81" i="13"/>
  <c r="Q81" i="13" s="1"/>
  <c r="K81" i="25" s="1"/>
  <c r="L81" i="25" s="1"/>
  <c r="N81" i="25" s="1"/>
  <c r="P181" i="13"/>
  <c r="Q181" i="13" s="1"/>
  <c r="K181" i="25" s="1"/>
  <c r="L181" i="25" s="1"/>
  <c r="N181" i="25" s="1"/>
  <c r="P65" i="13"/>
  <c r="Q65" i="13" s="1"/>
  <c r="K65" i="25" s="1"/>
  <c r="L65" i="25" s="1"/>
  <c r="N65" i="25" s="1"/>
  <c r="P149" i="13"/>
  <c r="Q149" i="13" s="1"/>
  <c r="K149" i="25" s="1"/>
  <c r="L149" i="25" s="1"/>
  <c r="N149" i="25" s="1"/>
  <c r="P211" i="13"/>
  <c r="Q211" i="13" s="1"/>
  <c r="K211" i="25" s="1"/>
  <c r="L211" i="25" s="1"/>
  <c r="N211" i="25" s="1"/>
  <c r="P94" i="13"/>
  <c r="Q94" i="13" s="1"/>
  <c r="K94" i="25" s="1"/>
  <c r="L94" i="25" s="1"/>
  <c r="P73" i="13"/>
  <c r="Q73" i="13" s="1"/>
  <c r="K73" i="25" s="1"/>
  <c r="L73" i="25" s="1"/>
  <c r="N73" i="25" s="1"/>
  <c r="P89" i="13"/>
  <c r="Q89" i="13" s="1"/>
  <c r="K89" i="25" s="1"/>
  <c r="L89" i="25" s="1"/>
  <c r="N89" i="25" s="1"/>
  <c r="P230" i="13"/>
  <c r="Q230" i="13" s="1"/>
  <c r="K230" i="25" s="1"/>
  <c r="L230" i="25" s="1"/>
  <c r="N230" i="25" s="1"/>
  <c r="P198" i="13"/>
  <c r="Q198" i="13" s="1"/>
  <c r="K198" i="25" s="1"/>
  <c r="L198" i="25" s="1"/>
  <c r="N198" i="25" s="1"/>
  <c r="P255" i="13"/>
  <c r="Q255" i="13" s="1"/>
  <c r="K255" i="25" s="1"/>
  <c r="L255" i="25" s="1"/>
  <c r="P282" i="13"/>
  <c r="Q282" i="13" s="1"/>
  <c r="K282" i="25" s="1"/>
  <c r="L282" i="25" s="1"/>
  <c r="N282" i="25" s="1"/>
  <c r="P15" i="13"/>
  <c r="Q15" i="13" s="1"/>
  <c r="K15" i="25" s="1"/>
  <c r="L15" i="25" s="1"/>
  <c r="N15" i="25" s="1"/>
  <c r="L100" i="25"/>
  <c r="N100" i="25" s="1"/>
  <c r="R244" i="13" l="1"/>
  <c r="S244" i="13" s="1"/>
  <c r="P219" i="13"/>
  <c r="Q219" i="13" s="1"/>
  <c r="K219" i="25" s="1"/>
  <c r="L219" i="25" s="1"/>
  <c r="N219" i="25" s="1"/>
  <c r="R170" i="13"/>
  <c r="S170" i="13" s="1"/>
  <c r="N32" i="25"/>
  <c r="N176" i="25"/>
  <c r="N174" i="25"/>
  <c r="N94" i="25"/>
  <c r="N186" i="25"/>
  <c r="N243" i="25"/>
  <c r="N166" i="25"/>
  <c r="N152" i="25"/>
  <c r="N217" i="25"/>
  <c r="N242" i="25"/>
  <c r="N255" i="25"/>
  <c r="N192" i="25"/>
  <c r="R142" i="13"/>
  <c r="S142" i="13" s="1"/>
  <c r="R301" i="13"/>
  <c r="S301" i="13" s="1"/>
  <c r="R221" i="13"/>
  <c r="S221" i="13" s="1"/>
  <c r="R63" i="13"/>
  <c r="S63" i="13" s="1"/>
  <c r="R76" i="13"/>
  <c r="S76" i="13" s="1"/>
  <c r="R111" i="13"/>
  <c r="S111" i="13" s="1"/>
  <c r="R36" i="13"/>
  <c r="S36" i="13" s="1"/>
  <c r="R94" i="13"/>
  <c r="S94" i="13" s="1"/>
  <c r="R73" i="13"/>
  <c r="S73" i="13" s="1"/>
  <c r="R181" i="13"/>
  <c r="S181" i="13" s="1"/>
  <c r="R99" i="13"/>
  <c r="S99" i="13" s="1"/>
  <c r="R109" i="13"/>
  <c r="S109" i="13" s="1"/>
  <c r="R43" i="13"/>
  <c r="S43" i="13" s="1"/>
  <c r="R16" i="13"/>
  <c r="S16" i="13" s="1"/>
  <c r="R173" i="13"/>
  <c r="S173" i="13" s="1"/>
  <c r="R294" i="13"/>
  <c r="S294" i="13" s="1"/>
  <c r="R225" i="13"/>
  <c r="S225" i="13" s="1"/>
  <c r="R282" i="13"/>
  <c r="S282" i="13" s="1"/>
  <c r="R79" i="13"/>
  <c r="S79" i="13" s="1"/>
  <c r="R308" i="13"/>
  <c r="S308" i="13" s="1"/>
  <c r="R184" i="13"/>
  <c r="S184" i="13" s="1"/>
  <c r="R23" i="13"/>
  <c r="S23" i="13" s="1"/>
  <c r="R261" i="13"/>
  <c r="S261" i="13" s="1"/>
  <c r="R289" i="13"/>
  <c r="S289" i="13" s="1"/>
  <c r="R215" i="13"/>
  <c r="S215" i="13" s="1"/>
  <c r="R122" i="13"/>
  <c r="S122" i="13" s="1"/>
  <c r="R145" i="13"/>
  <c r="S145" i="13" s="1"/>
  <c r="R6" i="13"/>
  <c r="S6" i="13" s="1"/>
  <c r="R53" i="13"/>
  <c r="S53" i="13" s="1"/>
  <c r="R212" i="13"/>
  <c r="S212" i="13" s="1"/>
  <c r="R256" i="13"/>
  <c r="S256" i="13" s="1"/>
  <c r="R230" i="13"/>
  <c r="S230" i="13" s="1"/>
  <c r="R199" i="13"/>
  <c r="S199" i="13" s="1"/>
  <c r="R49" i="13"/>
  <c r="S49" i="13" s="1"/>
  <c r="R180" i="13"/>
  <c r="S180" i="13" s="1"/>
  <c r="R243" i="13"/>
  <c r="S243" i="13" s="1"/>
  <c r="R202" i="13"/>
  <c r="S202" i="13" s="1"/>
  <c r="R7" i="13"/>
  <c r="S7" i="13" s="1"/>
  <c r="R108" i="13"/>
  <c r="S108" i="13" s="1"/>
  <c r="R137" i="13"/>
  <c r="S137" i="13" s="1"/>
  <c r="R279" i="13"/>
  <c r="S279" i="13" s="1"/>
  <c r="R14" i="13"/>
  <c r="S14" i="13" s="1"/>
  <c r="R82" i="13"/>
  <c r="S82" i="13" s="1"/>
  <c r="R218" i="13"/>
  <c r="S218" i="13" s="1"/>
  <c r="R166" i="13"/>
  <c r="S166" i="13" s="1"/>
  <c r="R210" i="13"/>
  <c r="S210" i="13" s="1"/>
  <c r="R10" i="13"/>
  <c r="S10" i="13" s="1"/>
  <c r="R15" i="13"/>
  <c r="S15" i="13" s="1"/>
  <c r="R37" i="13"/>
  <c r="S37" i="13" s="1"/>
  <c r="R171" i="13"/>
  <c r="S171" i="13" s="1"/>
  <c r="R245" i="13"/>
  <c r="S245" i="13" s="1"/>
  <c r="R259" i="13"/>
  <c r="S259" i="13" s="1"/>
  <c r="R136" i="13"/>
  <c r="S136" i="13" s="1"/>
  <c r="R77" i="13"/>
  <c r="S77" i="13" s="1"/>
  <c r="R251" i="13"/>
  <c r="S251" i="13" s="1"/>
  <c r="R71" i="13"/>
  <c r="S71" i="13" s="1"/>
  <c r="R288" i="13"/>
  <c r="S288" i="13" s="1"/>
  <c r="R270" i="13"/>
  <c r="S270" i="13" s="1"/>
  <c r="R205" i="13"/>
  <c r="S205" i="13" s="1"/>
  <c r="R263" i="13"/>
  <c r="S263" i="13" s="1"/>
  <c r="R129" i="13"/>
  <c r="S129" i="13" s="1"/>
  <c r="R176" i="13"/>
  <c r="S176" i="13" s="1"/>
  <c r="R149" i="13"/>
  <c r="S149" i="13" s="1"/>
  <c r="R196" i="13"/>
  <c r="S196" i="13" s="1"/>
  <c r="R229" i="13"/>
  <c r="S229" i="13" s="1"/>
  <c r="R162" i="13"/>
  <c r="S162" i="13" s="1"/>
  <c r="R292" i="13"/>
  <c r="S292" i="13" s="1"/>
  <c r="R126" i="13"/>
  <c r="S126" i="13" s="1"/>
  <c r="R104" i="13"/>
  <c r="S104" i="13" s="1"/>
  <c r="R60" i="13"/>
  <c r="S60" i="13" s="1"/>
  <c r="R157" i="13"/>
  <c r="S157" i="13" s="1"/>
  <c r="R78" i="13"/>
  <c r="S78" i="13" s="1"/>
  <c r="R208" i="13"/>
  <c r="S208" i="13" s="1"/>
  <c r="R169" i="13"/>
  <c r="S169" i="13" s="1"/>
  <c r="R226" i="13"/>
  <c r="S226" i="13" s="1"/>
  <c r="R224" i="13"/>
  <c r="S224" i="13" s="1"/>
  <c r="R293" i="13"/>
  <c r="S293" i="13" s="1"/>
  <c r="R84" i="13"/>
  <c r="S84" i="13" s="1"/>
  <c r="R186" i="13"/>
  <c r="S186" i="13" s="1"/>
  <c r="R255" i="13"/>
  <c r="S255" i="13" s="1"/>
  <c r="R198" i="13"/>
  <c r="S198" i="13" s="1"/>
  <c r="R89" i="13"/>
  <c r="S89" i="13" s="1"/>
  <c r="R211" i="13"/>
  <c r="S211" i="13" s="1"/>
  <c r="R65" i="13"/>
  <c r="S65" i="13" s="1"/>
  <c r="R81" i="13"/>
  <c r="S81" i="13" s="1"/>
  <c r="R214" i="13"/>
  <c r="S214" i="13" s="1"/>
  <c r="R191" i="13"/>
  <c r="S191" i="13" s="1"/>
  <c r="R35" i="13"/>
  <c r="S35" i="13" s="1"/>
  <c r="R206" i="13"/>
  <c r="S206" i="13" s="1"/>
  <c r="R67" i="13"/>
  <c r="S67" i="13" s="1"/>
  <c r="R69" i="13"/>
  <c r="S69" i="13" s="1"/>
  <c r="R141" i="13"/>
  <c r="S141" i="13" s="1"/>
  <c r="R24" i="13"/>
  <c r="S24" i="13" s="1"/>
  <c r="R11" i="13"/>
  <c r="S11" i="13" s="1"/>
  <c r="R55" i="13"/>
  <c r="S55" i="13" s="1"/>
  <c r="R213" i="13"/>
  <c r="S213" i="13" s="1"/>
  <c r="R183" i="13"/>
  <c r="S183" i="13" s="1"/>
  <c r="R235" i="13"/>
  <c r="S235" i="13" s="1"/>
  <c r="R201" i="13"/>
  <c r="S201" i="13" s="1"/>
  <c r="R105" i="13"/>
  <c r="S105" i="13" s="1"/>
  <c r="R172" i="13"/>
  <c r="S172" i="13" s="1"/>
  <c r="R13" i="13"/>
  <c r="S13" i="13" s="1"/>
  <c r="R240" i="13"/>
  <c r="S240" i="13" s="1"/>
  <c r="R310" i="13"/>
  <c r="S310" i="13" s="1"/>
  <c r="R80" i="13"/>
  <c r="S80" i="13" s="1"/>
  <c r="R154" i="13"/>
  <c r="S154" i="13" s="1"/>
  <c r="R295" i="13"/>
  <c r="S295" i="13" s="1"/>
  <c r="R312" i="13"/>
  <c r="S312" i="13" s="1"/>
  <c r="R38" i="13"/>
  <c r="S38" i="13" s="1"/>
  <c r="R12" i="13"/>
  <c r="S12" i="13" s="1"/>
  <c r="R61" i="13"/>
  <c r="S61" i="13" s="1"/>
  <c r="R75" i="13"/>
  <c r="S75" i="13" s="1"/>
  <c r="R117" i="13"/>
  <c r="S117" i="13" s="1"/>
  <c r="R138" i="13"/>
  <c r="S138" i="13" s="1"/>
  <c r="R57" i="13"/>
  <c r="S57" i="13" s="1"/>
  <c r="R281" i="13"/>
  <c r="S281" i="13" s="1"/>
  <c r="R291" i="13"/>
  <c r="S291" i="13" s="1"/>
  <c r="R156" i="13"/>
  <c r="S156" i="13" s="1"/>
  <c r="R313" i="13"/>
  <c r="S313" i="13" s="1"/>
  <c r="R47" i="13"/>
  <c r="S47" i="13" s="1"/>
  <c r="R112" i="13"/>
  <c r="S112" i="13" s="1"/>
  <c r="R185" i="13"/>
  <c r="S185" i="13" s="1"/>
  <c r="R119" i="13"/>
  <c r="S119" i="13" s="1"/>
  <c r="R177" i="13"/>
  <c r="S177" i="13" s="1"/>
  <c r="R241" i="13"/>
  <c r="S241" i="13" s="1"/>
  <c r="R131" i="13"/>
  <c r="S131" i="13" s="1"/>
  <c r="R103" i="13"/>
  <c r="S103" i="13" s="1"/>
  <c r="R242" i="13"/>
  <c r="S242" i="13" s="1"/>
  <c r="R44" i="13"/>
  <c r="S44" i="13" s="1"/>
  <c r="R128" i="13"/>
  <c r="S128" i="13" s="1"/>
  <c r="R34" i="13"/>
  <c r="S34" i="13" s="1"/>
  <c r="R86" i="13"/>
  <c r="S86" i="13" s="1"/>
  <c r="R134" i="13"/>
  <c r="S134" i="13" s="1"/>
  <c r="R102" i="13"/>
  <c r="S102" i="13" s="1"/>
  <c r="R299" i="13"/>
  <c r="S299" i="13" s="1"/>
  <c r="R182" i="13"/>
  <c r="S182" i="13" s="1"/>
  <c r="R207" i="13"/>
  <c r="S207" i="13" s="1"/>
  <c r="R33" i="13"/>
  <c r="S33" i="13" s="1"/>
  <c r="R314" i="13"/>
  <c r="S314" i="13" s="1"/>
  <c r="J315" i="25"/>
  <c r="E39" i="48"/>
  <c r="F39" i="48" s="1"/>
  <c r="F43" i="48" s="1"/>
  <c r="F55" i="48" s="1"/>
  <c r="K6" i="25"/>
  <c r="Q315" i="13"/>
  <c r="D36" i="40" s="1"/>
  <c r="R219" i="13" l="1"/>
  <c r="S219" i="13" s="1"/>
  <c r="L6" i="25"/>
  <c r="N6" i="25" s="1"/>
  <c r="K315" i="25"/>
  <c r="L315" i="25" s="1"/>
  <c r="C36" i="40" s="1"/>
  <c r="N315" i="25" l="1"/>
</calcChain>
</file>

<file path=xl/comments1.xml><?xml version="1.0" encoding="utf-8"?>
<comments xmlns="http://schemas.openxmlformats.org/spreadsheetml/2006/main">
  <authors>
    <author>Thévoz Alexandre</author>
  </authors>
  <commentList>
    <comment ref="AR117" authorId="0">
      <text>
        <r>
          <rPr>
            <b/>
            <sz val="9"/>
            <color indexed="81"/>
            <rFont val="Tahoma"/>
            <family val="2"/>
          </rPr>
          <t>SCL</t>
        </r>
        <r>
          <rPr>
            <sz val="9"/>
            <color indexed="81"/>
            <rFont val="Tahoma"/>
            <family val="2"/>
          </rPr>
          <t xml:space="preserve">
taux de 0 mais 1 dans la fiche de calcul afin de normalisé l'impôt</t>
        </r>
      </text>
    </comment>
  </commentList>
</comments>
</file>

<file path=xl/sharedStrings.xml><?xml version="1.0" encoding="utf-8"?>
<sst xmlns="http://schemas.openxmlformats.org/spreadsheetml/2006/main" count="1031" uniqueCount="604">
  <si>
    <t>en % de la moyenne après écrêtage</t>
  </si>
  <si>
    <t>pt après écrêtage</t>
  </si>
  <si>
    <t>pts écrêtés</t>
  </si>
  <si>
    <t>Valeur pt après écrêtage</t>
  </si>
  <si>
    <t>Plafonnement de l'aide</t>
  </si>
  <si>
    <t>L'Isle</t>
  </si>
  <si>
    <t>Lussery-Villars</t>
  </si>
  <si>
    <t>Mauraz</t>
  </si>
  <si>
    <t>Mex</t>
  </si>
  <si>
    <t>Moiry</t>
  </si>
  <si>
    <t>Corcelles-près-Payerne</t>
  </si>
  <si>
    <t>Grandcour</t>
  </si>
  <si>
    <t>Henniez</t>
  </si>
  <si>
    <t>Missy</t>
  </si>
  <si>
    <t>Payerne</t>
  </si>
  <si>
    <t>Trey</t>
  </si>
  <si>
    <t>Villarzel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</si>
  <si>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</si>
  <si>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</si>
  <si>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</si>
  <si>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</si>
  <si>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</si>
  <si>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</si>
  <si>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</si>
  <si>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</si>
  <si>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</si>
  <si>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</si>
  <si>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</si>
  <si>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</si>
  <si>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</si>
  <si>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</si>
  <si>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</si>
  <si>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</si>
  <si>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</si>
  <si>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Saint-Barthélemy</t>
  </si>
  <si>
    <t>Villars-le-Terroir</t>
  </si>
  <si>
    <t>Vuarrens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</si>
  <si>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</si>
  <si>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</si>
  <si>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</si>
  <si>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</si>
  <si>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</si>
  <si>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</si>
  <si>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</si>
  <si>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</si>
  <si>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</si>
  <si>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</si>
  <si>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</si>
  <si>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Plafond transports</t>
  </si>
  <si>
    <t>Plafond forêts</t>
  </si>
  <si>
    <t>No OFS</t>
  </si>
  <si>
    <t>Fonds de péréquation</t>
  </si>
  <si>
    <t>IFO normalisé à 100</t>
  </si>
  <si>
    <t>Corsier-sur-Vevey</t>
  </si>
  <si>
    <t>Jongny</t>
  </si>
  <si>
    <t>Montreux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</si>
  <si>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</si>
  <si>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</si>
  <si>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</si>
  <si>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</si>
  <si>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</si>
  <si>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</si>
  <si>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</si>
  <si>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</si>
  <si>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</si>
  <si>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</si>
  <si>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</si>
  <si>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</si>
  <si>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</si>
  <si>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</si>
  <si>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</t>
  </si>
  <si>
    <t>Habitants</t>
  </si>
  <si>
    <t>Valeur par habitant</t>
  </si>
  <si>
    <t>Valeur du point après écrêtage</t>
  </si>
  <si>
    <t>Nyon</t>
  </si>
  <si>
    <t>Prangins</t>
  </si>
  <si>
    <t>Bougy-Villars</t>
  </si>
  <si>
    <t>Yvorne</t>
  </si>
  <si>
    <t>Apples</t>
  </si>
  <si>
    <t>Aubonne</t>
  </si>
  <si>
    <t>Ballens</t>
  </si>
  <si>
    <t>Berolle</t>
  </si>
  <si>
    <t>Bière</t>
  </si>
  <si>
    <t>Taxe annuelle égoûts</t>
  </si>
  <si>
    <t>Ordures</t>
  </si>
  <si>
    <t>Taxe eau</t>
  </si>
  <si>
    <t>Taxe compl. Eau</t>
  </si>
  <si>
    <t>Pompiers</t>
  </si>
  <si>
    <t>Taxe communale de séjour</t>
  </si>
  <si>
    <t>Total taxes</t>
  </si>
  <si>
    <t>Taux communal</t>
  </si>
  <si>
    <t>ISP</t>
  </si>
  <si>
    <t>IPE</t>
  </si>
  <si>
    <t>IBC</t>
  </si>
  <si>
    <t>IET</t>
  </si>
  <si>
    <t>ISO</t>
  </si>
  <si>
    <t>IMM</t>
  </si>
  <si>
    <t>IFO</t>
  </si>
  <si>
    <t>STO</t>
  </si>
  <si>
    <t>IFR</t>
  </si>
  <si>
    <t>ISD</t>
  </si>
  <si>
    <t>DMU</t>
  </si>
  <si>
    <t>IGI</t>
  </si>
  <si>
    <t>IPA</t>
  </si>
  <si>
    <t>ICH</t>
  </si>
  <si>
    <t>IDI</t>
  </si>
  <si>
    <t>IDV</t>
  </si>
  <si>
    <t>TOT</t>
  </si>
  <si>
    <t>Taxegout</t>
  </si>
  <si>
    <t>Taxcegou</t>
  </si>
  <si>
    <t>Taxaneg</t>
  </si>
  <si>
    <t>Taxenc</t>
  </si>
  <si>
    <t>Ordure</t>
  </si>
  <si>
    <t>Taxeau</t>
  </si>
  <si>
    <t>Taxceau</t>
  </si>
  <si>
    <t>Facture sociale à charge des communes</t>
  </si>
  <si>
    <t>Facture sociale</t>
  </si>
  <si>
    <t>Alimentation</t>
  </si>
  <si>
    <t>./. Dép. thématiques</t>
  </si>
  <si>
    <t>Commune</t>
  </si>
  <si>
    <t>Chiens</t>
  </si>
  <si>
    <t>Divertissements</t>
  </si>
  <si>
    <t>Divers</t>
  </si>
  <si>
    <t>Taxe egoûts</t>
  </si>
  <si>
    <t>Taxe compl. Égoûts</t>
  </si>
  <si>
    <t>Chavannes-sur-Moudon</t>
  </si>
  <si>
    <t>Curtilles</t>
  </si>
  <si>
    <t>Dompierre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</si>
  <si>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</si>
  <si>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</si>
  <si>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</si>
  <si>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</si>
  <si>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</si>
  <si>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</si>
  <si>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</si>
  <si>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</si>
  <si>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</si>
  <si>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</si>
  <si>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Arnex-sur-Nyon</t>
  </si>
  <si>
    <t>Bassins</t>
  </si>
  <si>
    <t>Chessel</t>
  </si>
  <si>
    <t>Corbeyrier</t>
  </si>
  <si>
    <t>Gryon</t>
  </si>
  <si>
    <t>Lavey-Morcles</t>
  </si>
  <si>
    <t>Leysin</t>
  </si>
  <si>
    <t>Noville</t>
  </si>
  <si>
    <t>Ollon</t>
  </si>
  <si>
    <t>Sainte-Croix</t>
  </si>
  <si>
    <t>Lausanne</t>
  </si>
  <si>
    <t>Le Mont-sur-Lausanne</t>
  </si>
  <si>
    <t>Paudex</t>
  </si>
  <si>
    <t>Prilly</t>
  </si>
  <si>
    <t>Pully</t>
  </si>
  <si>
    <t>Taux projeté</t>
  </si>
  <si>
    <t>Plafonnement du taux</t>
  </si>
  <si>
    <t>Contrôle du taux projeté</t>
  </si>
  <si>
    <t>Rivaz</t>
  </si>
  <si>
    <t>St-Saphorin (Lavaux)</t>
  </si>
  <si>
    <t>Ormont-Dessous</t>
  </si>
  <si>
    <t>Ormont-Dessus</t>
  </si>
  <si>
    <t>Rennaz</t>
  </si>
  <si>
    <t>Roche</t>
  </si>
  <si>
    <t>Villeneuve</t>
  </si>
  <si>
    <t>Romainmôtier-Envy</t>
  </si>
  <si>
    <t>Sergey</t>
  </si>
  <si>
    <t>Valeyres-sous-Rances</t>
  </si>
  <si>
    <t>Total</t>
  </si>
  <si>
    <t>Dépenses thématiques</t>
  </si>
  <si>
    <t>Ferreyres</t>
  </si>
  <si>
    <t>Gollion</t>
  </si>
  <si>
    <t>Grancy</t>
  </si>
  <si>
    <t>Forel (Lavaux)</t>
  </si>
  <si>
    <t>Lutry</t>
  </si>
  <si>
    <t>Péréquation directe nette</t>
  </si>
  <si>
    <t>Plafond en pts</t>
  </si>
  <si>
    <t>Bremblens</t>
  </si>
  <si>
    <t>Buchillon</t>
  </si>
  <si>
    <t>Yvonand</t>
  </si>
  <si>
    <t>Yverdon-les-Bains</t>
  </si>
  <si>
    <t>Clarmont</t>
  </si>
  <si>
    <t>Denens</t>
  </si>
  <si>
    <t>Denges</t>
  </si>
  <si>
    <t>Echandens</t>
  </si>
  <si>
    <t>Echichens</t>
  </si>
  <si>
    <t>Ecublens</t>
  </si>
  <si>
    <t>Etoy</t>
  </si>
  <si>
    <t>Lavigny</t>
  </si>
  <si>
    <t>Lonay</t>
  </si>
  <si>
    <t>Lully</t>
  </si>
  <si>
    <t>Lussy-sur-Morges</t>
  </si>
  <si>
    <t>Morges</t>
  </si>
  <si>
    <t>Préverenges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</si>
  <si>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</si>
  <si>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</si>
  <si>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</si>
  <si>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</si>
  <si>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</si>
  <si>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</si>
  <si>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</si>
  <si>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</si>
  <si>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</si>
  <si>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</si>
  <si>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</si>
  <si>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</si>
  <si>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</si>
  <si>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</si>
  <si>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</si>
  <si>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</si>
  <si>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</si>
  <si>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</t>
  </si>
  <si>
    <t>Echallens</t>
  </si>
  <si>
    <t>Essertines-sur-Yverdon</t>
  </si>
  <si>
    <t>Etagnières</t>
  </si>
  <si>
    <t>Fey</t>
  </si>
  <si>
    <t>Froideville</t>
  </si>
  <si>
    <t>Morrens</t>
  </si>
  <si>
    <t>Oulens-sous-Echallens</t>
  </si>
  <si>
    <t>Pailly</t>
  </si>
  <si>
    <t>Penthéréaz</t>
  </si>
  <si>
    <t>Poliez-Pittet</t>
  </si>
  <si>
    <t>Rueyres</t>
  </si>
  <si>
    <t>Sous-total</t>
  </si>
  <si>
    <t>Frontaliers</t>
  </si>
  <si>
    <t>Successions et donations</t>
  </si>
  <si>
    <t>Droits de mutation</t>
  </si>
  <si>
    <t>Gains immobiliers</t>
  </si>
  <si>
    <t>Patentes</t>
  </si>
  <si>
    <t>Villars-sous-Yens</t>
  </si>
  <si>
    <t>Vufflens-le-Château</t>
  </si>
  <si>
    <t>Vullierens</t>
  </si>
  <si>
    <t>Yens</t>
  </si>
  <si>
    <t>Boulens</t>
  </si>
  <si>
    <t>Bussy-sur-Moudon</t>
  </si>
  <si>
    <t>Le Chenit</t>
  </si>
  <si>
    <t>Le Lieu</t>
  </si>
  <si>
    <t>Blonay</t>
  </si>
  <si>
    <t>Chardonne</t>
  </si>
  <si>
    <t>Corseaux</t>
  </si>
  <si>
    <t>Boussens</t>
  </si>
  <si>
    <t>La Chaux (Cossonay)</t>
  </si>
  <si>
    <t>Plafonnement de l'effort</t>
  </si>
  <si>
    <t>Solde net des péréquations</t>
  </si>
  <si>
    <t>Prise en charge dépassement</t>
  </si>
  <si>
    <t>Forêts</t>
  </si>
  <si>
    <t>Dépassement forêts</t>
  </si>
  <si>
    <t>Romanel-sur-Lausanne</t>
  </si>
  <si>
    <t>La Praz</t>
  </si>
  <si>
    <t>Premier</t>
  </si>
  <si>
    <t>Rances</t>
  </si>
  <si>
    <t>Indicateurs financiers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</si>
  <si>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</si>
  <si>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</si>
  <si>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</si>
  <si>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</si>
  <si>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</si>
  <si>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</si>
  <si>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</si>
  <si>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</si>
  <si>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</si>
  <si>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</si>
  <si>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</si>
  <si>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</si>
  <si>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</si>
  <si>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</si>
  <si>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</si>
  <si>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</si>
  <si>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</si>
  <si>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</si>
  <si>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</si>
  <si>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</si>
  <si>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Cottens</t>
  </si>
  <si>
    <t>Cuarnens</t>
  </si>
  <si>
    <t>Daillens</t>
  </si>
  <si>
    <t>Dizy</t>
  </si>
  <si>
    <t>Eclépens</t>
  </si>
  <si>
    <t>Pertes débiteurs</t>
  </si>
  <si>
    <t>Modif. Ant.</t>
  </si>
  <si>
    <t>Imputation forfaitaire</t>
  </si>
  <si>
    <t>Pers. physiques - revenu/fortune corrigé</t>
  </si>
  <si>
    <t>IRF corrrigé</t>
  </si>
  <si>
    <t xml:space="preserve">Pers. physiques - revenu/fortune </t>
  </si>
  <si>
    <t xml:space="preserve">IRF </t>
  </si>
  <si>
    <t>Taxe annuelle compl égoûts (association)</t>
  </si>
  <si>
    <t>Plafond effort</t>
  </si>
  <si>
    <t>Plafond taux</t>
  </si>
  <si>
    <t>Chavannes-près-Renens</t>
  </si>
  <si>
    <t>Chigny</t>
  </si>
  <si>
    <t>Diff. De taux</t>
  </si>
  <si>
    <t>Impôt spécial affecté</t>
  </si>
  <si>
    <t>Impôt personnel</t>
  </si>
  <si>
    <t>Pers. morales bénéfice / capital</t>
  </si>
  <si>
    <t>Pompier</t>
  </si>
  <si>
    <t>Taxcomse</t>
  </si>
  <si>
    <t>Tot. taxes</t>
  </si>
  <si>
    <t>Aigle</t>
  </si>
  <si>
    <t>Bex</t>
  </si>
  <si>
    <t>Taux après déduction de l'effort péréquatif</t>
  </si>
  <si>
    <t>Somme des efforts péréquatifs prévus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</si>
  <si>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</si>
  <si>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</si>
  <si>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</si>
  <si>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</si>
  <si>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</si>
  <si>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</si>
  <si>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</si>
  <si>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</si>
  <si>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Montagny-près-Yverdon</t>
  </si>
  <si>
    <t>Oppens</t>
  </si>
  <si>
    <t>Orges</t>
  </si>
  <si>
    <t>Ursins</t>
  </si>
  <si>
    <t>Vugelles-La Mothe</t>
  </si>
  <si>
    <t>./. Gestion du fonds</t>
  </si>
  <si>
    <t>Corcelles-le-Jorat</t>
  </si>
  <si>
    <t>Essertes</t>
  </si>
  <si>
    <t>Maracon</t>
  </si>
  <si>
    <t>Montpreveyres</t>
  </si>
  <si>
    <t>Ropraz</t>
  </si>
  <si>
    <t>Servion</t>
  </si>
  <si>
    <t>Mutrux</t>
  </si>
  <si>
    <t>Novalles</t>
  </si>
  <si>
    <t>Onnens</t>
  </si>
  <si>
    <t>Provence</t>
  </si>
  <si>
    <t>Recettes conjoncturelles en pts</t>
  </si>
  <si>
    <t>A répartir selon clé</t>
  </si>
  <si>
    <t>en % de la moyenne</t>
  </si>
  <si>
    <t>Seuil 1</t>
  </si>
  <si>
    <t>Seuil 2</t>
  </si>
  <si>
    <t>Total écrêtage</t>
  </si>
  <si>
    <t>Seuil 0</t>
  </si>
  <si>
    <t>Montant à recevoir</t>
  </si>
  <si>
    <t>Total à recevoir</t>
  </si>
  <si>
    <t>Savigny</t>
  </si>
  <si>
    <t>Chexbres</t>
  </si>
  <si>
    <t>Villars-Epeney</t>
  </si>
  <si>
    <t>Puidoux</t>
  </si>
  <si>
    <t>Bussy-Chardonney</t>
  </si>
  <si>
    <t>Total transports</t>
  </si>
  <si>
    <t>Dépassement transports</t>
  </si>
  <si>
    <t>Population</t>
  </si>
  <si>
    <t>Capacité fiscale totale</t>
  </si>
  <si>
    <t>Montant perçu</t>
  </si>
  <si>
    <t>Bas</t>
  </si>
  <si>
    <t>Seuils de population</t>
  </si>
  <si>
    <t>Haut</t>
  </si>
  <si>
    <t>Montants</t>
  </si>
  <si>
    <t>Compensation brute</t>
  </si>
  <si>
    <t>Reverolle</t>
  </si>
  <si>
    <t>Romanel-sur-Morges</t>
  </si>
  <si>
    <t>Saint-Prex</t>
  </si>
  <si>
    <t>Saint-Sulpice</t>
  </si>
  <si>
    <t>Tolochenaz</t>
  </si>
  <si>
    <t>Vaux-sur-Morges</t>
  </si>
  <si>
    <t>Villars-Sainte-Croix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</si>
  <si>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</si>
  <si>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</si>
  <si>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</si>
  <si>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</si>
  <si>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</si>
  <si>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</si>
  <si>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</si>
  <si>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</si>
  <si>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</si>
  <si>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Péréquation directe</t>
  </si>
  <si>
    <t>Routes</t>
  </si>
  <si>
    <t>Transports publics</t>
  </si>
  <si>
    <t>Transports scolaires</t>
  </si>
  <si>
    <t>Croy</t>
  </si>
  <si>
    <t>Juriens</t>
  </si>
  <si>
    <t>Lignerolle</t>
  </si>
  <si>
    <t>Montcherand</t>
  </si>
  <si>
    <t>Orbe</t>
  </si>
  <si>
    <t>Vallorbe</t>
  </si>
  <si>
    <t>Vaulion</t>
  </si>
  <si>
    <t>Vuiteboeuf</t>
  </si>
  <si>
    <t>Effort plafonné</t>
  </si>
  <si>
    <t>Impôts suivant le taux</t>
  </si>
  <si>
    <t>Féchy</t>
  </si>
  <si>
    <t>Gimel</t>
  </si>
  <si>
    <t>Saint-Livres</t>
  </si>
  <si>
    <t>Saint-Oyens</t>
  </si>
  <si>
    <t>Saubraz</t>
  </si>
  <si>
    <t>Avenches</t>
  </si>
  <si>
    <t>Cudrefin</t>
  </si>
  <si>
    <t>Faoug</t>
  </si>
  <si>
    <t>Bettens</t>
  </si>
  <si>
    <t>Bournens</t>
  </si>
  <si>
    <t>% taux communal moyen</t>
  </si>
  <si>
    <t>Compensation nette</t>
  </si>
  <si>
    <t>Différence à compenser</t>
  </si>
  <si>
    <t>A recevoir population</t>
  </si>
  <si>
    <t>Total péréquation directe</t>
  </si>
  <si>
    <t>Total éléments divers</t>
  </si>
  <si>
    <t>Effort total net</t>
  </si>
  <si>
    <t xml:space="preserve">Taux actuel </t>
  </si>
  <si>
    <t xml:space="preserve">Solde net actuel
</t>
  </si>
  <si>
    <t xml:space="preserve">Taux </t>
  </si>
  <si>
    <t>Pop.</t>
  </si>
  <si>
    <t>Longirod</t>
  </si>
  <si>
    <t>Marchissy</t>
  </si>
  <si>
    <t>Mollens</t>
  </si>
  <si>
    <t>Montherod</t>
  </si>
  <si>
    <t>Saint-George</t>
  </si>
  <si>
    <t>Total des prises en charges</t>
  </si>
  <si>
    <t>Thématique</t>
  </si>
  <si>
    <t>Effort total</t>
  </si>
  <si>
    <t>Valeur du point</t>
  </si>
  <si>
    <t>Plafonnement en francs</t>
  </si>
  <si>
    <t>Chavannes-le-Veyron</t>
  </si>
  <si>
    <t>Chevilly</t>
  </si>
  <si>
    <t>Cossonay</t>
  </si>
  <si>
    <t>./. Conjoncturelles</t>
  </si>
  <si>
    <t>./. Ecrêtage</t>
  </si>
  <si>
    <t>Paramétrage des critères de péréquation</t>
  </si>
  <si>
    <t>Prise en charge (%)</t>
  </si>
  <si>
    <t>Montants affectés aux plafonnements</t>
  </si>
  <si>
    <t>Seuil max (pts)</t>
  </si>
  <si>
    <t>Impôt sur les étrangers</t>
  </si>
  <si>
    <t>Impôt à la source</t>
  </si>
  <si>
    <t>Pers. morales immeubles</t>
  </si>
  <si>
    <t>Impôt foncier</t>
  </si>
  <si>
    <t>Vulliens</t>
  </si>
  <si>
    <t>Champtauroz</t>
  </si>
  <si>
    <t>Chevroux</t>
  </si>
  <si>
    <t>Belmont-sur-Lausanne</t>
  </si>
  <si>
    <t>Cheseaux-sur-Lausanne</t>
  </si>
  <si>
    <t>Crissier</t>
  </si>
  <si>
    <t>Epalinges</t>
  </si>
  <si>
    <t>Jouxtens-Mézery</t>
  </si>
  <si>
    <t>Mathod</t>
  </si>
  <si>
    <t>Molondin</t>
  </si>
  <si>
    <t>Renens</t>
  </si>
  <si>
    <t>Valeyres-sous-Montagny</t>
  </si>
  <si>
    <t>Valeyres-sous-Ursins</t>
  </si>
  <si>
    <t>Orzens</t>
  </si>
  <si>
    <t>Pomy</t>
  </si>
  <si>
    <t>Rovray</t>
  </si>
  <si>
    <t>Suchy</t>
  </si>
  <si>
    <t>Suscévaz</t>
  </si>
  <si>
    <t>Treycovagnes</t>
  </si>
  <si>
    <t>Aclens</t>
  </si>
  <si>
    <t>Total part communale</t>
  </si>
  <si>
    <t>Répartition selon péréquation</t>
  </si>
  <si>
    <t>Solde péréquation directe</t>
  </si>
  <si>
    <t>Points</t>
  </si>
  <si>
    <t>Seuil 3</t>
  </si>
  <si>
    <t>Effort total sans thématiques</t>
  </si>
  <si>
    <t>Plafonnement aide</t>
  </si>
  <si>
    <t>Pers. physiques - revenu</t>
  </si>
  <si>
    <t xml:space="preserve">Pers. physiques - fortune </t>
  </si>
  <si>
    <t xml:space="preserve">Pers. morales bénéfice </t>
  </si>
  <si>
    <t>Pers. morales  capital</t>
  </si>
  <si>
    <t>Impôt sur la dépense (étrangers)</t>
  </si>
  <si>
    <t>Impôt récupéré après défalcation</t>
  </si>
  <si>
    <t>Patentes tabacs</t>
  </si>
  <si>
    <t>Patentes diverses</t>
  </si>
  <si>
    <t>Taxe épuration</t>
  </si>
  <si>
    <t>Taxe compl. Epuration</t>
  </si>
  <si>
    <t>Taxe annuelle Epuration</t>
  </si>
  <si>
    <t>Taxe annuelle encaissée par une association</t>
  </si>
  <si>
    <t>Taxe pour l'usage du sol</t>
  </si>
  <si>
    <t>taxe pour l'éclairage public</t>
  </si>
  <si>
    <t>Taxe pour l'amélioration énergétique</t>
  </si>
  <si>
    <t>Taxe pour le développement durable</t>
  </si>
  <si>
    <t>PPR</t>
  </si>
  <si>
    <t>PPF</t>
  </si>
  <si>
    <t>PMB</t>
  </si>
  <si>
    <t>PMC</t>
  </si>
  <si>
    <t>Montant plafonnement totaux</t>
  </si>
  <si>
    <t xml:space="preserve">Montant prélevé </t>
  </si>
  <si>
    <t xml:space="preserve">./. Plafonnements totaux </t>
  </si>
  <si>
    <t xml:space="preserve">./. Réserve </t>
  </si>
  <si>
    <t>Valeur du point d'impôt écrêté</t>
  </si>
  <si>
    <t>Point d'impôts écrêtés</t>
  </si>
  <si>
    <t>Recettes conjoncturelles (mutations + gains immob + successions)</t>
  </si>
  <si>
    <t>A recevoir solidarité</t>
  </si>
  <si>
    <t>Solde solidarité et population</t>
  </si>
  <si>
    <t>Bourg-en-Lavaux</t>
  </si>
  <si>
    <t>Tévenon</t>
  </si>
  <si>
    <t>Vully-les-Lacs</t>
  </si>
  <si>
    <t>Goumoëns</t>
  </si>
  <si>
    <t>Montilliez</t>
  </si>
  <si>
    <t>Jorat-Menthue</t>
  </si>
  <si>
    <t>Valbroye</t>
  </si>
  <si>
    <t>Oron</t>
  </si>
  <si>
    <t>Prélèvements conjoncturels</t>
  </si>
  <si>
    <t>Facture en points d'impôts écrêtés</t>
  </si>
  <si>
    <t>Plafond de 
taux et de l'effort</t>
  </si>
  <si>
    <t>Variation facture sociale</t>
  </si>
  <si>
    <t>Variation point d'impôt</t>
  </si>
  <si>
    <t>Indexation</t>
  </si>
  <si>
    <t>Plafond aide</t>
  </si>
  <si>
    <t>Bussigny</t>
  </si>
  <si>
    <t>Arzier-Le Muids</t>
  </si>
  <si>
    <t>Montanaire</t>
  </si>
  <si>
    <t>Valeur point impôt écrêtés</t>
  </si>
  <si>
    <t>Dépassement routes</t>
  </si>
  <si>
    <t>Droits mutations, GI, successions et donations</t>
  </si>
  <si>
    <t>Indice IPC au 1er janvier 2010</t>
  </si>
  <si>
    <t>Indice IPC au 30 juin de l'année du décompte</t>
  </si>
  <si>
    <t>Montant à affecter ajusté à l'IPC</t>
  </si>
  <si>
    <t>Population selon FAO</t>
  </si>
  <si>
    <t xml:space="preserve">Rendement des impôts et taxes communaux  (en CHF)   </t>
  </si>
  <si>
    <t>Taxe compl. eau</t>
  </si>
  <si>
    <t>Année de référence</t>
  </si>
  <si>
    <t>Valeur du point communal</t>
  </si>
  <si>
    <t>Péréquation directe - Couche Population</t>
  </si>
  <si>
    <t>Péréquation directe - Couche Solidarité</t>
  </si>
  <si>
    <t>CHF</t>
  </si>
  <si>
    <t>Pts</t>
  </si>
  <si>
    <t>A rendre en CHF</t>
  </si>
  <si>
    <t>Effort péréquatif en points</t>
  </si>
  <si>
    <t>A) Période de calcul</t>
  </si>
  <si>
    <t>B) Prélèvement sur recettes conjoncturelles</t>
  </si>
  <si>
    <t>C) Ecrêtage</t>
  </si>
  <si>
    <t>pour une capacité dépassant</t>
  </si>
  <si>
    <t>D) Couche population</t>
  </si>
  <si>
    <t>Montant à affecter par habitant</t>
  </si>
  <si>
    <t>E) Couche solidarité</t>
  </si>
  <si>
    <t>F) Ecart péréquation horizontale</t>
  </si>
  <si>
    <t>G) Dépenses thématiques</t>
  </si>
  <si>
    <t>Transports, nombre de points</t>
  </si>
  <si>
    <t>Prise en charge maximale</t>
  </si>
  <si>
    <t xml:space="preserve">I) Indexation </t>
  </si>
  <si>
    <t>H) Paramètres de plafonnement en points</t>
  </si>
  <si>
    <t>Impôts théoriques</t>
  </si>
  <si>
    <t>Synthèse en CHF</t>
  </si>
  <si>
    <t>Ecrêtage</t>
  </si>
  <si>
    <t xml:space="preserve">J) Liste des communes A--&gt;Z </t>
  </si>
  <si>
    <t>Recettes conjoncturelles (DM + GI + Succ.)</t>
  </si>
  <si>
    <t>Répartition solde après prélèvements</t>
  </si>
  <si>
    <t>Nombre de points écrêtés</t>
  </si>
  <si>
    <t>Total de la facture sociale</t>
  </si>
  <si>
    <t>Solidarité</t>
  </si>
  <si>
    <t>Transports</t>
  </si>
  <si>
    <t>Plafonnements</t>
  </si>
  <si>
    <t>Effort</t>
  </si>
  <si>
    <t>Aide</t>
  </si>
  <si>
    <t>Taux</t>
  </si>
  <si>
    <t>Total de la péréquation directe</t>
  </si>
  <si>
    <t>Montant à charge de la commune</t>
  </si>
  <si>
    <t>Résumé par commune</t>
  </si>
  <si>
    <t>Communes sans police communale/intercommunale = 0</t>
  </si>
  <si>
    <t>Imp théoriques</t>
  </si>
  <si>
    <t>Facturation de l'Etat au coût réel (Fr/hab) aux communes délégatrices, mais max 2 pts</t>
  </si>
  <si>
    <t>Manco pour l'Etat - à couvrir par la péréquation (en points d'impôts écrêtés)</t>
  </si>
  <si>
    <t>Montant total avec le renchérissement à payer par les communes en pts d'impôts écrêtés</t>
  </si>
  <si>
    <t>Total à charge des communes</t>
  </si>
  <si>
    <t>Réforme policière</t>
  </si>
  <si>
    <t>Financement reçu pour les nouvelles tâches</t>
  </si>
  <si>
    <t>J) Réforme policière</t>
  </si>
  <si>
    <t>Nombre de point</t>
  </si>
  <si>
    <t>Coût réel par habitant en CHF</t>
  </si>
  <si>
    <t>Point d'impôt écrêté</t>
  </si>
  <si>
    <t>Référome policière</t>
  </si>
  <si>
    <t>Charges pour commune sans police</t>
  </si>
  <si>
    <t>Répartition du solde</t>
  </si>
  <si>
    <t>Total net</t>
  </si>
  <si>
    <t>Facture</t>
  </si>
  <si>
    <t>Date population</t>
  </si>
  <si>
    <t>Date taux d'impôt</t>
  </si>
  <si>
    <t>Taux IFO</t>
  </si>
  <si>
    <t>Total de la réforme policière</t>
  </si>
  <si>
    <t>Date plafonnement du taux (N-1)</t>
  </si>
  <si>
    <t>Seuil de population (habitants). Art. 2 DLPIC</t>
  </si>
  <si>
    <t>Selon Art. 3 DLPIC</t>
  </si>
  <si>
    <t>Gestion du fond (montant négatif). Art. 8 DLPIC</t>
  </si>
  <si>
    <t>% prélevé. Art. 4 LPIC</t>
  </si>
  <si>
    <t>Frontaliers. Art. 3 LPIC</t>
  </si>
  <si>
    <t>Forêts, nombre de points. Art. 4 DLPIC</t>
  </si>
  <si>
    <t>Effort maximum plafonné. Art. 5 DLPIC</t>
  </si>
  <si>
    <t>Taux maximum plafoné. Art. 6 DLPIC</t>
  </si>
  <si>
    <t>Aide maximale plafonnée. Art. 7 DLPIC</t>
  </si>
  <si>
    <t>x</t>
  </si>
  <si>
    <t>P é r é q u a t i o n   i n d i r e c t e   (facture sociale)</t>
  </si>
  <si>
    <t>P é r é q u a t i o n   d i r e c t e</t>
  </si>
  <si>
    <t>R é f o r m e   p o l i c i è r e</t>
  </si>
  <si>
    <t>T o t a l   p é r é q u a t i o n   d i r e c t e,   i n d i r e c t e   e t   p o l i c e</t>
  </si>
  <si>
    <t>Treytorrens (Payerne)</t>
  </si>
  <si>
    <t>Saint-Légier-La Chiésaz</t>
  </si>
  <si>
    <t>Commune
LDecTer, Etat 01.05.2014</t>
  </si>
  <si>
    <t>Situation N-1</t>
  </si>
  <si>
    <t>Effort péréquatif. Art. 5 DLPIC</t>
  </si>
  <si>
    <t>Dépassement du taux. Art. 6 DLPIC</t>
  </si>
  <si>
    <t>Valeur du point par habitant après écrêtage</t>
  </si>
  <si>
    <t>Année 2017</t>
  </si>
  <si>
    <t>Année 2018</t>
  </si>
  <si>
    <t>Montant écrêtage pour calculer le point impôt écrêté</t>
  </si>
  <si>
    <t>*Année 2019</t>
  </si>
  <si>
    <t>* Cela équivaut à la suppression du point d'impôt écrêté</t>
  </si>
  <si>
    <t>- Changement des taux</t>
  </si>
  <si>
    <t>- Rajout palier entre 100 et 120 %</t>
  </si>
  <si>
    <t>Pour mémoire, dès 2019</t>
  </si>
  <si>
    <t>La rémunération passe de 
100 à 125 pour la 1ère tranche</t>
  </si>
  <si>
    <t>*Max. selon art. 4 DLPIC</t>
  </si>
  <si>
    <t>* Dès 2019, le plafond passera de 4 à 4.5</t>
  </si>
  <si>
    <t>Jorat-Mézières</t>
  </si>
  <si>
    <t xml:space="preserve">Année 2018 : </t>
  </si>
  <si>
    <t>Dès 2019 :</t>
  </si>
  <si>
    <t>Facture sociale selon budget 2016</t>
  </si>
  <si>
    <t>Facture sociale selon budget 2017</t>
  </si>
  <si>
    <t>Valeur du point d'impôt communal selon acomptes 2016</t>
  </si>
  <si>
    <t>Valeur du point d'impôt communal selon acomptes 2017</t>
  </si>
  <si>
    <t>Acomptes 2017</t>
  </si>
  <si>
    <t>Total des prises en charges pour plfd aide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</si>
</sst>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 * #,##0.00_ ;_ * \-#,##0.00_ ;_ * &quot;-&quot;??_ ;_ @_ "/>
    <numFmt numFmtId="164" formatCode="_-* #,##0.00_-;\-* #,##0.00_-;_-* &quot;-&quot;??_-;_-@_-"/>
    <numFmt numFmtId="165" formatCode="#\ ###\ ###\ ##0"/>
    <numFmt numFmtId="166" formatCode="#,##0.0"/>
    <numFmt numFmtId="167" formatCode="0.0%"/>
    <numFmt numFmtId="168" formatCode="#\ ###\ ##0"/>
    <numFmt numFmtId="169" formatCode="0.000"/>
    <numFmt numFmtId="170" formatCode="#,##0.000"/>
    <numFmt numFmtId="171" formatCode="#,##0;\-#,##0;"/>
    <numFmt numFmtId="172" formatCode="#,##0.000000"/>
    <numFmt numFmtId="173" formatCode="0.0000"/>
    <numFmt numFmtId="174" formatCode="_-* #,##0_-;\-* #,##0_-;_-* &quot;-&quot;??_-;_-@_-"/>
    <numFmt numFmtId="175" formatCode="_ * #,##0_ ;_ * \-#,##0_ ;_ * &quot;-&quot;??_ ;_ @_ "/>
    <numFmt numFmtId="176" formatCode="_-* #,##0.0_-;\-* #,##0.0_-;_-* &quot;-&quot;??_-;_-@_-"/>
    <numFmt numFmtId="177" formatCode="_ * #,##0.000_ ;_ * \-#,##0.000_ ;_ * &quot;-&quot;??_ ;_ @_ "/>
  </numFmts>
  <fonts count="30" x14ac:knownFonts="1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 Narrow"/>
      <family val="2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8"/>
      <name val="Calibri"/>
      <family val="2"/>
      <scheme val="minor"/>
    </font>
    <font>
      <sz val="24"/>
      <name val="Calibri"/>
      <family val="2"/>
      <scheme val="minor"/>
    </font>
    <font>
      <sz val="20"/>
      <name val="Calibri"/>
      <family val="2"/>
      <scheme val="minor"/>
    </font>
    <font>
      <sz val="20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2"/>
      <color theme="0"/>
      <name val="Trebuchet MS"/>
      <family val="2"/>
    </font>
    <font>
      <b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name val="Trebuchet MS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9" fillId="0" borderId="1"/>
    <xf numFmtId="0" fontId="10" fillId="0" borderId="0"/>
    <xf numFmtId="0" fontId="9" fillId="0" borderId="2">
      <alignment vertical="top"/>
    </xf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8" fillId="0" borderId="0"/>
    <xf numFmtId="0" fontId="6" fillId="0" borderId="0"/>
    <xf numFmtId="0" fontId="12" fillId="0" borderId="0"/>
    <xf numFmtId="0" fontId="5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1" fillId="0" borderId="0"/>
  </cellStyleXfs>
  <cellXfs count="464">
    <xf numFmtId="0" fontId="0" fillId="0" borderId="0" xfId="0"/>
    <xf numFmtId="174" fontId="14" fillId="0" borderId="0" xfId="4" applyNumberFormat="1" applyFont="1" applyFill="1" applyBorder="1"/>
    <xf numFmtId="174" fontId="14" fillId="2" borderId="0" xfId="4" applyNumberFormat="1" applyFont="1" applyFill="1" applyBorder="1"/>
    <xf numFmtId="174" fontId="14" fillId="2" borderId="5" xfId="4" applyNumberFormat="1" applyFont="1" applyFill="1" applyBorder="1"/>
    <xf numFmtId="174" fontId="14" fillId="3" borderId="5" xfId="4" applyNumberFormat="1" applyFont="1" applyFill="1" applyBorder="1"/>
    <xf numFmtId="0" fontId="14" fillId="4" borderId="0" xfId="0" applyNumberFormat="1" applyFont="1" applyFill="1" applyAlignment="1">
      <alignment horizontal="left"/>
    </xf>
    <xf numFmtId="0" fontId="14" fillId="4" borderId="0" xfId="0" applyNumberFormat="1" applyFont="1" applyFill="1" applyAlignment="1">
      <alignment horizontal="center"/>
    </xf>
    <xf numFmtId="174" fontId="14" fillId="4" borderId="0" xfId="4" applyNumberFormat="1" applyFont="1" applyFill="1" applyAlignment="1">
      <alignment horizontal="center"/>
    </xf>
    <xf numFmtId="174" fontId="14" fillId="4" borderId="0" xfId="4" applyNumberFormat="1" applyFont="1" applyFill="1"/>
    <xf numFmtId="174" fontId="14" fillId="4" borderId="0" xfId="4" applyNumberFormat="1" applyFont="1" applyFill="1" applyAlignment="1">
      <alignment horizontal="left"/>
    </xf>
    <xf numFmtId="174" fontId="15" fillId="4" borderId="0" xfId="4" applyNumberFormat="1" applyFont="1" applyFill="1"/>
    <xf numFmtId="0" fontId="14" fillId="4" borderId="15" xfId="0" applyNumberFormat="1" applyFont="1" applyFill="1" applyBorder="1" applyAlignment="1">
      <alignment horizontal="center"/>
    </xf>
    <xf numFmtId="0" fontId="14" fillId="4" borderId="5" xfId="0" applyNumberFormat="1" applyFont="1" applyFill="1" applyBorder="1" applyAlignment="1">
      <alignment horizontal="center"/>
    </xf>
    <xf numFmtId="3" fontId="14" fillId="4" borderId="9" xfId="0" applyNumberFormat="1" applyFont="1" applyFill="1" applyBorder="1"/>
    <xf numFmtId="174" fontId="14" fillId="4" borderId="5" xfId="4" applyNumberFormat="1" applyFont="1" applyFill="1" applyBorder="1"/>
    <xf numFmtId="174" fontId="14" fillId="4" borderId="15" xfId="4" applyNumberFormat="1" applyFont="1" applyFill="1" applyBorder="1"/>
    <xf numFmtId="165" fontId="14" fillId="4" borderId="0" xfId="0" applyNumberFormat="1" applyFont="1" applyFill="1"/>
    <xf numFmtId="3" fontId="14" fillId="4" borderId="0" xfId="0" applyNumberFormat="1" applyFont="1" applyFill="1"/>
    <xf numFmtId="0" fontId="14" fillId="4" borderId="0" xfId="0" applyFont="1" applyFill="1"/>
    <xf numFmtId="174" fontId="14" fillId="4" borderId="0" xfId="4" applyNumberFormat="1" applyFont="1" applyFill="1" applyBorder="1"/>
    <xf numFmtId="164" fontId="14" fillId="4" borderId="0" xfId="4" applyFont="1" applyFill="1"/>
    <xf numFmtId="0" fontId="14" fillId="4" borderId="0" xfId="0" applyFont="1" applyFill="1" applyAlignment="1">
      <alignment vertical="top" wrapText="1"/>
    </xf>
    <xf numFmtId="164" fontId="14" fillId="4" borderId="5" xfId="4" applyFont="1" applyFill="1" applyBorder="1" applyAlignment="1">
      <alignment horizontal="center"/>
    </xf>
    <xf numFmtId="165" fontId="14" fillId="4" borderId="0" xfId="0" applyNumberFormat="1" applyFont="1" applyFill="1" applyBorder="1"/>
    <xf numFmtId="164" fontId="14" fillId="4" borderId="0" xfId="0" applyNumberFormat="1" applyFont="1" applyFill="1"/>
    <xf numFmtId="174" fontId="14" fillId="4" borderId="3" xfId="4" applyNumberFormat="1" applyFont="1" applyFill="1" applyBorder="1"/>
    <xf numFmtId="164" fontId="14" fillId="4" borderId="15" xfId="4" applyFont="1" applyFill="1" applyBorder="1"/>
    <xf numFmtId="174" fontId="13" fillId="6" borderId="15" xfId="4" applyNumberFormat="1" applyFont="1" applyFill="1" applyBorder="1" applyAlignment="1">
      <alignment horizontal="center"/>
    </xf>
    <xf numFmtId="165" fontId="13" fillId="6" borderId="15" xfId="0" applyNumberFormat="1" applyFont="1" applyFill="1" applyBorder="1" applyAlignment="1">
      <alignment horizontal="center"/>
    </xf>
    <xf numFmtId="0" fontId="14" fillId="4" borderId="0" xfId="0" applyFont="1" applyFill="1" applyAlignment="1">
      <alignment horizontal="center" vertical="top" wrapText="1"/>
    </xf>
    <xf numFmtId="164" fontId="13" fillId="6" borderId="15" xfId="4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3" fillId="6" borderId="15" xfId="4" quotePrefix="1" applyNumberFormat="1" applyFont="1" applyFill="1" applyBorder="1" applyAlignment="1">
      <alignment horizontal="center"/>
    </xf>
    <xf numFmtId="14" fontId="13" fillId="6" borderId="15" xfId="0" applyNumberFormat="1" applyFont="1" applyFill="1" applyBorder="1" applyAlignment="1">
      <alignment horizontal="center"/>
    </xf>
    <xf numFmtId="165" fontId="14" fillId="4" borderId="18" xfId="0" applyNumberFormat="1" applyFont="1" applyFill="1" applyBorder="1" applyAlignment="1">
      <alignment horizontal="center"/>
    </xf>
    <xf numFmtId="0" fontId="16" fillId="4" borderId="0" xfId="0" applyNumberFormat="1" applyFont="1" applyFill="1" applyAlignment="1">
      <alignment horizontal="left"/>
    </xf>
    <xf numFmtId="0" fontId="16" fillId="4" borderId="0" xfId="0" applyNumberFormat="1" applyFont="1" applyFill="1" applyAlignment="1">
      <alignment horizontal="center"/>
    </xf>
    <xf numFmtId="0" fontId="15" fillId="4" borderId="0" xfId="0" applyFont="1" applyFill="1"/>
    <xf numFmtId="4" fontId="14" fillId="4" borderId="0" xfId="0" applyNumberFormat="1" applyFont="1" applyFill="1"/>
    <xf numFmtId="165" fontId="14" fillId="4" borderId="0" xfId="0" applyNumberFormat="1" applyFont="1" applyFill="1" applyAlignment="1">
      <alignment horizontal="left"/>
    </xf>
    <xf numFmtId="0" fontId="14" fillId="4" borderId="15" xfId="0" applyFont="1" applyFill="1" applyBorder="1"/>
    <xf numFmtId="174" fontId="14" fillId="4" borderId="11" xfId="4" applyNumberFormat="1" applyFont="1" applyFill="1" applyBorder="1"/>
    <xf numFmtId="3" fontId="14" fillId="4" borderId="5" xfId="0" applyNumberFormat="1" applyFont="1" applyFill="1" applyBorder="1"/>
    <xf numFmtId="164" fontId="14" fillId="4" borderId="5" xfId="4" applyFont="1" applyFill="1" applyBorder="1"/>
    <xf numFmtId="2" fontId="14" fillId="4" borderId="5" xfId="0" applyNumberFormat="1" applyFont="1" applyFill="1" applyBorder="1"/>
    <xf numFmtId="2" fontId="14" fillId="4" borderId="15" xfId="0" applyNumberFormat="1" applyFont="1" applyFill="1" applyBorder="1"/>
    <xf numFmtId="174" fontId="14" fillId="4" borderId="0" xfId="0" applyNumberFormat="1" applyFont="1" applyFill="1"/>
    <xf numFmtId="174" fontId="14" fillId="5" borderId="15" xfId="4" applyNumberFormat="1" applyFont="1" applyFill="1" applyBorder="1"/>
    <xf numFmtId="174" fontId="14" fillId="3" borderId="0" xfId="4" applyNumberFormat="1" applyFont="1" applyFill="1" applyBorder="1"/>
    <xf numFmtId="174" fontId="14" fillId="3" borderId="15" xfId="4" applyNumberFormat="1" applyFont="1" applyFill="1" applyBorder="1"/>
    <xf numFmtId="3" fontId="13" fillId="6" borderId="15" xfId="0" applyNumberFormat="1" applyFont="1" applyFill="1" applyBorder="1" applyAlignment="1">
      <alignment horizontal="center"/>
    </xf>
    <xf numFmtId="0" fontId="13" fillId="6" borderId="15" xfId="0" applyNumberFormat="1" applyFont="1" applyFill="1" applyBorder="1" applyAlignment="1">
      <alignment horizontal="center"/>
    </xf>
    <xf numFmtId="174" fontId="14" fillId="4" borderId="9" xfId="4" applyNumberFormat="1" applyFont="1" applyFill="1" applyBorder="1"/>
    <xf numFmtId="3" fontId="14" fillId="4" borderId="0" xfId="11" applyNumberFormat="1" applyFont="1" applyFill="1" applyAlignment="1">
      <alignment vertical="center"/>
    </xf>
    <xf numFmtId="0" fontId="14" fillId="4" borderId="0" xfId="11" applyFont="1" applyFill="1" applyAlignment="1">
      <alignment vertical="center"/>
    </xf>
    <xf numFmtId="174" fontId="14" fillId="4" borderId="0" xfId="4" applyNumberFormat="1" applyFont="1" applyFill="1" applyAlignment="1">
      <alignment vertical="center"/>
    </xf>
    <xf numFmtId="0" fontId="14" fillId="4" borderId="0" xfId="0" applyFont="1" applyFill="1" applyBorder="1"/>
    <xf numFmtId="0" fontId="14" fillId="4" borderId="4" xfId="0" applyFont="1" applyFill="1" applyBorder="1" applyAlignment="1">
      <alignment horizontal="center"/>
    </xf>
    <xf numFmtId="3" fontId="14" fillId="4" borderId="4" xfId="0" applyNumberFormat="1" applyFont="1" applyFill="1" applyBorder="1"/>
    <xf numFmtId="166" fontId="14" fillId="4" borderId="0" xfId="0" applyNumberFormat="1" applyFont="1" applyFill="1"/>
    <xf numFmtId="0" fontId="14" fillId="4" borderId="0" xfId="0" quotePrefix="1" applyFont="1" applyFill="1"/>
    <xf numFmtId="0" fontId="14" fillId="4" borderId="5" xfId="0" applyFont="1" applyFill="1" applyBorder="1" applyAlignment="1">
      <alignment horizontal="center"/>
    </xf>
    <xf numFmtId="3" fontId="14" fillId="4" borderId="0" xfId="0" applyNumberFormat="1" applyFont="1" applyFill="1" applyBorder="1"/>
    <xf numFmtId="0" fontId="14" fillId="4" borderId="3" xfId="0" applyFont="1" applyFill="1" applyBorder="1" applyAlignment="1">
      <alignment horizontal="center"/>
    </xf>
    <xf numFmtId="3" fontId="14" fillId="4" borderId="3" xfId="0" applyNumberFormat="1" applyFont="1" applyFill="1" applyBorder="1"/>
    <xf numFmtId="1" fontId="16" fillId="4" borderId="0" xfId="11" applyNumberFormat="1" applyFont="1" applyFill="1" applyAlignment="1">
      <alignment horizontal="left" vertical="center"/>
    </xf>
    <xf numFmtId="3" fontId="14" fillId="4" borderId="17" xfId="0" applyNumberFormat="1" applyFont="1" applyFill="1" applyBorder="1"/>
    <xf numFmtId="4" fontId="14" fillId="4" borderId="0" xfId="11" applyNumberFormat="1" applyFont="1" applyFill="1" applyAlignment="1">
      <alignment vertical="center"/>
    </xf>
    <xf numFmtId="0" fontId="15" fillId="4" borderId="0" xfId="11" applyFont="1" applyFill="1"/>
    <xf numFmtId="174" fontId="14" fillId="4" borderId="4" xfId="4" applyNumberFormat="1" applyFont="1" applyFill="1" applyBorder="1"/>
    <xf numFmtId="174" fontId="13" fillId="6" borderId="4" xfId="4" applyNumberFormat="1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174" fontId="14" fillId="5" borderId="5" xfId="4" applyNumberFormat="1" applyFont="1" applyFill="1" applyBorder="1"/>
    <xf numFmtId="165" fontId="14" fillId="4" borderId="10" xfId="0" applyNumberFormat="1" applyFont="1" applyFill="1" applyBorder="1" applyAlignment="1">
      <alignment horizontal="center"/>
    </xf>
    <xf numFmtId="0" fontId="14" fillId="4" borderId="3" xfId="0" applyNumberFormat="1" applyFont="1" applyFill="1" applyBorder="1" applyAlignment="1">
      <alignment horizontal="center"/>
    </xf>
    <xf numFmtId="0" fontId="14" fillId="4" borderId="0" xfId="11" applyFont="1" applyFill="1" applyBorder="1" applyAlignment="1">
      <alignment vertical="center"/>
    </xf>
    <xf numFmtId="10" fontId="14" fillId="4" borderId="0" xfId="12" applyNumberFormat="1" applyFont="1" applyFill="1" applyAlignment="1">
      <alignment vertical="center"/>
    </xf>
    <xf numFmtId="10" fontId="14" fillId="4" borderId="0" xfId="12" applyNumberFormat="1" applyFont="1" applyFill="1"/>
    <xf numFmtId="10" fontId="14" fillId="4" borderId="5" xfId="12" applyNumberFormat="1" applyFont="1" applyFill="1" applyBorder="1"/>
    <xf numFmtId="4" fontId="14" fillId="4" borderId="15" xfId="0" applyNumberFormat="1" applyFont="1" applyFill="1" applyBorder="1"/>
    <xf numFmtId="10" fontId="14" fillId="4" borderId="15" xfId="12" applyNumberFormat="1" applyFont="1" applyFill="1" applyBorder="1"/>
    <xf numFmtId="0" fontId="13" fillId="6" borderId="4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4" fillId="4" borderId="3" xfId="0" applyFont="1" applyFill="1" applyBorder="1"/>
    <xf numFmtId="4" fontId="14" fillId="4" borderId="11" xfId="0" applyNumberFormat="1" applyFont="1" applyFill="1" applyBorder="1"/>
    <xf numFmtId="9" fontId="13" fillId="6" borderId="15" xfId="12" applyNumberFormat="1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9" fontId="13" fillId="6" borderId="15" xfId="12" applyNumberFormat="1" applyFont="1" applyFill="1" applyBorder="1" applyAlignment="1">
      <alignment horizontal="center" vertical="center"/>
    </xf>
    <xf numFmtId="164" fontId="13" fillId="6" borderId="15" xfId="4" applyFont="1" applyFill="1" applyBorder="1" applyAlignment="1">
      <alignment vertical="center" wrapText="1"/>
    </xf>
    <xf numFmtId="4" fontId="14" fillId="4" borderId="12" xfId="0" applyNumberFormat="1" applyFont="1" applyFill="1" applyBorder="1"/>
    <xf numFmtId="168" fontId="14" fillId="4" borderId="0" xfId="11" applyNumberFormat="1" applyFont="1" applyFill="1" applyAlignment="1">
      <alignment vertical="center"/>
    </xf>
    <xf numFmtId="174" fontId="14" fillId="4" borderId="8" xfId="4" applyNumberFormat="1" applyFont="1" applyFill="1" applyBorder="1"/>
    <xf numFmtId="174" fontId="14" fillId="4" borderId="16" xfId="4" applyNumberFormat="1" applyFont="1" applyFill="1" applyBorder="1"/>
    <xf numFmtId="174" fontId="14" fillId="4" borderId="10" xfId="4" applyNumberFormat="1" applyFont="1" applyFill="1" applyBorder="1"/>
    <xf numFmtId="174" fontId="14" fillId="4" borderId="17" xfId="4" applyNumberFormat="1" applyFont="1" applyFill="1" applyBorder="1"/>
    <xf numFmtId="174" fontId="14" fillId="4" borderId="18" xfId="4" applyNumberFormat="1" applyFont="1" applyFill="1" applyBorder="1"/>
    <xf numFmtId="169" fontId="14" fillId="4" borderId="0" xfId="0" applyNumberFormat="1" applyFont="1" applyFill="1"/>
    <xf numFmtId="0" fontId="14" fillId="4" borderId="0" xfId="0" applyFont="1" applyFill="1" applyAlignment="1">
      <alignment vertical="top"/>
    </xf>
    <xf numFmtId="3" fontId="14" fillId="4" borderId="0" xfId="0" applyNumberFormat="1" applyFont="1" applyFill="1" applyAlignment="1">
      <alignment vertical="top"/>
    </xf>
    <xf numFmtId="3" fontId="14" fillId="4" borderId="0" xfId="0" applyNumberFormat="1" applyFont="1" applyFill="1" applyBorder="1" applyAlignment="1">
      <alignment vertical="top" wrapText="1"/>
    </xf>
    <xf numFmtId="0" fontId="14" fillId="4" borderId="18" xfId="0" applyFont="1" applyFill="1" applyBorder="1"/>
    <xf numFmtId="0" fontId="14" fillId="4" borderId="6" xfId="0" applyFont="1" applyFill="1" applyBorder="1"/>
    <xf numFmtId="0" fontId="14" fillId="4" borderId="7" xfId="0" applyFont="1" applyFill="1" applyBorder="1"/>
    <xf numFmtId="0" fontId="14" fillId="4" borderId="15" xfId="0" applyFont="1" applyFill="1" applyBorder="1" applyAlignment="1">
      <alignment horizontal="center"/>
    </xf>
    <xf numFmtId="0" fontId="14" fillId="4" borderId="8" xfId="0" applyFont="1" applyFill="1" applyBorder="1"/>
    <xf numFmtId="0" fontId="14" fillId="4" borderId="12" xfId="0" applyFont="1" applyFill="1" applyBorder="1"/>
    <xf numFmtId="0" fontId="14" fillId="4" borderId="9" xfId="0" applyFont="1" applyFill="1" applyBorder="1"/>
    <xf numFmtId="0" fontId="14" fillId="4" borderId="11" xfId="0" applyFont="1" applyFill="1" applyBorder="1"/>
    <xf numFmtId="0" fontId="14" fillId="4" borderId="10" xfId="0" applyFont="1" applyFill="1" applyBorder="1"/>
    <xf numFmtId="0" fontId="14" fillId="4" borderId="13" xfId="0" applyFont="1" applyFill="1" applyBorder="1"/>
    <xf numFmtId="172" fontId="14" fillId="4" borderId="0" xfId="0" applyNumberFormat="1" applyFont="1" applyFill="1" applyAlignment="1">
      <alignment vertical="top"/>
    </xf>
    <xf numFmtId="0" fontId="14" fillId="4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left"/>
    </xf>
    <xf numFmtId="0" fontId="14" fillId="4" borderId="10" xfId="0" applyFont="1" applyFill="1" applyBorder="1" applyAlignment="1">
      <alignment horizontal="left"/>
    </xf>
    <xf numFmtId="174" fontId="14" fillId="4" borderId="12" xfId="4" applyNumberFormat="1" applyFont="1" applyFill="1" applyBorder="1"/>
    <xf numFmtId="164" fontId="14" fillId="4" borderId="4" xfId="4" applyFont="1" applyFill="1" applyBorder="1"/>
    <xf numFmtId="164" fontId="14" fillId="4" borderId="3" xfId="4" applyFont="1" applyFill="1" applyBorder="1"/>
    <xf numFmtId="3" fontId="14" fillId="4" borderId="8" xfId="0" applyNumberFormat="1" applyFont="1" applyFill="1" applyBorder="1"/>
    <xf numFmtId="3" fontId="14" fillId="4" borderId="10" xfId="0" applyNumberFormat="1" applyFont="1" applyFill="1" applyBorder="1"/>
    <xf numFmtId="3" fontId="14" fillId="4" borderId="18" xfId="0" applyNumberFormat="1" applyFont="1" applyFill="1" applyBorder="1"/>
    <xf numFmtId="3" fontId="14" fillId="4" borderId="13" xfId="0" applyNumberFormat="1" applyFont="1" applyFill="1" applyBorder="1" applyAlignment="1">
      <alignment horizontal="center" vertical="top" wrapText="1"/>
    </xf>
    <xf numFmtId="168" fontId="14" fillId="4" borderId="0" xfId="0" applyNumberFormat="1" applyFont="1" applyFill="1"/>
    <xf numFmtId="3" fontId="14" fillId="4" borderId="4" xfId="12" applyNumberFormat="1" applyFont="1" applyFill="1" applyBorder="1"/>
    <xf numFmtId="3" fontId="14" fillId="4" borderId="5" xfId="12" applyNumberFormat="1" applyFont="1" applyFill="1" applyBorder="1"/>
    <xf numFmtId="3" fontId="14" fillId="4" borderId="3" xfId="12" applyNumberFormat="1" applyFont="1" applyFill="1" applyBorder="1"/>
    <xf numFmtId="3" fontId="14" fillId="4" borderId="15" xfId="12" applyNumberFormat="1" applyFont="1" applyFill="1" applyBorder="1"/>
    <xf numFmtId="176" fontId="14" fillId="4" borderId="5" xfId="4" applyNumberFormat="1" applyFont="1" applyFill="1" applyBorder="1"/>
    <xf numFmtId="176" fontId="14" fillId="4" borderId="3" xfId="4" applyNumberFormat="1" applyFont="1" applyFill="1" applyBorder="1"/>
    <xf numFmtId="164" fontId="14" fillId="4" borderId="15" xfId="4" applyNumberFormat="1" applyFont="1" applyFill="1" applyBorder="1"/>
    <xf numFmtId="174" fontId="14" fillId="8" borderId="15" xfId="4" applyNumberFormat="1" applyFont="1" applyFill="1" applyBorder="1"/>
    <xf numFmtId="174" fontId="14" fillId="5" borderId="4" xfId="4" applyNumberFormat="1" applyFont="1" applyFill="1" applyBorder="1"/>
    <xf numFmtId="174" fontId="14" fillId="5" borderId="3" xfId="4" applyNumberFormat="1" applyFont="1" applyFill="1" applyBorder="1"/>
    <xf numFmtId="3" fontId="13" fillId="6" borderId="4" xfId="0" applyNumberFormat="1" applyFont="1" applyFill="1" applyBorder="1"/>
    <xf numFmtId="0" fontId="13" fillId="6" borderId="0" xfId="0" applyFont="1" applyFill="1"/>
    <xf numFmtId="0" fontId="13" fillId="6" borderId="5" xfId="0" applyFont="1" applyFill="1" applyBorder="1" applyAlignment="1">
      <alignment horizontal="center" vertical="top" wrapText="1"/>
    </xf>
    <xf numFmtId="0" fontId="14" fillId="4" borderId="8" xfId="0" applyFont="1" applyFill="1" applyBorder="1" applyAlignment="1">
      <alignment horizontal="center"/>
    </xf>
    <xf numFmtId="0" fontId="13" fillId="6" borderId="4" xfId="0" applyFont="1" applyFill="1" applyBorder="1" applyAlignment="1">
      <alignment horizontal="center"/>
    </xf>
    <xf numFmtId="0" fontId="13" fillId="6" borderId="3" xfId="0" applyFont="1" applyFill="1" applyBorder="1" applyAlignment="1">
      <alignment horizontal="center"/>
    </xf>
    <xf numFmtId="174" fontId="14" fillId="4" borderId="13" xfId="4" applyNumberFormat="1" applyFont="1" applyFill="1" applyBorder="1"/>
    <xf numFmtId="4" fontId="14" fillId="4" borderId="8" xfId="12" applyNumberFormat="1" applyFont="1" applyFill="1" applyBorder="1"/>
    <xf numFmtId="2" fontId="14" fillId="4" borderId="0" xfId="0" applyNumberFormat="1" applyFont="1" applyFill="1"/>
    <xf numFmtId="4" fontId="14" fillId="4" borderId="9" xfId="12" applyNumberFormat="1" applyFont="1" applyFill="1" applyBorder="1"/>
    <xf numFmtId="9" fontId="14" fillId="4" borderId="0" xfId="0" applyNumberFormat="1" applyFont="1" applyFill="1"/>
    <xf numFmtId="4" fontId="14" fillId="4" borderId="10" xfId="12" applyNumberFormat="1" applyFont="1" applyFill="1" applyBorder="1"/>
    <xf numFmtId="4" fontId="14" fillId="4" borderId="15" xfId="12" applyNumberFormat="1" applyFont="1" applyFill="1" applyBorder="1"/>
    <xf numFmtId="4" fontId="14" fillId="4" borderId="0" xfId="12" applyNumberFormat="1" applyFont="1" applyFill="1" applyBorder="1"/>
    <xf numFmtId="0" fontId="14" fillId="4" borderId="17" xfId="0" applyFont="1" applyFill="1" applyBorder="1"/>
    <xf numFmtId="0" fontId="13" fillId="6" borderId="4" xfId="0" applyFont="1" applyFill="1" applyBorder="1" applyAlignment="1">
      <alignment horizontal="center" vertical="top" wrapText="1"/>
    </xf>
    <xf numFmtId="9" fontId="13" fillId="6" borderId="4" xfId="0" applyNumberFormat="1" applyFont="1" applyFill="1" applyBorder="1" applyAlignment="1">
      <alignment horizontal="center"/>
    </xf>
    <xf numFmtId="174" fontId="14" fillId="5" borderId="12" xfId="4" applyNumberFormat="1" applyFont="1" applyFill="1" applyBorder="1"/>
    <xf numFmtId="174" fontId="14" fillId="5" borderId="11" xfId="4" applyNumberFormat="1" applyFont="1" applyFill="1" applyBorder="1"/>
    <xf numFmtId="174" fontId="14" fillId="5" borderId="13" xfId="4" applyNumberFormat="1" applyFont="1" applyFill="1" applyBorder="1"/>
    <xf numFmtId="3" fontId="14" fillId="4" borderId="18" xfId="12" applyNumberFormat="1" applyFont="1" applyFill="1" applyBorder="1"/>
    <xf numFmtId="170" fontId="14" fillId="4" borderId="0" xfId="0" applyNumberFormat="1" applyFont="1" applyFill="1"/>
    <xf numFmtId="2" fontId="13" fillId="6" borderId="3" xfId="0" applyNumberFormat="1" applyFont="1" applyFill="1" applyBorder="1" applyAlignment="1">
      <alignment horizontal="center" vertical="top" wrapText="1"/>
    </xf>
    <xf numFmtId="3" fontId="14" fillId="4" borderId="7" xfId="12" applyNumberFormat="1" applyFont="1" applyFill="1" applyBorder="1"/>
    <xf numFmtId="165" fontId="14" fillId="4" borderId="15" xfId="0" applyNumberFormat="1" applyFont="1" applyFill="1" applyBorder="1" applyAlignment="1">
      <alignment horizontal="center"/>
    </xf>
    <xf numFmtId="174" fontId="14" fillId="4" borderId="7" xfId="4" applyNumberFormat="1" applyFont="1" applyFill="1" applyBorder="1"/>
    <xf numFmtId="0" fontId="13" fillId="6" borderId="18" xfId="0" applyFont="1" applyFill="1" applyBorder="1"/>
    <xf numFmtId="0" fontId="13" fillId="6" borderId="6" xfId="0" applyFont="1" applyFill="1" applyBorder="1"/>
    <xf numFmtId="0" fontId="13" fillId="6" borderId="15" xfId="0" applyFont="1" applyFill="1" applyBorder="1" applyAlignment="1">
      <alignment horizontal="center"/>
    </xf>
    <xf numFmtId="166" fontId="14" fillId="4" borderId="4" xfId="0" applyNumberFormat="1" applyFont="1" applyFill="1" applyBorder="1"/>
    <xf numFmtId="0" fontId="3" fillId="4" borderId="0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center"/>
    </xf>
    <xf numFmtId="166" fontId="14" fillId="4" borderId="5" xfId="0" applyNumberFormat="1" applyFont="1" applyFill="1" applyBorder="1"/>
    <xf numFmtId="0" fontId="3" fillId="4" borderId="0" xfId="0" applyFont="1" applyFill="1" applyAlignment="1">
      <alignment horizontal="left"/>
    </xf>
    <xf numFmtId="166" fontId="14" fillId="4" borderId="3" xfId="0" applyNumberFormat="1" applyFont="1" applyFill="1" applyBorder="1"/>
    <xf numFmtId="0" fontId="13" fillId="6" borderId="16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top" wrapText="1"/>
    </xf>
    <xf numFmtId="10" fontId="13" fillId="6" borderId="3" xfId="12" applyNumberFormat="1" applyFont="1" applyFill="1" applyBorder="1" applyAlignment="1">
      <alignment vertical="center"/>
    </xf>
    <xf numFmtId="174" fontId="14" fillId="3" borderId="4" xfId="4" applyNumberFormat="1" applyFont="1" applyFill="1" applyBorder="1"/>
    <xf numFmtId="174" fontId="14" fillId="5" borderId="16" xfId="4" applyNumberFormat="1" applyFont="1" applyFill="1" applyBorder="1"/>
    <xf numFmtId="174" fontId="14" fillId="5" borderId="0" xfId="4" applyNumberFormat="1" applyFont="1" applyFill="1" applyBorder="1"/>
    <xf numFmtId="174" fontId="14" fillId="3" borderId="3" xfId="4" applyNumberFormat="1" applyFont="1" applyFill="1" applyBorder="1"/>
    <xf numFmtId="174" fontId="14" fillId="5" borderId="17" xfId="4" applyNumberFormat="1" applyFont="1" applyFill="1" applyBorder="1"/>
    <xf numFmtId="174" fontId="14" fillId="5" borderId="7" xfId="4" applyNumberFormat="1" applyFont="1" applyFill="1" applyBorder="1"/>
    <xf numFmtId="164" fontId="14" fillId="4" borderId="0" xfId="4" applyFont="1" applyFill="1" applyBorder="1" applyAlignment="1">
      <alignment vertical="center"/>
    </xf>
    <xf numFmtId="164" fontId="14" fillId="4" borderId="0" xfId="4" applyFont="1" applyFill="1" applyAlignment="1">
      <alignment vertical="center"/>
    </xf>
    <xf numFmtId="4" fontId="14" fillId="4" borderId="4" xfId="12" applyNumberFormat="1" applyFont="1" applyFill="1" applyBorder="1"/>
    <xf numFmtId="4" fontId="14" fillId="4" borderId="5" xfId="12" applyNumberFormat="1" applyFont="1" applyFill="1" applyBorder="1"/>
    <xf numFmtId="4" fontId="14" fillId="4" borderId="3" xfId="12" applyNumberFormat="1" applyFont="1" applyFill="1" applyBorder="1"/>
    <xf numFmtId="4" fontId="14" fillId="4" borderId="12" xfId="12" applyNumberFormat="1" applyFont="1" applyFill="1" applyBorder="1"/>
    <xf numFmtId="4" fontId="14" fillId="4" borderId="18" xfId="12" applyNumberFormat="1" applyFont="1" applyFill="1" applyBorder="1"/>
    <xf numFmtId="0" fontId="14" fillId="4" borderId="0" xfId="0" applyFont="1" applyFill="1" applyBorder="1" applyAlignment="1">
      <alignment horizontal="center" vertical="top" wrapText="1"/>
    </xf>
    <xf numFmtId="4" fontId="14" fillId="4" borderId="11" xfId="12" applyNumberFormat="1" applyFont="1" applyFill="1" applyBorder="1"/>
    <xf numFmtId="4" fontId="14" fillId="4" borderId="13" xfId="12" applyNumberFormat="1" applyFont="1" applyFill="1" applyBorder="1"/>
    <xf numFmtId="176" fontId="14" fillId="4" borderId="14" xfId="4" applyNumberFormat="1" applyFont="1" applyFill="1" applyBorder="1"/>
    <xf numFmtId="176" fontId="14" fillId="4" borderId="0" xfId="11" applyNumberFormat="1" applyFont="1" applyFill="1" applyAlignment="1">
      <alignment vertical="center"/>
    </xf>
    <xf numFmtId="176" fontId="14" fillId="4" borderId="0" xfId="0" applyNumberFormat="1" applyFont="1" applyFill="1"/>
    <xf numFmtId="176" fontId="13" fillId="6" borderId="4" xfId="0" applyNumberFormat="1" applyFont="1" applyFill="1" applyBorder="1" applyAlignment="1">
      <alignment horizontal="center" vertical="top" wrapText="1"/>
    </xf>
    <xf numFmtId="2" fontId="13" fillId="6" borderId="5" xfId="0" applyNumberFormat="1" applyFont="1" applyFill="1" applyBorder="1" applyAlignment="1">
      <alignment horizontal="center" vertical="top" wrapText="1"/>
    </xf>
    <xf numFmtId="171" fontId="14" fillId="4" borderId="0" xfId="0" applyNumberFormat="1" applyFont="1" applyFill="1"/>
    <xf numFmtId="166" fontId="14" fillId="4" borderId="0" xfId="12" applyNumberFormat="1" applyFont="1" applyFill="1" applyBorder="1" applyAlignment="1">
      <alignment horizontal="center" vertical="top" wrapText="1"/>
    </xf>
    <xf numFmtId="166" fontId="14" fillId="4" borderId="12" xfId="0" applyNumberFormat="1" applyFont="1" applyFill="1" applyBorder="1"/>
    <xf numFmtId="171" fontId="14" fillId="4" borderId="0" xfId="0" applyNumberFormat="1" applyFont="1" applyFill="1" applyBorder="1"/>
    <xf numFmtId="166" fontId="14" fillId="4" borderId="11" xfId="0" applyNumberFormat="1" applyFont="1" applyFill="1" applyBorder="1"/>
    <xf numFmtId="166" fontId="14" fillId="4" borderId="13" xfId="0" applyNumberFormat="1" applyFont="1" applyFill="1" applyBorder="1"/>
    <xf numFmtId="171" fontId="14" fillId="4" borderId="15" xfId="0" applyNumberFormat="1" applyFont="1" applyFill="1" applyBorder="1"/>
    <xf numFmtId="171" fontId="14" fillId="4" borderId="0" xfId="12" applyNumberFormat="1" applyFont="1" applyFill="1" applyBorder="1"/>
    <xf numFmtId="3" fontId="14" fillId="3" borderId="12" xfId="0" applyNumberFormat="1" applyFont="1" applyFill="1" applyBorder="1"/>
    <xf numFmtId="171" fontId="14" fillId="3" borderId="8" xfId="0" applyNumberFormat="1" applyFont="1" applyFill="1" applyBorder="1"/>
    <xf numFmtId="171" fontId="14" fillId="3" borderId="4" xfId="0" applyNumberFormat="1" applyFont="1" applyFill="1" applyBorder="1"/>
    <xf numFmtId="3" fontId="14" fillId="3" borderId="4" xfId="12" applyNumberFormat="1" applyFont="1" applyFill="1" applyBorder="1"/>
    <xf numFmtId="3" fontId="14" fillId="3" borderId="11" xfId="0" applyNumberFormat="1" applyFont="1" applyFill="1" applyBorder="1"/>
    <xf numFmtId="171" fontId="14" fillId="3" borderId="9" xfId="0" applyNumberFormat="1" applyFont="1" applyFill="1" applyBorder="1"/>
    <xf numFmtId="171" fontId="14" fillId="3" borderId="5" xfId="0" applyNumberFormat="1" applyFont="1" applyFill="1" applyBorder="1"/>
    <xf numFmtId="3" fontId="14" fillId="3" borderId="5" xfId="12" applyNumberFormat="1" applyFont="1" applyFill="1" applyBorder="1"/>
    <xf numFmtId="3" fontId="14" fillId="3" borderId="13" xfId="0" applyNumberFormat="1" applyFont="1" applyFill="1" applyBorder="1"/>
    <xf numFmtId="3" fontId="14" fillId="3" borderId="7" xfId="12" applyNumberFormat="1" applyFont="1" applyFill="1" applyBorder="1"/>
    <xf numFmtId="0" fontId="18" fillId="4" borderId="0" xfId="0" applyFont="1" applyFill="1"/>
    <xf numFmtId="0" fontId="19" fillId="4" borderId="5" xfId="0" applyFont="1" applyFill="1" applyBorder="1" applyAlignment="1">
      <alignment horizontal="center"/>
    </xf>
    <xf numFmtId="0" fontId="19" fillId="4" borderId="5" xfId="0" applyFont="1" applyFill="1" applyBorder="1"/>
    <xf numFmtId="3" fontId="19" fillId="4" borderId="5" xfId="12" applyNumberFormat="1" applyFont="1" applyFill="1" applyBorder="1" applyAlignment="1">
      <alignment horizontal="right"/>
    </xf>
    <xf numFmtId="0" fontId="19" fillId="4" borderId="0" xfId="0" applyFont="1" applyFill="1"/>
    <xf numFmtId="0" fontId="19" fillId="4" borderId="3" xfId="0" applyFont="1" applyFill="1" applyBorder="1" applyAlignment="1">
      <alignment horizontal="center"/>
    </xf>
    <xf numFmtId="167" fontId="14" fillId="4" borderId="0" xfId="0" applyNumberFormat="1" applyFont="1" applyFill="1"/>
    <xf numFmtId="3" fontId="19" fillId="4" borderId="4" xfId="12" applyNumberFormat="1" applyFont="1" applyFill="1" applyBorder="1"/>
    <xf numFmtId="3" fontId="19" fillId="4" borderId="5" xfId="12" applyNumberFormat="1" applyFont="1" applyFill="1" applyBorder="1"/>
    <xf numFmtId="171" fontId="14" fillId="4" borderId="15" xfId="12" applyNumberFormat="1" applyFont="1" applyFill="1" applyBorder="1"/>
    <xf numFmtId="171" fontId="19" fillId="4" borderId="4" xfId="0" applyNumberFormat="1" applyFont="1" applyFill="1" applyBorder="1"/>
    <xf numFmtId="171" fontId="19" fillId="4" borderId="5" xfId="0" applyNumberFormat="1" applyFont="1" applyFill="1" applyBorder="1"/>
    <xf numFmtId="0" fontId="14" fillId="8" borderId="0" xfId="0" applyFont="1" applyFill="1"/>
    <xf numFmtId="14" fontId="14" fillId="8" borderId="0" xfId="0" applyNumberFormat="1" applyFont="1" applyFill="1"/>
    <xf numFmtId="0" fontId="14" fillId="8" borderId="0" xfId="0" applyFont="1" applyFill="1" applyBorder="1"/>
    <xf numFmtId="0" fontId="15" fillId="8" borderId="0" xfId="0" applyFont="1" applyFill="1"/>
    <xf numFmtId="173" fontId="14" fillId="8" borderId="0" xfId="0" applyNumberFormat="1" applyFont="1" applyFill="1" applyBorder="1"/>
    <xf numFmtId="0" fontId="14" fillId="8" borderId="0" xfId="0" applyFont="1" applyFill="1" applyAlignment="1">
      <alignment horizontal="center" wrapText="1"/>
    </xf>
    <xf numFmtId="164" fontId="14" fillId="8" borderId="0" xfId="4" applyFont="1" applyFill="1"/>
    <xf numFmtId="3" fontId="14" fillId="8" borderId="0" xfId="0" applyNumberFormat="1" applyFont="1" applyFill="1"/>
    <xf numFmtId="2" fontId="14" fillId="8" borderId="0" xfId="0" applyNumberFormat="1" applyFont="1" applyFill="1"/>
    <xf numFmtId="0" fontId="14" fillId="8" borderId="0" xfId="0" applyFont="1" applyFill="1" applyAlignment="1">
      <alignment horizontal="center"/>
    </xf>
    <xf numFmtId="9" fontId="14" fillId="8" borderId="0" xfId="0" applyNumberFormat="1" applyFont="1" applyFill="1" applyBorder="1" applyAlignment="1">
      <alignment horizontal="center" vertical="top" wrapText="1"/>
    </xf>
    <xf numFmtId="2" fontId="14" fillId="8" borderId="0" xfId="0" applyNumberFormat="1" applyFont="1" applyFill="1" applyBorder="1" applyAlignment="1">
      <alignment horizontal="center"/>
    </xf>
    <xf numFmtId="10" fontId="14" fillId="8" borderId="15" xfId="0" applyNumberFormat="1" applyFont="1" applyFill="1" applyBorder="1" applyAlignment="1">
      <alignment horizontal="center" vertical="top" wrapText="1"/>
    </xf>
    <xf numFmtId="169" fontId="14" fillId="8" borderId="0" xfId="0" applyNumberFormat="1" applyFont="1" applyFill="1" applyBorder="1"/>
    <xf numFmtId="3" fontId="14" fillId="8" borderId="0" xfId="0" applyNumberFormat="1" applyFont="1" applyFill="1" applyBorder="1"/>
    <xf numFmtId="164" fontId="14" fillId="8" borderId="0" xfId="4" applyFont="1" applyFill="1" applyBorder="1"/>
    <xf numFmtId="0" fontId="14" fillId="8" borderId="15" xfId="0" applyFont="1" applyFill="1" applyBorder="1"/>
    <xf numFmtId="164" fontId="14" fillId="8" borderId="15" xfId="4" applyFont="1" applyFill="1" applyBorder="1"/>
    <xf numFmtId="0" fontId="14" fillId="8" borderId="0" xfId="0" applyFont="1" applyFill="1" applyAlignment="1">
      <alignment vertical="top"/>
    </xf>
    <xf numFmtId="0" fontId="16" fillId="8" borderId="0" xfId="0" applyFont="1" applyFill="1"/>
    <xf numFmtId="0" fontId="14" fillId="7" borderId="15" xfId="0" applyFont="1" applyFill="1" applyBorder="1" applyAlignment="1">
      <alignment horizontal="center"/>
    </xf>
    <xf numFmtId="14" fontId="14" fillId="7" borderId="15" xfId="0" applyNumberFormat="1" applyFont="1" applyFill="1" applyBorder="1" applyAlignment="1">
      <alignment horizontal="center"/>
    </xf>
    <xf numFmtId="9" fontId="14" fillId="7" borderId="15" xfId="0" applyNumberFormat="1" applyFont="1" applyFill="1" applyBorder="1" applyAlignment="1">
      <alignment horizontal="center" vertical="top" wrapText="1"/>
    </xf>
    <xf numFmtId="10" fontId="14" fillId="7" borderId="15" xfId="0" applyNumberFormat="1" applyFont="1" applyFill="1" applyBorder="1" applyAlignment="1">
      <alignment horizontal="center"/>
    </xf>
    <xf numFmtId="0" fontId="14" fillId="8" borderId="0" xfId="0" applyFont="1" applyFill="1" applyBorder="1" applyAlignment="1"/>
    <xf numFmtId="0" fontId="14" fillId="8" borderId="0" xfId="0" applyFont="1" applyFill="1" applyBorder="1" applyAlignment="1">
      <alignment horizontal="left" vertical="top"/>
    </xf>
    <xf numFmtId="0" fontId="14" fillId="8" borderId="0" xfId="0" applyFont="1" applyFill="1" applyBorder="1" applyAlignment="1">
      <alignment horizontal="left"/>
    </xf>
    <xf numFmtId="3" fontId="14" fillId="7" borderId="15" xfId="0" applyNumberFormat="1" applyFont="1" applyFill="1" applyBorder="1"/>
    <xf numFmtId="3" fontId="14" fillId="8" borderId="15" xfId="0" applyNumberFormat="1" applyFont="1" applyFill="1" applyBorder="1"/>
    <xf numFmtId="3" fontId="14" fillId="8" borderId="15" xfId="0" applyNumberFormat="1" applyFont="1" applyFill="1" applyBorder="1" applyAlignment="1">
      <alignment horizontal="center"/>
    </xf>
    <xf numFmtId="9" fontId="14" fillId="7" borderId="15" xfId="0" applyNumberFormat="1" applyFont="1" applyFill="1" applyBorder="1" applyAlignment="1">
      <alignment horizontal="center"/>
    </xf>
    <xf numFmtId="0" fontId="14" fillId="7" borderId="15" xfId="0" applyFont="1" applyFill="1" applyBorder="1" applyAlignment="1">
      <alignment horizontal="center" vertical="top" wrapText="1"/>
    </xf>
    <xf numFmtId="0" fontId="14" fillId="8" borderId="4" xfId="0" applyFont="1" applyFill="1" applyBorder="1" applyAlignment="1">
      <alignment horizontal="center" vertical="center" wrapText="1"/>
    </xf>
    <xf numFmtId="175" fontId="14" fillId="8" borderId="15" xfId="4" applyNumberFormat="1" applyFont="1" applyFill="1" applyBorder="1"/>
    <xf numFmtId="174" fontId="14" fillId="8" borderId="18" xfId="4" applyNumberFormat="1" applyFont="1" applyFill="1" applyBorder="1"/>
    <xf numFmtId="0" fontId="14" fillId="8" borderId="7" xfId="0" applyFont="1" applyFill="1" applyBorder="1"/>
    <xf numFmtId="2" fontId="14" fillId="8" borderId="4" xfId="0" applyNumberFormat="1" applyFont="1" applyFill="1" applyBorder="1"/>
    <xf numFmtId="174" fontId="14" fillId="7" borderId="18" xfId="4" applyNumberFormat="1" applyFont="1" applyFill="1" applyBorder="1"/>
    <xf numFmtId="0" fontId="14" fillId="8" borderId="0" xfId="0" quotePrefix="1" applyFont="1" applyFill="1" applyBorder="1"/>
    <xf numFmtId="169" fontId="14" fillId="8" borderId="15" xfId="0" applyNumberFormat="1" applyFont="1" applyFill="1" applyBorder="1"/>
    <xf numFmtId="173" fontId="14" fillId="8" borderId="15" xfId="0" applyNumberFormat="1" applyFont="1" applyFill="1" applyBorder="1"/>
    <xf numFmtId="0" fontId="14" fillId="8" borderId="0" xfId="0" applyFont="1" applyFill="1" applyBorder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 applyBorder="1"/>
    <xf numFmtId="0" fontId="13" fillId="6" borderId="3" xfId="0" applyFont="1" applyFill="1" applyBorder="1" applyAlignment="1">
      <alignment horizontal="center" vertical="center" wrapText="1"/>
    </xf>
    <xf numFmtId="9" fontId="13" fillId="6" borderId="5" xfId="12" applyFont="1" applyFill="1" applyBorder="1" applyAlignment="1">
      <alignment horizontal="center"/>
    </xf>
    <xf numFmtId="4" fontId="14" fillId="4" borderId="0" xfId="0" applyNumberFormat="1" applyFont="1" applyFill="1" applyBorder="1"/>
    <xf numFmtId="3" fontId="14" fillId="4" borderId="16" xfId="0" applyNumberFormat="1" applyFont="1" applyFill="1" applyBorder="1"/>
    <xf numFmtId="3" fontId="14" fillId="3" borderId="8" xfId="12" applyNumberFormat="1" applyFont="1" applyFill="1" applyBorder="1"/>
    <xf numFmtId="3" fontId="14" fillId="3" borderId="9" xfId="12" applyNumberFormat="1" applyFont="1" applyFill="1" applyBorder="1"/>
    <xf numFmtId="3" fontId="14" fillId="3" borderId="10" xfId="12" applyNumberFormat="1" applyFont="1" applyFill="1" applyBorder="1"/>
    <xf numFmtId="1" fontId="16" fillId="4" borderId="0" xfId="11" applyNumberFormat="1" applyFont="1" applyFill="1" applyAlignment="1">
      <alignment horizontal="left" vertical="center"/>
    </xf>
    <xf numFmtId="174" fontId="14" fillId="8" borderId="0" xfId="4" applyNumberFormat="1" applyFont="1" applyFill="1"/>
    <xf numFmtId="0" fontId="21" fillId="8" borderId="0" xfId="0" applyFont="1" applyFill="1"/>
    <xf numFmtId="174" fontId="21" fillId="8" borderId="0" xfId="4" applyNumberFormat="1" applyFont="1" applyFill="1"/>
    <xf numFmtId="174" fontId="13" fillId="6" borderId="0" xfId="4" applyNumberFormat="1" applyFont="1" applyFill="1"/>
    <xf numFmtId="0" fontId="21" fillId="8" borderId="0" xfId="0" applyFont="1" applyFill="1" applyAlignment="1">
      <alignment horizontal="right"/>
    </xf>
    <xf numFmtId="168" fontId="17" fillId="4" borderId="0" xfId="11" applyNumberFormat="1" applyFont="1" applyFill="1" applyAlignment="1">
      <alignment vertical="center"/>
    </xf>
    <xf numFmtId="168" fontId="17" fillId="4" borderId="0" xfId="11" applyNumberFormat="1" applyFont="1" applyFill="1" applyBorder="1" applyAlignment="1">
      <alignment vertical="center"/>
    </xf>
    <xf numFmtId="175" fontId="14" fillId="4" borderId="0" xfId="14" applyNumberFormat="1" applyFont="1" applyFill="1" applyBorder="1" applyAlignment="1">
      <alignment vertical="center"/>
    </xf>
    <xf numFmtId="0" fontId="15" fillId="4" borderId="0" xfId="11" applyFont="1" applyFill="1" applyBorder="1"/>
    <xf numFmtId="175" fontId="15" fillId="4" borderId="0" xfId="14" applyNumberFormat="1" applyFont="1" applyFill="1" applyBorder="1"/>
    <xf numFmtId="0" fontId="14" fillId="4" borderId="0" xfId="15" applyFont="1" applyFill="1"/>
    <xf numFmtId="0" fontId="14" fillId="4" borderId="0" xfId="15" applyFont="1" applyFill="1" applyBorder="1"/>
    <xf numFmtId="175" fontId="14" fillId="4" borderId="0" xfId="14" applyNumberFormat="1" applyFont="1" applyFill="1" applyBorder="1"/>
    <xf numFmtId="3" fontId="2" fillId="4" borderId="5" xfId="15" applyNumberFormat="1" applyFont="1" applyFill="1" applyBorder="1" applyAlignment="1">
      <alignment horizontal="right"/>
    </xf>
    <xf numFmtId="43" fontId="14" fillId="4" borderId="5" xfId="14" applyFont="1" applyFill="1" applyBorder="1"/>
    <xf numFmtId="175" fontId="2" fillId="4" borderId="0" xfId="14" applyNumberFormat="1" applyFont="1" applyFill="1" applyBorder="1" applyAlignment="1">
      <alignment horizontal="left"/>
    </xf>
    <xf numFmtId="3" fontId="2" fillId="4" borderId="0" xfId="15" applyNumberFormat="1" applyFont="1" applyFill="1" applyBorder="1" applyAlignment="1">
      <alignment horizontal="right"/>
    </xf>
    <xf numFmtId="175" fontId="14" fillId="4" borderId="0" xfId="15" applyNumberFormat="1" applyFont="1" applyFill="1" applyBorder="1"/>
    <xf numFmtId="3" fontId="14" fillId="4" borderId="0" xfId="15" applyNumberFormat="1" applyFont="1" applyFill="1"/>
    <xf numFmtId="0" fontId="13" fillId="4" borderId="0" xfId="15" applyFont="1" applyFill="1" applyBorder="1" applyAlignment="1">
      <alignment vertical="center"/>
    </xf>
    <xf numFmtId="175" fontId="13" fillId="4" borderId="0" xfId="14" applyNumberFormat="1" applyFont="1" applyFill="1" applyBorder="1" applyAlignment="1">
      <alignment horizontal="center" vertical="center" wrapText="1"/>
    </xf>
    <xf numFmtId="175" fontId="13" fillId="4" borderId="0" xfId="14" applyNumberFormat="1" applyFont="1" applyFill="1" applyBorder="1" applyAlignment="1">
      <alignment vertical="center"/>
    </xf>
    <xf numFmtId="0" fontId="13" fillId="4" borderId="0" xfId="15" applyFont="1" applyFill="1" applyAlignment="1">
      <alignment vertical="center"/>
    </xf>
    <xf numFmtId="0" fontId="14" fillId="4" borderId="4" xfId="15" applyFont="1" applyFill="1" applyBorder="1"/>
    <xf numFmtId="0" fontId="14" fillId="4" borderId="5" xfId="15" applyFont="1" applyFill="1" applyBorder="1"/>
    <xf numFmtId="0" fontId="14" fillId="4" borderId="3" xfId="15" applyFont="1" applyFill="1" applyBorder="1"/>
    <xf numFmtId="0" fontId="13" fillId="6" borderId="4" xfId="15" applyFont="1" applyFill="1" applyBorder="1" applyAlignment="1">
      <alignment horizontal="center" vertical="center" wrapText="1"/>
    </xf>
    <xf numFmtId="174" fontId="14" fillId="4" borderId="15" xfId="4" applyNumberFormat="1" applyFont="1" applyFill="1" applyBorder="1" applyAlignment="1">
      <alignment horizontal="center"/>
    </xf>
    <xf numFmtId="0" fontId="14" fillId="7" borderId="15" xfId="0" applyFont="1" applyFill="1" applyBorder="1"/>
    <xf numFmtId="174" fontId="14" fillId="4" borderId="7" xfId="4" applyNumberFormat="1" applyFont="1" applyFill="1" applyBorder="1" applyAlignment="1">
      <alignment horizontal="center"/>
    </xf>
    <xf numFmtId="174" fontId="14" fillId="5" borderId="15" xfId="4" applyNumberFormat="1" applyFont="1" applyFill="1" applyBorder="1" applyAlignment="1">
      <alignment horizontal="center"/>
    </xf>
    <xf numFmtId="171" fontId="19" fillId="5" borderId="4" xfId="0" applyNumberFormat="1" applyFont="1" applyFill="1" applyBorder="1"/>
    <xf numFmtId="171" fontId="19" fillId="5" borderId="5" xfId="0" applyNumberFormat="1" applyFont="1" applyFill="1" applyBorder="1"/>
    <xf numFmtId="171" fontId="14" fillId="5" borderId="15" xfId="0" applyNumberFormat="1" applyFont="1" applyFill="1" applyBorder="1"/>
    <xf numFmtId="171" fontId="19" fillId="5" borderId="3" xfId="0" applyNumberFormat="1" applyFont="1" applyFill="1" applyBorder="1"/>
    <xf numFmtId="0" fontId="14" fillId="7" borderId="15" xfId="15" applyFont="1" applyFill="1" applyBorder="1" applyAlignment="1">
      <alignment horizontal="center"/>
    </xf>
    <xf numFmtId="174" fontId="14" fillId="7" borderId="3" xfId="4" applyNumberFormat="1" applyFont="1" applyFill="1" applyBorder="1" applyAlignment="1">
      <alignment horizontal="center"/>
    </xf>
    <xf numFmtId="174" fontId="14" fillId="7" borderId="15" xfId="4" applyNumberFormat="1" applyFont="1" applyFill="1" applyBorder="1"/>
    <xf numFmtId="0" fontId="14" fillId="7" borderId="15" xfId="4" applyNumberFormat="1" applyFont="1" applyFill="1" applyBorder="1" applyAlignment="1">
      <alignment horizontal="center"/>
    </xf>
    <xf numFmtId="0" fontId="25" fillId="6" borderId="0" xfId="0" applyFont="1" applyFill="1"/>
    <xf numFmtId="0" fontId="14" fillId="7" borderId="4" xfId="15" applyFont="1" applyFill="1" applyBorder="1" applyAlignment="1">
      <alignment horizontal="center"/>
    </xf>
    <xf numFmtId="0" fontId="14" fillId="7" borderId="5" xfId="15" applyFont="1" applyFill="1" applyBorder="1" applyAlignment="1">
      <alignment horizontal="center"/>
    </xf>
    <xf numFmtId="174" fontId="14" fillId="4" borderId="0" xfId="15" applyNumberFormat="1" applyFont="1" applyFill="1"/>
    <xf numFmtId="0" fontId="13" fillId="6" borderId="5" xfId="15" quotePrefix="1" applyFont="1" applyFill="1" applyBorder="1" applyAlignment="1">
      <alignment horizontal="center" vertical="center" wrapText="1"/>
    </xf>
    <xf numFmtId="174" fontId="14" fillId="4" borderId="3" xfId="4" applyNumberFormat="1" applyFont="1" applyFill="1" applyBorder="1" applyAlignment="1">
      <alignment horizontal="center"/>
    </xf>
    <xf numFmtId="174" fontId="14" fillId="8" borderId="0" xfId="4" applyNumberFormat="1" applyFont="1" applyFill="1" applyBorder="1"/>
    <xf numFmtId="10" fontId="13" fillId="6" borderId="5" xfId="12" applyNumberFormat="1" applyFont="1" applyFill="1" applyBorder="1" applyAlignment="1">
      <alignment vertical="center"/>
    </xf>
    <xf numFmtId="164" fontId="14" fillId="7" borderId="15" xfId="4" applyFont="1" applyFill="1" applyBorder="1" applyAlignment="1">
      <alignment horizontal="center"/>
    </xf>
    <xf numFmtId="0" fontId="24" fillId="4" borderId="0" xfId="0" applyFont="1" applyFill="1"/>
    <xf numFmtId="174" fontId="24" fillId="4" borderId="0" xfId="4" applyNumberFormat="1" applyFont="1" applyFill="1"/>
    <xf numFmtId="0" fontId="24" fillId="8" borderId="0" xfId="0" applyFont="1" applyFill="1"/>
    <xf numFmtId="174" fontId="24" fillId="3" borderId="0" xfId="4" applyNumberFormat="1" applyFont="1" applyFill="1"/>
    <xf numFmtId="164" fontId="24" fillId="4" borderId="0" xfId="4" applyFont="1" applyFill="1"/>
    <xf numFmtId="174" fontId="24" fillId="4" borderId="17" xfId="4" applyNumberFormat="1" applyFont="1" applyFill="1" applyBorder="1"/>
    <xf numFmtId="174" fontId="26" fillId="4" borderId="0" xfId="4" applyNumberFormat="1" applyFont="1" applyFill="1"/>
    <xf numFmtId="0" fontId="26" fillId="4" borderId="0" xfId="0" applyFont="1" applyFill="1"/>
    <xf numFmtId="0" fontId="24" fillId="4" borderId="0" xfId="0" applyFont="1" applyFill="1" applyAlignment="1">
      <alignment horizontal="right"/>
    </xf>
    <xf numFmtId="0" fontId="24" fillId="4" borderId="0" xfId="0" applyFont="1" applyFill="1" applyAlignment="1">
      <alignment horizontal="left"/>
    </xf>
    <xf numFmtId="164" fontId="19" fillId="4" borderId="5" xfId="4" applyFont="1" applyFill="1" applyBorder="1"/>
    <xf numFmtId="164" fontId="19" fillId="4" borderId="15" xfId="4" applyFont="1" applyFill="1" applyBorder="1"/>
    <xf numFmtId="0" fontId="14" fillId="0" borderId="9" xfId="0" applyFont="1" applyFill="1" applyBorder="1" applyAlignment="1">
      <alignment horizontal="center"/>
    </xf>
    <xf numFmtId="3" fontId="14" fillId="0" borderId="5" xfId="0" applyNumberFormat="1" applyFont="1" applyFill="1" applyBorder="1"/>
    <xf numFmtId="174" fontId="14" fillId="0" borderId="11" xfId="4" applyNumberFormat="1" applyFont="1" applyFill="1" applyBorder="1"/>
    <xf numFmtId="174" fontId="14" fillId="0" borderId="5" xfId="4" applyNumberFormat="1" applyFont="1" applyFill="1" applyBorder="1"/>
    <xf numFmtId="174" fontId="14" fillId="0" borderId="9" xfId="4" applyNumberFormat="1" applyFont="1" applyFill="1" applyBorder="1"/>
    <xf numFmtId="0" fontId="3" fillId="0" borderId="0" xfId="0" applyFont="1" applyFill="1" applyAlignment="1">
      <alignment horizontal="left"/>
    </xf>
    <xf numFmtId="0" fontId="14" fillId="0" borderId="0" xfId="0" applyFont="1" applyFill="1"/>
    <xf numFmtId="164" fontId="13" fillId="6" borderId="3" xfId="4" applyNumberFormat="1" applyFont="1" applyFill="1" applyBorder="1" applyAlignment="1">
      <alignment horizontal="center" vertical="center" wrapText="1"/>
    </xf>
    <xf numFmtId="10" fontId="14" fillId="8" borderId="3" xfId="12" applyNumberFormat="1" applyFont="1" applyFill="1" applyBorder="1"/>
    <xf numFmtId="2" fontId="14" fillId="8" borderId="15" xfId="0" applyNumberFormat="1" applyFont="1" applyFill="1" applyBorder="1" applyAlignment="1"/>
    <xf numFmtId="2" fontId="14" fillId="7" borderId="4" xfId="0" applyNumberFormat="1" applyFont="1" applyFill="1" applyBorder="1" applyAlignment="1"/>
    <xf numFmtId="2" fontId="14" fillId="8" borderId="15" xfId="4" applyNumberFormat="1" applyFont="1" applyFill="1" applyBorder="1"/>
    <xf numFmtId="4" fontId="14" fillId="4" borderId="5" xfId="0" applyNumberFormat="1" applyFont="1" applyFill="1" applyBorder="1"/>
    <xf numFmtId="4" fontId="14" fillId="4" borderId="3" xfId="0" applyNumberFormat="1" applyFont="1" applyFill="1" applyBorder="1"/>
    <xf numFmtId="164" fontId="14" fillId="4" borderId="5" xfId="4" applyNumberFormat="1" applyFont="1" applyFill="1" applyBorder="1"/>
    <xf numFmtId="175" fontId="14" fillId="5" borderId="15" xfId="4" applyNumberFormat="1" applyFont="1" applyFill="1" applyBorder="1"/>
    <xf numFmtId="174" fontId="14" fillId="7" borderId="15" xfId="4" applyNumberFormat="1" applyFont="1" applyFill="1" applyBorder="1" applyAlignment="1">
      <alignment horizontal="center" vertical="center" wrapText="1"/>
    </xf>
    <xf numFmtId="170" fontId="14" fillId="8" borderId="15" xfId="0" applyNumberFormat="1" applyFont="1" applyFill="1" applyBorder="1"/>
    <xf numFmtId="170" fontId="14" fillId="7" borderId="15" xfId="0" applyNumberFormat="1" applyFont="1" applyFill="1" applyBorder="1"/>
    <xf numFmtId="166" fontId="14" fillId="7" borderId="15" xfId="0" applyNumberFormat="1" applyFont="1" applyFill="1" applyBorder="1"/>
    <xf numFmtId="10" fontId="14" fillId="7" borderId="18" xfId="0" applyNumberFormat="1" applyFont="1" applyFill="1" applyBorder="1" applyAlignment="1">
      <alignment horizontal="center"/>
    </xf>
    <xf numFmtId="10" fontId="14" fillId="8" borderId="0" xfId="0" applyNumberFormat="1" applyFont="1" applyFill="1" applyBorder="1" applyAlignment="1">
      <alignment horizontal="center" vertical="top" wrapText="1"/>
    </xf>
    <xf numFmtId="166" fontId="14" fillId="7" borderId="15" xfId="0" applyNumberFormat="1" applyFont="1" applyFill="1" applyBorder="1" applyAlignment="1">
      <alignment horizontal="left"/>
    </xf>
    <xf numFmtId="0" fontId="14" fillId="8" borderId="15" xfId="0" applyFont="1" applyFill="1" applyBorder="1" applyAlignment="1">
      <alignment horizontal="right"/>
    </xf>
    <xf numFmtId="10" fontId="13" fillId="6" borderId="15" xfId="12" applyNumberFormat="1" applyFont="1" applyFill="1" applyBorder="1" applyAlignment="1">
      <alignment horizontal="center" vertical="center" wrapText="1"/>
    </xf>
    <xf numFmtId="2" fontId="14" fillId="10" borderId="5" xfId="0" applyNumberFormat="1" applyFont="1" applyFill="1" applyBorder="1"/>
    <xf numFmtId="2" fontId="14" fillId="4" borderId="0" xfId="13" applyNumberFormat="1" applyFont="1" applyFill="1" applyBorder="1"/>
    <xf numFmtId="164" fontId="14" fillId="4" borderId="0" xfId="4" applyNumberFormat="1" applyFont="1" applyFill="1" applyBorder="1"/>
    <xf numFmtId="3" fontId="14" fillId="4" borderId="15" xfId="0" applyNumberFormat="1" applyFont="1" applyFill="1" applyBorder="1"/>
    <xf numFmtId="10" fontId="13" fillId="6" borderId="15" xfId="12" applyNumberFormat="1" applyFont="1" applyFill="1" applyBorder="1" applyAlignment="1">
      <alignment vertical="center" wrapText="1"/>
    </xf>
    <xf numFmtId="164" fontId="13" fillId="6" borderId="5" xfId="4" applyFont="1" applyFill="1" applyBorder="1" applyAlignment="1">
      <alignment horizontal="center" vertical="center"/>
    </xf>
    <xf numFmtId="164" fontId="13" fillId="6" borderId="15" xfId="4" applyNumberFormat="1" applyFont="1" applyFill="1" applyBorder="1"/>
    <xf numFmtId="1" fontId="14" fillId="4" borderId="15" xfId="0" applyNumberFormat="1" applyFont="1" applyFill="1" applyBorder="1"/>
    <xf numFmtId="10" fontId="14" fillId="4" borderId="15" xfId="0" applyNumberFormat="1" applyFont="1" applyFill="1" applyBorder="1"/>
    <xf numFmtId="174" fontId="14" fillId="4" borderId="0" xfId="4" quotePrefix="1" applyNumberFormat="1" applyFont="1" applyFill="1" applyBorder="1"/>
    <xf numFmtId="10" fontId="14" fillId="4" borderId="0" xfId="0" applyNumberFormat="1" applyFont="1" applyFill="1" applyBorder="1"/>
    <xf numFmtId="164" fontId="14" fillId="7" borderId="15" xfId="4" applyNumberFormat="1" applyFont="1" applyFill="1" applyBorder="1"/>
    <xf numFmtId="164" fontId="13" fillId="6" borderId="5" xfId="4" applyNumberFormat="1" applyFont="1" applyFill="1" applyBorder="1" applyAlignment="1">
      <alignment horizontal="center" vertical="top" wrapText="1"/>
    </xf>
    <xf numFmtId="164" fontId="14" fillId="4" borderId="0" xfId="4" applyNumberFormat="1" applyFont="1" applyFill="1"/>
    <xf numFmtId="177" fontId="14" fillId="8" borderId="0" xfId="0" applyNumberFormat="1" applyFont="1" applyFill="1"/>
    <xf numFmtId="2" fontId="14" fillId="7" borderId="15" xfId="0" applyNumberFormat="1" applyFont="1" applyFill="1" applyBorder="1"/>
    <xf numFmtId="0" fontId="14" fillId="4" borderId="0" xfId="0" applyFont="1" applyFill="1" applyAlignment="1">
      <alignment horizontal="left" vertical="center"/>
    </xf>
    <xf numFmtId="0" fontId="14" fillId="4" borderId="0" xfId="0" applyFont="1" applyFill="1" applyAlignment="1">
      <alignment vertical="center"/>
    </xf>
    <xf numFmtId="2" fontId="14" fillId="11" borderId="5" xfId="0" applyNumberFormat="1" applyFont="1" applyFill="1" applyBorder="1"/>
    <xf numFmtId="164" fontId="13" fillId="6" borderId="3" xfId="4" quotePrefix="1" applyFont="1" applyFill="1" applyBorder="1" applyAlignment="1">
      <alignment horizontal="center" vertical="center" wrapText="1"/>
    </xf>
    <xf numFmtId="174" fontId="19" fillId="4" borderId="0" xfId="4" applyNumberFormat="1" applyFont="1" applyFill="1"/>
    <xf numFmtId="4" fontId="14" fillId="4" borderId="16" xfId="12" applyNumberFormat="1" applyFont="1" applyFill="1" applyBorder="1"/>
    <xf numFmtId="4" fontId="14" fillId="4" borderId="17" xfId="12" applyNumberFormat="1" applyFont="1" applyFill="1" applyBorder="1"/>
    <xf numFmtId="0" fontId="14" fillId="7" borderId="8" xfId="0" applyFont="1" applyFill="1" applyBorder="1" applyAlignment="1">
      <alignment horizontal="center"/>
    </xf>
    <xf numFmtId="0" fontId="14" fillId="7" borderId="16" xfId="0" applyFont="1" applyFill="1" applyBorder="1" applyAlignment="1">
      <alignment horizontal="center"/>
    </xf>
    <xf numFmtId="0" fontId="14" fillId="7" borderId="12" xfId="0" applyFont="1" applyFill="1" applyBorder="1" applyAlignment="1">
      <alignment horizontal="center"/>
    </xf>
    <xf numFmtId="0" fontId="14" fillId="8" borderId="9" xfId="0" quotePrefix="1" applyFont="1" applyFill="1" applyBorder="1"/>
    <xf numFmtId="0" fontId="14" fillId="8" borderId="0" xfId="0" quotePrefix="1" applyFont="1" applyFill="1" applyBorder="1"/>
    <xf numFmtId="0" fontId="14" fillId="8" borderId="11" xfId="0" quotePrefix="1" applyFont="1" applyFill="1" applyBorder="1"/>
    <xf numFmtId="0" fontId="14" fillId="8" borderId="10" xfId="0" quotePrefix="1" applyFont="1" applyFill="1" applyBorder="1"/>
    <xf numFmtId="0" fontId="14" fillId="8" borderId="17" xfId="0" quotePrefix="1" applyFont="1" applyFill="1" applyBorder="1"/>
    <xf numFmtId="0" fontId="14" fillId="8" borderId="13" xfId="0" quotePrefix="1" applyFont="1" applyFill="1" applyBorder="1"/>
    <xf numFmtId="0" fontId="14" fillId="7" borderId="15" xfId="0" applyFont="1" applyFill="1" applyBorder="1" applyAlignment="1">
      <alignment horizontal="center"/>
    </xf>
    <xf numFmtId="3" fontId="14" fillId="8" borderId="8" xfId="0" applyNumberFormat="1" applyFont="1" applyFill="1" applyBorder="1" applyAlignment="1">
      <alignment horizontal="center" wrapText="1"/>
    </xf>
    <xf numFmtId="3" fontId="14" fillId="8" borderId="12" xfId="0" applyNumberFormat="1" applyFont="1" applyFill="1" applyBorder="1" applyAlignment="1">
      <alignment horizontal="center" wrapText="1"/>
    </xf>
    <xf numFmtId="3" fontId="14" fillId="8" borderId="10" xfId="0" applyNumberFormat="1" applyFont="1" applyFill="1" applyBorder="1" applyAlignment="1">
      <alignment horizontal="center" wrapText="1"/>
    </xf>
    <xf numFmtId="3" fontId="14" fillId="8" borderId="13" xfId="0" applyNumberFormat="1" applyFont="1" applyFill="1" applyBorder="1" applyAlignment="1">
      <alignment horizontal="center" wrapText="1"/>
    </xf>
    <xf numFmtId="0" fontId="29" fillId="4" borderId="0" xfId="0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3" fontId="13" fillId="6" borderId="4" xfId="0" applyNumberFormat="1" applyFont="1" applyFill="1" applyBorder="1" applyAlignment="1">
      <alignment horizontal="center" vertical="center" textRotation="90" wrapText="1"/>
    </xf>
    <xf numFmtId="0" fontId="13" fillId="6" borderId="3" xfId="0" applyFont="1" applyFill="1" applyBorder="1" applyAlignment="1">
      <alignment horizontal="center" vertical="center" textRotation="90" wrapText="1"/>
    </xf>
    <xf numFmtId="174" fontId="13" fillId="6" borderId="4" xfId="4" applyNumberFormat="1" applyFont="1" applyFill="1" applyBorder="1" applyAlignment="1">
      <alignment horizontal="center" vertical="center" textRotation="90" wrapText="1"/>
    </xf>
    <xf numFmtId="174" fontId="13" fillId="6" borderId="5" xfId="4" applyNumberFormat="1" applyFont="1" applyFill="1" applyBorder="1" applyAlignment="1">
      <alignment horizontal="center" vertical="center" textRotation="90" wrapText="1"/>
    </xf>
    <xf numFmtId="174" fontId="13" fillId="6" borderId="3" xfId="4" applyNumberFormat="1" applyFont="1" applyFill="1" applyBorder="1" applyAlignment="1">
      <alignment horizontal="center" vertical="center" textRotation="90" wrapText="1"/>
    </xf>
    <xf numFmtId="174" fontId="13" fillId="6" borderId="8" xfId="4" applyNumberFormat="1" applyFont="1" applyFill="1" applyBorder="1" applyAlignment="1">
      <alignment horizontal="center" vertical="center" textRotation="90" wrapText="1"/>
    </xf>
    <xf numFmtId="174" fontId="13" fillId="6" borderId="10" xfId="4" applyNumberFormat="1" applyFont="1" applyFill="1" applyBorder="1" applyAlignment="1">
      <alignment horizontal="center" vertical="center" textRotation="90" wrapText="1"/>
    </xf>
    <xf numFmtId="164" fontId="13" fillId="6" borderId="4" xfId="4" applyFont="1" applyFill="1" applyBorder="1" applyAlignment="1">
      <alignment horizontal="center" vertical="center" textRotation="90" wrapText="1"/>
    </xf>
    <xf numFmtId="164" fontId="13" fillId="6" borderId="3" xfId="4" applyFont="1" applyFill="1" applyBorder="1" applyAlignment="1">
      <alignment horizontal="center" vertical="center" textRotation="90" wrapText="1"/>
    </xf>
    <xf numFmtId="0" fontId="13" fillId="6" borderId="4" xfId="0" applyNumberFormat="1" applyFont="1" applyFill="1" applyBorder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0" fontId="13" fillId="6" borderId="3" xfId="0" applyNumberFormat="1" applyFont="1" applyFill="1" applyBorder="1" applyAlignment="1">
      <alignment horizontal="center" vertical="center" wrapText="1"/>
    </xf>
    <xf numFmtId="3" fontId="13" fillId="6" borderId="4" xfId="0" applyNumberFormat="1" applyFont="1" applyFill="1" applyBorder="1" applyAlignment="1">
      <alignment horizontal="center" vertical="center" wrapText="1"/>
    </xf>
    <xf numFmtId="3" fontId="13" fillId="6" borderId="5" xfId="0" applyNumberFormat="1" applyFont="1" applyFill="1" applyBorder="1" applyAlignment="1">
      <alignment horizontal="center" vertical="center" wrapText="1"/>
    </xf>
    <xf numFmtId="3" fontId="13" fillId="6" borderId="3" xfId="0" applyNumberFormat="1" applyFont="1" applyFill="1" applyBorder="1" applyAlignment="1">
      <alignment horizontal="center" vertical="center" wrapText="1"/>
    </xf>
    <xf numFmtId="4" fontId="13" fillId="6" borderId="4" xfId="0" applyNumberFormat="1" applyFont="1" applyFill="1" applyBorder="1" applyAlignment="1">
      <alignment horizontal="center" vertical="center" textRotation="90" wrapText="1"/>
    </xf>
    <xf numFmtId="4" fontId="13" fillId="6" borderId="5" xfId="0" applyNumberFormat="1" applyFont="1" applyFill="1" applyBorder="1" applyAlignment="1">
      <alignment horizontal="center" vertical="center" textRotation="90" wrapText="1"/>
    </xf>
    <xf numFmtId="4" fontId="13" fillId="6" borderId="3" xfId="0" applyNumberFormat="1" applyFont="1" applyFill="1" applyBorder="1" applyAlignment="1">
      <alignment horizontal="center" vertical="center" textRotation="90" wrapText="1"/>
    </xf>
    <xf numFmtId="174" fontId="13" fillId="6" borderId="12" xfId="4" applyNumberFormat="1" applyFont="1" applyFill="1" applyBorder="1" applyAlignment="1">
      <alignment horizontal="center" vertical="center" textRotation="90" wrapText="1"/>
    </xf>
    <xf numFmtId="174" fontId="13" fillId="6" borderId="13" xfId="4" applyNumberFormat="1" applyFont="1" applyFill="1" applyBorder="1" applyAlignment="1">
      <alignment horizontal="center" vertical="center" textRotation="90" wrapText="1"/>
    </xf>
    <xf numFmtId="3" fontId="13" fillId="6" borderId="3" xfId="0" applyNumberFormat="1" applyFont="1" applyFill="1" applyBorder="1" applyAlignment="1">
      <alignment horizontal="center" vertical="center" textRotation="90" wrapText="1"/>
    </xf>
    <xf numFmtId="3" fontId="13" fillId="6" borderId="5" xfId="0" applyNumberFormat="1" applyFont="1" applyFill="1" applyBorder="1" applyAlignment="1">
      <alignment horizontal="center" vertical="center" textRotation="90" wrapText="1"/>
    </xf>
    <xf numFmtId="174" fontId="13" fillId="6" borderId="4" xfId="4" applyNumberFormat="1" applyFont="1" applyFill="1" applyBorder="1" applyAlignment="1">
      <alignment horizontal="center" vertical="center" wrapText="1"/>
    </xf>
    <xf numFmtId="174" fontId="13" fillId="6" borderId="5" xfId="4" applyNumberFormat="1" applyFont="1" applyFill="1" applyBorder="1" applyAlignment="1">
      <alignment horizontal="center" vertical="center" wrapText="1"/>
    </xf>
    <xf numFmtId="174" fontId="13" fillId="6" borderId="3" xfId="4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4" fontId="13" fillId="6" borderId="4" xfId="0" applyNumberFormat="1" applyFont="1" applyFill="1" applyBorder="1" applyAlignment="1">
      <alignment horizontal="center" vertical="center" wrapText="1"/>
    </xf>
    <xf numFmtId="4" fontId="13" fillId="6" borderId="5" xfId="0" applyNumberFormat="1" applyFont="1" applyFill="1" applyBorder="1" applyAlignment="1">
      <alignment horizontal="center" vertical="center" wrapText="1"/>
    </xf>
    <xf numFmtId="10" fontId="13" fillId="6" borderId="15" xfId="12" applyNumberFormat="1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 vertical="center"/>
    </xf>
    <xf numFmtId="0" fontId="13" fillId="6" borderId="6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12" xfId="0" applyFont="1" applyFill="1" applyBorder="1" applyAlignment="1">
      <alignment horizontal="center" vertical="center" wrapText="1"/>
    </xf>
    <xf numFmtId="0" fontId="13" fillId="6" borderId="11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/>
    </xf>
    <xf numFmtId="0" fontId="13" fillId="6" borderId="6" xfId="0" applyFont="1" applyFill="1" applyBorder="1" applyAlignment="1">
      <alignment horizontal="center"/>
    </xf>
    <xf numFmtId="0" fontId="13" fillId="6" borderId="7" xfId="0" applyFont="1" applyFill="1" applyBorder="1" applyAlignment="1">
      <alignment horizontal="center"/>
    </xf>
    <xf numFmtId="164" fontId="13" fillId="6" borderId="4" xfId="4" applyFont="1" applyFill="1" applyBorder="1" applyAlignment="1">
      <alignment horizontal="center" vertical="center" wrapText="1"/>
    </xf>
    <xf numFmtId="164" fontId="13" fillId="6" borderId="5" xfId="4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164" fontId="13" fillId="6" borderId="3" xfId="4" applyFont="1" applyFill="1" applyBorder="1" applyAlignment="1">
      <alignment horizontal="center" vertical="center" wrapText="1"/>
    </xf>
    <xf numFmtId="0" fontId="3" fillId="3" borderId="18" xfId="11" applyFont="1" applyFill="1" applyBorder="1" applyAlignment="1">
      <alignment horizontal="center"/>
    </xf>
    <xf numFmtId="0" fontId="3" fillId="3" borderId="6" xfId="11" applyFont="1" applyFill="1" applyBorder="1" applyAlignment="1">
      <alignment horizontal="center"/>
    </xf>
    <xf numFmtId="0" fontId="3" fillId="3" borderId="7" xfId="11" applyFont="1" applyFill="1" applyBorder="1" applyAlignment="1">
      <alignment horizontal="center"/>
    </xf>
    <xf numFmtId="166" fontId="13" fillId="6" borderId="4" xfId="12" applyNumberFormat="1" applyFont="1" applyFill="1" applyBorder="1" applyAlignment="1">
      <alignment horizontal="center" vertical="center" wrapText="1"/>
    </xf>
    <xf numFmtId="166" fontId="13" fillId="6" borderId="3" xfId="12" applyNumberFormat="1" applyFont="1" applyFill="1" applyBorder="1" applyAlignment="1">
      <alignment horizontal="center" vertical="center" wrapText="1"/>
    </xf>
    <xf numFmtId="0" fontId="13" fillId="6" borderId="4" xfId="15" applyFont="1" applyFill="1" applyBorder="1" applyAlignment="1">
      <alignment horizontal="center" vertical="center" wrapText="1"/>
    </xf>
    <xf numFmtId="0" fontId="13" fillId="6" borderId="3" xfId="15" applyFont="1" applyFill="1" applyBorder="1" applyAlignment="1">
      <alignment horizontal="center" vertical="center" wrapText="1"/>
    </xf>
    <xf numFmtId="0" fontId="13" fillId="6" borderId="8" xfId="15" applyFont="1" applyFill="1" applyBorder="1" applyAlignment="1">
      <alignment horizontal="center" vertical="center" wrapText="1"/>
    </xf>
    <xf numFmtId="0" fontId="13" fillId="6" borderId="10" xfId="15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/>
    </xf>
    <xf numFmtId="166" fontId="13" fillId="6" borderId="12" xfId="12" applyNumberFormat="1" applyFont="1" applyFill="1" applyBorder="1" applyAlignment="1">
      <alignment horizontal="center" vertical="center" wrapText="1"/>
    </xf>
    <xf numFmtId="166" fontId="13" fillId="6" borderId="13" xfId="12" applyNumberFormat="1" applyFont="1" applyFill="1" applyBorder="1" applyAlignment="1">
      <alignment horizontal="center" vertical="center" wrapText="1"/>
    </xf>
    <xf numFmtId="1" fontId="14" fillId="4" borderId="0" xfId="11" applyNumberFormat="1" applyFont="1" applyFill="1" applyAlignment="1">
      <alignment horizontal="left" vertical="center"/>
    </xf>
    <xf numFmtId="0" fontId="14" fillId="4" borderId="0" xfId="0" applyFont="1" applyFill="1" applyAlignment="1">
      <alignment vertical="center"/>
    </xf>
  </cellXfs>
  <cellStyles count="18">
    <cellStyle name="cexColumnHeadings" xfId="1"/>
    <cellStyle name="cexReportTitle" xfId="2"/>
    <cellStyle name="cexTableEntry" xfId="3"/>
    <cellStyle name="Milliers" xfId="4" builtinId="3"/>
    <cellStyle name="Milliers 2" xfId="5"/>
    <cellStyle name="Milliers 3" xfId="6"/>
    <cellStyle name="Milliers 3 2" xfId="16"/>
    <cellStyle name="Milliers 4" xfId="14"/>
    <cellStyle name="Normal" xfId="0" builtinId="0"/>
    <cellStyle name="Normal 2" xfId="7"/>
    <cellStyle name="Normal 2 2" xfId="8"/>
    <cellStyle name="Normal 2 3" xfId="9"/>
    <cellStyle name="Normal 3" xfId="10"/>
    <cellStyle name="Normal 3 2" xfId="17"/>
    <cellStyle name="Normal 4" xfId="15"/>
    <cellStyle name="Normal_3crit_2002-03.xls" xfId="11"/>
    <cellStyle name="Pourcentage" xfId="12" builtinId="5"/>
    <cellStyle name="Pourcentage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00B0F0"/>
  </sheetPr>
  <dimension ref="A1:L544"/>
  <sheetViews>
    <sheetView zoomScaleNormal="100" workbookViewId="0">
      <selection activeCell="A30" sqref="A30"/>
    </sheetView>
  </sheetViews>
  <sheetFormatPr baseColWidth="10" defaultColWidth="10.75" defaultRowHeight="15" x14ac:dyDescent="0.25"/>
  <cols>
    <col min="1" max="1" width="48" style="223" bestFit="1" customWidth="1"/>
    <col min="2" max="2" width="13.75" style="223" customWidth="1"/>
    <col min="3" max="3" width="16.625" style="223" customWidth="1"/>
    <col min="4" max="4" width="12.25" style="223" customWidth="1"/>
    <col min="5" max="5" width="11" style="223" bestFit="1" customWidth="1"/>
    <col min="6" max="6" width="12.125" style="223" bestFit="1" customWidth="1"/>
    <col min="7" max="7" width="12.5" style="223" bestFit="1" customWidth="1"/>
    <col min="8" max="8" width="12" style="223" bestFit="1" customWidth="1"/>
    <col min="9" max="10" width="12.125" style="223" bestFit="1" customWidth="1"/>
    <col min="11" max="11" width="14.375" style="223" bestFit="1" customWidth="1"/>
    <col min="12" max="16384" width="10.75" style="223"/>
  </cols>
  <sheetData>
    <row r="1" spans="1:9" ht="31.5" x14ac:dyDescent="0.5">
      <c r="A1" s="265" t="s">
        <v>412</v>
      </c>
    </row>
    <row r="4" spans="1:9" ht="21" x14ac:dyDescent="0.35">
      <c r="A4" s="242" t="s">
        <v>511</v>
      </c>
    </row>
    <row r="5" spans="1:9" x14ac:dyDescent="0.25">
      <c r="A5" s="223" t="s">
        <v>503</v>
      </c>
      <c r="B5" s="243" t="s">
        <v>602</v>
      </c>
    </row>
    <row r="6" spans="1:9" x14ac:dyDescent="0.25">
      <c r="A6" s="223" t="s">
        <v>562</v>
      </c>
      <c r="B6" s="243">
        <v>2014</v>
      </c>
    </row>
    <row r="7" spans="1:9" x14ac:dyDescent="0.25">
      <c r="A7" s="223" t="s">
        <v>558</v>
      </c>
      <c r="B7" s="244">
        <v>40907</v>
      </c>
    </row>
    <row r="8" spans="1:9" x14ac:dyDescent="0.25">
      <c r="A8" s="223" t="s">
        <v>559</v>
      </c>
      <c r="B8" s="313">
        <v>2015</v>
      </c>
    </row>
    <row r="10" spans="1:9" ht="21" x14ac:dyDescent="0.35">
      <c r="A10" s="242" t="s">
        <v>512</v>
      </c>
      <c r="C10" s="225"/>
      <c r="D10" s="225"/>
    </row>
    <row r="11" spans="1:9" x14ac:dyDescent="0.25">
      <c r="A11" s="223" t="s">
        <v>496</v>
      </c>
      <c r="B11" s="245">
        <v>0.5</v>
      </c>
      <c r="C11" s="233"/>
      <c r="D11" s="233"/>
    </row>
    <row r="12" spans="1:9" x14ac:dyDescent="0.25">
      <c r="A12" s="223" t="s">
        <v>567</v>
      </c>
      <c r="B12" s="245">
        <v>0.3</v>
      </c>
      <c r="C12" s="234"/>
      <c r="D12" s="234"/>
      <c r="F12" s="230"/>
    </row>
    <row r="14" spans="1:9" ht="21" x14ac:dyDescent="0.35">
      <c r="A14" s="242" t="s">
        <v>513</v>
      </c>
    </row>
    <row r="15" spans="1:9" x14ac:dyDescent="0.25">
      <c r="B15" s="235" t="s">
        <v>328</v>
      </c>
      <c r="C15" s="235" t="s">
        <v>325</v>
      </c>
      <c r="D15" s="235" t="s">
        <v>326</v>
      </c>
      <c r="E15" s="235" t="s">
        <v>444</v>
      </c>
      <c r="G15" s="383" t="s">
        <v>591</v>
      </c>
      <c r="H15" s="384"/>
      <c r="I15" s="385"/>
    </row>
    <row r="16" spans="1:9" x14ac:dyDescent="0.25">
      <c r="A16" s="223" t="s">
        <v>566</v>
      </c>
      <c r="B16" s="246">
        <v>0.36</v>
      </c>
      <c r="C16" s="246">
        <v>0.46</v>
      </c>
      <c r="D16" s="246">
        <v>0.56000000000000005</v>
      </c>
      <c r="E16" s="246">
        <v>0.66</v>
      </c>
      <c r="G16" s="386" t="s">
        <v>589</v>
      </c>
      <c r="H16" s="387"/>
      <c r="I16" s="388"/>
    </row>
    <row r="17" spans="1:12" x14ac:dyDescent="0.25">
      <c r="A17" s="223" t="s">
        <v>514</v>
      </c>
      <c r="B17" s="246">
        <v>1.2</v>
      </c>
      <c r="C17" s="246">
        <v>1.5</v>
      </c>
      <c r="D17" s="246">
        <v>2</v>
      </c>
      <c r="E17" s="355">
        <v>3</v>
      </c>
      <c r="F17" s="225"/>
      <c r="G17" s="389" t="s">
        <v>590</v>
      </c>
      <c r="H17" s="390"/>
      <c r="I17" s="391"/>
    </row>
    <row r="18" spans="1:12" x14ac:dyDescent="0.25">
      <c r="F18" s="225"/>
      <c r="I18" s="225"/>
      <c r="J18" s="225"/>
      <c r="K18" s="225"/>
      <c r="L18" s="225"/>
    </row>
    <row r="19" spans="1:12" x14ac:dyDescent="0.25">
      <c r="B19" s="235" t="s">
        <v>584</v>
      </c>
      <c r="D19" s="235" t="s">
        <v>585</v>
      </c>
      <c r="E19" s="235" t="s">
        <v>587</v>
      </c>
      <c r="F19" s="356"/>
      <c r="I19" s="225"/>
      <c r="J19" s="225"/>
      <c r="K19" s="225"/>
      <c r="L19" s="225"/>
    </row>
    <row r="20" spans="1:12" x14ac:dyDescent="0.25">
      <c r="A20" s="223" t="s">
        <v>586</v>
      </c>
      <c r="B20" s="246">
        <v>0.65</v>
      </c>
      <c r="D20" s="246">
        <v>0.5</v>
      </c>
      <c r="E20" s="246">
        <v>0</v>
      </c>
      <c r="I20" s="225"/>
      <c r="J20" s="225"/>
      <c r="K20" s="225"/>
      <c r="L20" s="225"/>
    </row>
    <row r="21" spans="1:12" x14ac:dyDescent="0.25">
      <c r="E21" s="223" t="s">
        <v>588</v>
      </c>
      <c r="F21" s="225"/>
      <c r="I21" s="225"/>
      <c r="J21" s="225"/>
      <c r="K21" s="225"/>
      <c r="L21" s="225"/>
    </row>
    <row r="22" spans="1:12" x14ac:dyDescent="0.25">
      <c r="F22" s="225"/>
      <c r="I22" s="225"/>
      <c r="J22" s="225"/>
      <c r="K22" s="225"/>
      <c r="L22" s="225"/>
    </row>
    <row r="23" spans="1:12" ht="21" x14ac:dyDescent="0.35">
      <c r="A23" s="242" t="s">
        <v>515</v>
      </c>
      <c r="B23" s="225"/>
      <c r="C23" s="225"/>
      <c r="D23" s="225"/>
      <c r="E23" s="236"/>
      <c r="F23" s="226"/>
      <c r="I23" s="225"/>
      <c r="J23" s="225"/>
      <c r="K23" s="225"/>
      <c r="L23" s="227"/>
    </row>
    <row r="24" spans="1:12" x14ac:dyDescent="0.25">
      <c r="A24" s="248" t="s">
        <v>563</v>
      </c>
      <c r="B24" s="252">
        <v>0</v>
      </c>
      <c r="C24" s="252">
        <v>1000</v>
      </c>
      <c r="D24" s="252">
        <v>3000</v>
      </c>
      <c r="E24" s="252">
        <v>5000</v>
      </c>
      <c r="F24" s="252">
        <v>9000</v>
      </c>
      <c r="G24" s="252">
        <v>12000</v>
      </c>
      <c r="H24" s="252">
        <v>15000</v>
      </c>
      <c r="I24" s="237"/>
      <c r="J24" s="392" t="s">
        <v>591</v>
      </c>
      <c r="K24" s="392"/>
      <c r="L24" s="225"/>
    </row>
    <row r="25" spans="1:12" x14ac:dyDescent="0.25">
      <c r="A25" s="248"/>
      <c r="B25" s="252">
        <v>1000</v>
      </c>
      <c r="C25" s="252">
        <v>3000</v>
      </c>
      <c r="D25" s="252">
        <v>5000</v>
      </c>
      <c r="E25" s="252">
        <v>9000</v>
      </c>
      <c r="F25" s="252">
        <v>12000</v>
      </c>
      <c r="G25" s="252">
        <v>15000</v>
      </c>
      <c r="H25" s="252"/>
      <c r="I25" s="237"/>
      <c r="J25" s="393" t="s">
        <v>592</v>
      </c>
      <c r="K25" s="394"/>
      <c r="L25" s="225"/>
    </row>
    <row r="26" spans="1:12" x14ac:dyDescent="0.25">
      <c r="A26" s="249" t="s">
        <v>516</v>
      </c>
      <c r="B26" s="322">
        <v>100</v>
      </c>
      <c r="C26" s="322">
        <v>350</v>
      </c>
      <c r="D26" s="322">
        <v>500</v>
      </c>
      <c r="E26" s="322">
        <v>600</v>
      </c>
      <c r="F26" s="322">
        <v>850</v>
      </c>
      <c r="G26" s="322">
        <v>1000</v>
      </c>
      <c r="H26" s="322">
        <v>1050</v>
      </c>
      <c r="I26" s="238"/>
      <c r="J26" s="395"/>
      <c r="K26" s="396"/>
      <c r="L26" s="225"/>
    </row>
    <row r="27" spans="1:12" x14ac:dyDescent="0.25">
      <c r="A27" s="225" t="s">
        <v>497</v>
      </c>
      <c r="B27" s="344">
        <v>99.4</v>
      </c>
      <c r="C27" s="247"/>
      <c r="D27" s="247"/>
      <c r="E27" s="247"/>
      <c r="F27" s="247"/>
      <c r="G27" s="247"/>
      <c r="H27" s="247"/>
      <c r="I27" s="225"/>
      <c r="J27" s="225"/>
      <c r="K27" s="225"/>
      <c r="L27" s="225"/>
    </row>
    <row r="28" spans="1:12" x14ac:dyDescent="0.25">
      <c r="A28" s="225" t="s">
        <v>498</v>
      </c>
      <c r="B28" s="345">
        <v>98.4</v>
      </c>
      <c r="C28" s="247"/>
      <c r="D28" s="247"/>
      <c r="E28" s="247"/>
      <c r="F28" s="247"/>
      <c r="G28" s="247"/>
      <c r="H28" s="247"/>
      <c r="I28" s="225"/>
      <c r="J28" s="225"/>
      <c r="K28" s="225"/>
      <c r="L28" s="225"/>
    </row>
    <row r="29" spans="1:12" x14ac:dyDescent="0.25">
      <c r="A29" s="225" t="s">
        <v>499</v>
      </c>
      <c r="B29" s="346">
        <f>+B26/$B$27*$B$28</f>
        <v>98.99396378269617</v>
      </c>
      <c r="C29" s="240">
        <f t="shared" ref="C29:H29" si="0">+C26/$B$27*$B$28</f>
        <v>346.47887323943661</v>
      </c>
      <c r="D29" s="240">
        <f t="shared" si="0"/>
        <v>494.96981891348088</v>
      </c>
      <c r="E29" s="240">
        <f t="shared" si="0"/>
        <v>593.96378269617708</v>
      </c>
      <c r="F29" s="240">
        <f t="shared" si="0"/>
        <v>841.44869215291749</v>
      </c>
      <c r="G29" s="240">
        <f t="shared" si="0"/>
        <v>989.93963782696176</v>
      </c>
      <c r="H29" s="240">
        <f t="shared" si="0"/>
        <v>1039.4366197183099</v>
      </c>
      <c r="I29" s="225"/>
      <c r="J29" s="225"/>
      <c r="K29" s="225"/>
      <c r="L29" s="225"/>
    </row>
    <row r="31" spans="1:12" ht="21" x14ac:dyDescent="0.35">
      <c r="A31" s="242" t="s">
        <v>517</v>
      </c>
    </row>
    <row r="32" spans="1:12" x14ac:dyDescent="0.25">
      <c r="A32" s="223" t="s">
        <v>564</v>
      </c>
      <c r="B32" s="253">
        <v>0.27</v>
      </c>
    </row>
    <row r="34" spans="1:12" ht="21" x14ac:dyDescent="0.35">
      <c r="A34" s="242" t="s">
        <v>518</v>
      </c>
    </row>
    <row r="35" spans="1:12" x14ac:dyDescent="0.25">
      <c r="A35" s="223" t="s">
        <v>414</v>
      </c>
      <c r="C35" s="228"/>
    </row>
    <row r="36" spans="1:12" x14ac:dyDescent="0.25">
      <c r="A36" s="223" t="s">
        <v>467</v>
      </c>
      <c r="B36" s="312">
        <v>3143590</v>
      </c>
      <c r="C36" s="131">
        <f>Synthèse!L315-Synthèse!F315</f>
        <v>449999.94101786613</v>
      </c>
      <c r="D36" s="251">
        <f>+'J) Plafonnement effort'!I314+'K) Plafonnement aide'!J314+'L) Plafonnement taux'!Q315</f>
        <v>3143589.9410184571</v>
      </c>
      <c r="L36" s="230"/>
    </row>
    <row r="37" spans="1:12" x14ac:dyDescent="0.25">
      <c r="A37" s="223" t="s">
        <v>565</v>
      </c>
      <c r="B37" s="312">
        <v>-450000</v>
      </c>
      <c r="C37" s="229"/>
      <c r="D37" s="230"/>
      <c r="L37" s="230"/>
    </row>
    <row r="38" spans="1:12" x14ac:dyDescent="0.25">
      <c r="G38" s="230"/>
      <c r="H38" s="231"/>
      <c r="L38" s="230"/>
    </row>
    <row r="39" spans="1:12" ht="21" x14ac:dyDescent="0.35">
      <c r="A39" s="242" t="s">
        <v>519</v>
      </c>
      <c r="G39" s="230"/>
      <c r="H39" s="231"/>
      <c r="L39" s="230"/>
    </row>
    <row r="40" spans="1:12" x14ac:dyDescent="0.25">
      <c r="A40" s="241"/>
      <c r="B40" s="255" t="s">
        <v>415</v>
      </c>
      <c r="C40" s="255" t="s">
        <v>413</v>
      </c>
      <c r="E40" s="239" t="s">
        <v>494</v>
      </c>
      <c r="F40" s="239"/>
      <c r="G40" s="257">
        <f>+'D) Ecrêtage'!M314</f>
        <v>33840443.986265205</v>
      </c>
      <c r="H40" s="259"/>
      <c r="I40" s="258" t="s">
        <v>495</v>
      </c>
      <c r="J40" s="239"/>
      <c r="K40" s="131">
        <f>+'I) Dépenses thématiques'!I314</f>
        <v>181212079.32083964</v>
      </c>
    </row>
    <row r="41" spans="1:12" x14ac:dyDescent="0.25">
      <c r="A41" s="223" t="s">
        <v>520</v>
      </c>
      <c r="B41" s="254">
        <v>8</v>
      </c>
      <c r="C41" s="235">
        <f>+H42</f>
        <v>0.71809340232287211</v>
      </c>
      <c r="E41" s="239" t="s">
        <v>593</v>
      </c>
      <c r="F41" s="239"/>
      <c r="G41" s="260">
        <v>4</v>
      </c>
      <c r="H41" s="375">
        <v>75</v>
      </c>
      <c r="I41" s="258" t="s">
        <v>244</v>
      </c>
      <c r="J41" s="239"/>
      <c r="K41" s="131">
        <f>+'I) Dépenses thématiques'!M314</f>
        <v>7289549.4466655841</v>
      </c>
    </row>
    <row r="42" spans="1:12" x14ac:dyDescent="0.25">
      <c r="A42" s="223" t="s">
        <v>568</v>
      </c>
      <c r="B42" s="254">
        <v>1</v>
      </c>
      <c r="C42" s="235">
        <f>+H42</f>
        <v>0.71809340232287211</v>
      </c>
      <c r="E42" s="239" t="s">
        <v>521</v>
      </c>
      <c r="F42" s="239"/>
      <c r="G42" s="256">
        <f>+G40*G41</f>
        <v>135361775.94506082</v>
      </c>
      <c r="H42" s="343">
        <f>IF((G42/K42)&gt;H41,H41,(G42/K42))</f>
        <v>0.71809340232287211</v>
      </c>
      <c r="I42" s="239" t="s">
        <v>166</v>
      </c>
      <c r="J42" s="239"/>
      <c r="K42" s="131">
        <f>SUM(K40:K41)</f>
        <v>188501628.76750523</v>
      </c>
    </row>
    <row r="43" spans="1:12" x14ac:dyDescent="0.25">
      <c r="E43" s="223" t="s">
        <v>594</v>
      </c>
    </row>
    <row r="44" spans="1:12" ht="21" x14ac:dyDescent="0.35">
      <c r="A44" s="242" t="s">
        <v>523</v>
      </c>
    </row>
    <row r="46" spans="1:12" x14ac:dyDescent="0.25">
      <c r="A46" s="223" t="s">
        <v>580</v>
      </c>
      <c r="B46" s="353">
        <v>54.046999999999997</v>
      </c>
    </row>
    <row r="47" spans="1:12" x14ac:dyDescent="0.25">
      <c r="A47" s="223" t="s">
        <v>569</v>
      </c>
      <c r="B47" s="352">
        <f>B46+B62</f>
        <v>54.939824006084386</v>
      </c>
    </row>
    <row r="48" spans="1:12" x14ac:dyDescent="0.25">
      <c r="A48" s="223" t="s">
        <v>571</v>
      </c>
      <c r="B48" s="354">
        <v>-6.5</v>
      </c>
      <c r="C48" s="358" t="s">
        <v>596</v>
      </c>
      <c r="D48" s="357">
        <v>-6.5</v>
      </c>
      <c r="E48" s="358" t="s">
        <v>597</v>
      </c>
      <c r="F48" s="357">
        <v>8</v>
      </c>
    </row>
    <row r="49" spans="1:5" x14ac:dyDescent="0.25">
      <c r="A49" s="223" t="s">
        <v>570</v>
      </c>
      <c r="B49" s="352">
        <f>B47-B50+B51</f>
        <v>89.939824006084393</v>
      </c>
    </row>
    <row r="50" spans="1:5" x14ac:dyDescent="0.25">
      <c r="A50" s="223" t="s">
        <v>581</v>
      </c>
      <c r="B50" s="351">
        <v>50</v>
      </c>
    </row>
    <row r="51" spans="1:5" x14ac:dyDescent="0.25">
      <c r="A51" s="223" t="s">
        <v>582</v>
      </c>
      <c r="B51" s="351">
        <v>85</v>
      </c>
    </row>
    <row r="53" spans="1:5" x14ac:dyDescent="0.25">
      <c r="A53" s="232"/>
      <c r="B53" s="224"/>
    </row>
    <row r="54" spans="1:5" ht="21" x14ac:dyDescent="0.35">
      <c r="A54" s="266" t="s">
        <v>522</v>
      </c>
      <c r="B54" s="225"/>
      <c r="E54" s="225"/>
    </row>
    <row r="55" spans="1:5" ht="45" x14ac:dyDescent="0.25">
      <c r="B55" s="264" t="s">
        <v>486</v>
      </c>
      <c r="C55" s="225"/>
      <c r="D55" s="225"/>
      <c r="E55" s="225"/>
    </row>
    <row r="56" spans="1:5" x14ac:dyDescent="0.25">
      <c r="A56" s="225" t="s">
        <v>598</v>
      </c>
      <c r="B56" s="250">
        <v>703936600</v>
      </c>
      <c r="C56" s="225"/>
      <c r="D56" s="225"/>
      <c r="E56" s="225"/>
    </row>
    <row r="57" spans="1:5" x14ac:dyDescent="0.25">
      <c r="A57" s="225" t="s">
        <v>599</v>
      </c>
      <c r="B57" s="250">
        <v>735072900</v>
      </c>
      <c r="C57" s="237"/>
      <c r="D57" s="225"/>
      <c r="E57" s="225"/>
    </row>
    <row r="58" spans="1:5" x14ac:dyDescent="0.25">
      <c r="A58" s="225" t="s">
        <v>600</v>
      </c>
      <c r="B58" s="250">
        <v>34755745</v>
      </c>
      <c r="C58" s="225"/>
      <c r="D58" s="225"/>
      <c r="E58" s="225"/>
    </row>
    <row r="59" spans="1:5" x14ac:dyDescent="0.25">
      <c r="A59" s="225" t="s">
        <v>601</v>
      </c>
      <c r="B59" s="250">
        <f>'B) D RI'!U316</f>
        <v>34873950.283385321</v>
      </c>
      <c r="C59" s="237"/>
      <c r="D59" s="225"/>
      <c r="E59" s="225"/>
    </row>
    <row r="60" spans="1:5" x14ac:dyDescent="0.25">
      <c r="A60" s="225" t="s">
        <v>487</v>
      </c>
      <c r="B60" s="262">
        <f>(B57-B56)*100/B56</f>
        <v>4.4231682228200668</v>
      </c>
      <c r="C60" s="225"/>
      <c r="D60" s="225"/>
      <c r="E60" s="225"/>
    </row>
    <row r="61" spans="1:5" x14ac:dyDescent="0.25">
      <c r="A61" s="225" t="s">
        <v>488</v>
      </c>
      <c r="B61" s="262">
        <f>(B59-B58)*100/B58</f>
        <v>0.34010286180118277</v>
      </c>
      <c r="C61" s="237"/>
      <c r="D61" s="225"/>
      <c r="E61" s="225"/>
    </row>
    <row r="62" spans="1:5" x14ac:dyDescent="0.25">
      <c r="A62" s="225" t="s">
        <v>489</v>
      </c>
      <c r="B62" s="263">
        <f>(B57-B56)/B59</f>
        <v>0.89282400608439194</v>
      </c>
      <c r="C62" s="261"/>
      <c r="D62" s="225"/>
      <c r="E62" s="225"/>
    </row>
    <row r="63" spans="1:5" x14ac:dyDescent="0.25">
      <c r="A63" s="225"/>
      <c r="B63" s="225"/>
      <c r="C63" s="225"/>
      <c r="D63" s="225"/>
      <c r="E63" s="225"/>
    </row>
    <row r="64" spans="1:5" ht="21" x14ac:dyDescent="0.35">
      <c r="A64" s="266" t="s">
        <v>549</v>
      </c>
      <c r="B64" s="225"/>
      <c r="C64" s="225"/>
      <c r="D64" s="225"/>
      <c r="E64" s="225"/>
    </row>
    <row r="65" spans="1:7" x14ac:dyDescent="0.25">
      <c r="A65" s="225" t="s">
        <v>550</v>
      </c>
      <c r="B65" s="303">
        <v>2</v>
      </c>
      <c r="C65" s="225">
        <v>2013</v>
      </c>
      <c r="D65" s="320">
        <v>62118300</v>
      </c>
      <c r="E65" s="223">
        <v>2016</v>
      </c>
      <c r="F65" s="320">
        <f>D67*101.5%</f>
        <v>64955763.00176248</v>
      </c>
      <c r="G65" s="374"/>
    </row>
    <row r="66" spans="1:7" x14ac:dyDescent="0.25">
      <c r="A66" s="225" t="s">
        <v>557</v>
      </c>
      <c r="B66" s="312">
        <f>+F66</f>
        <v>65930099.446788907</v>
      </c>
      <c r="C66" s="225">
        <v>2014</v>
      </c>
      <c r="D66" s="320">
        <f>D65*101.5%</f>
        <v>63050074.499999993</v>
      </c>
      <c r="E66" s="225">
        <v>2017</v>
      </c>
      <c r="F66" s="275">
        <f>+F65*1.015</f>
        <v>65930099.446788907</v>
      </c>
    </row>
    <row r="67" spans="1:7" x14ac:dyDescent="0.25">
      <c r="A67" s="225"/>
      <c r="B67" s="225"/>
      <c r="C67" s="225">
        <v>2015</v>
      </c>
      <c r="D67" s="320">
        <f>D66*101.5%</f>
        <v>63995825.617499985</v>
      </c>
      <c r="E67" s="225"/>
    </row>
    <row r="68" spans="1:7" ht="21" x14ac:dyDescent="0.35">
      <c r="A68" s="266" t="s">
        <v>527</v>
      </c>
    </row>
    <row r="69" spans="1:7" x14ac:dyDescent="0.25">
      <c r="A69" s="223" t="s">
        <v>294</v>
      </c>
      <c r="B69" s="223">
        <v>5401</v>
      </c>
    </row>
    <row r="70" spans="1:7" x14ac:dyDescent="0.25">
      <c r="A70" s="223" t="s">
        <v>295</v>
      </c>
      <c r="B70" s="223">
        <v>5402</v>
      </c>
    </row>
    <row r="71" spans="1:7" x14ac:dyDescent="0.25">
      <c r="A71" s="223" t="s">
        <v>140</v>
      </c>
      <c r="B71" s="223">
        <v>5403</v>
      </c>
    </row>
    <row r="72" spans="1:7" x14ac:dyDescent="0.25">
      <c r="A72" s="223" t="s">
        <v>141</v>
      </c>
      <c r="B72" s="223">
        <v>5404</v>
      </c>
    </row>
    <row r="73" spans="1:7" x14ac:dyDescent="0.25">
      <c r="A73" s="223" t="s">
        <v>142</v>
      </c>
      <c r="B73" s="223">
        <v>5405</v>
      </c>
    </row>
    <row r="74" spans="1:7" x14ac:dyDescent="0.25">
      <c r="A74" s="223" t="s">
        <v>143</v>
      </c>
      <c r="B74" s="223">
        <v>5406</v>
      </c>
    </row>
    <row r="75" spans="1:7" x14ac:dyDescent="0.25">
      <c r="A75" s="223" t="s">
        <v>144</v>
      </c>
      <c r="B75" s="223">
        <v>5407</v>
      </c>
    </row>
    <row r="76" spans="1:7" x14ac:dyDescent="0.25">
      <c r="A76" s="223" t="s">
        <v>145</v>
      </c>
      <c r="B76" s="223">
        <v>5408</v>
      </c>
    </row>
    <row r="77" spans="1:7" x14ac:dyDescent="0.25">
      <c r="A77" s="223" t="s">
        <v>146</v>
      </c>
      <c r="B77" s="223">
        <v>5409</v>
      </c>
    </row>
    <row r="78" spans="1:7" x14ac:dyDescent="0.25">
      <c r="A78" s="223" t="s">
        <v>158</v>
      </c>
      <c r="B78" s="223">
        <v>5410</v>
      </c>
    </row>
    <row r="79" spans="1:7" x14ac:dyDescent="0.25">
      <c r="A79" s="223" t="s">
        <v>159</v>
      </c>
      <c r="B79" s="223">
        <v>5411</v>
      </c>
    </row>
    <row r="80" spans="1:7" x14ac:dyDescent="0.25">
      <c r="A80" s="223" t="s">
        <v>160</v>
      </c>
      <c r="B80" s="223">
        <v>5412</v>
      </c>
    </row>
    <row r="81" spans="1:2" x14ac:dyDescent="0.25">
      <c r="A81" s="223" t="s">
        <v>161</v>
      </c>
      <c r="B81" s="223">
        <v>5413</v>
      </c>
    </row>
    <row r="82" spans="1:2" x14ac:dyDescent="0.25">
      <c r="A82" s="223" t="s">
        <v>162</v>
      </c>
      <c r="B82" s="223">
        <v>5414</v>
      </c>
    </row>
    <row r="83" spans="1:2" x14ac:dyDescent="0.25">
      <c r="A83" s="223" t="s">
        <v>77</v>
      </c>
      <c r="B83" s="223">
        <v>5415</v>
      </c>
    </row>
    <row r="84" spans="1:2" x14ac:dyDescent="0.25">
      <c r="A84" s="223" t="s">
        <v>78</v>
      </c>
      <c r="B84" s="223">
        <v>5421</v>
      </c>
    </row>
    <row r="85" spans="1:2" x14ac:dyDescent="0.25">
      <c r="A85" s="223" t="s">
        <v>79</v>
      </c>
      <c r="B85" s="223">
        <v>5422</v>
      </c>
    </row>
    <row r="86" spans="1:2" x14ac:dyDescent="0.25">
      <c r="A86" s="223" t="s">
        <v>80</v>
      </c>
      <c r="B86" s="223">
        <v>5423</v>
      </c>
    </row>
    <row r="87" spans="1:2" x14ac:dyDescent="0.25">
      <c r="A87" s="223" t="s">
        <v>81</v>
      </c>
      <c r="B87" s="223">
        <v>5424</v>
      </c>
    </row>
    <row r="88" spans="1:2" x14ac:dyDescent="0.25">
      <c r="A88" s="223" t="s">
        <v>82</v>
      </c>
      <c r="B88" s="223">
        <v>5425</v>
      </c>
    </row>
    <row r="89" spans="1:2" x14ac:dyDescent="0.25">
      <c r="A89" s="223" t="s">
        <v>76</v>
      </c>
      <c r="B89" s="223">
        <v>5426</v>
      </c>
    </row>
    <row r="90" spans="1:2" x14ac:dyDescent="0.25">
      <c r="A90" s="223" t="s">
        <v>376</v>
      </c>
      <c r="B90" s="223">
        <v>5427</v>
      </c>
    </row>
    <row r="91" spans="1:2" x14ac:dyDescent="0.25">
      <c r="A91" s="223" t="s">
        <v>377</v>
      </c>
      <c r="B91" s="223">
        <v>5428</v>
      </c>
    </row>
    <row r="92" spans="1:2" x14ac:dyDescent="0.25">
      <c r="A92" s="223" t="s">
        <v>397</v>
      </c>
      <c r="B92" s="223">
        <v>5429</v>
      </c>
    </row>
    <row r="93" spans="1:2" x14ac:dyDescent="0.25">
      <c r="A93" s="223" t="s">
        <v>398</v>
      </c>
      <c r="B93" s="223">
        <v>5430</v>
      </c>
    </row>
    <row r="94" spans="1:2" x14ac:dyDescent="0.25">
      <c r="A94" s="223" t="s">
        <v>399</v>
      </c>
      <c r="B94" s="223">
        <v>5431</v>
      </c>
    </row>
    <row r="95" spans="1:2" x14ac:dyDescent="0.25">
      <c r="A95" s="223" t="s">
        <v>400</v>
      </c>
      <c r="B95" s="223">
        <v>5432</v>
      </c>
    </row>
    <row r="96" spans="1:2" x14ac:dyDescent="0.25">
      <c r="A96" s="223" t="s">
        <v>401</v>
      </c>
      <c r="B96" s="223">
        <v>5434</v>
      </c>
    </row>
    <row r="97" spans="1:2" x14ac:dyDescent="0.25">
      <c r="A97" s="223" t="s">
        <v>378</v>
      </c>
      <c r="B97" s="223">
        <v>5435</v>
      </c>
    </row>
    <row r="98" spans="1:2" x14ac:dyDescent="0.25">
      <c r="A98" s="223" t="s">
        <v>379</v>
      </c>
      <c r="B98" s="223">
        <v>5436</v>
      </c>
    </row>
    <row r="99" spans="1:2" x14ac:dyDescent="0.25">
      <c r="A99" s="223" t="s">
        <v>380</v>
      </c>
      <c r="B99" s="223">
        <v>5437</v>
      </c>
    </row>
    <row r="100" spans="1:2" x14ac:dyDescent="0.25">
      <c r="A100" s="223" t="s">
        <v>381</v>
      </c>
      <c r="B100" s="223">
        <v>5451</v>
      </c>
    </row>
    <row r="101" spans="1:2" x14ac:dyDescent="0.25">
      <c r="A101" s="223" t="s">
        <v>382</v>
      </c>
      <c r="B101" s="223">
        <v>5456</v>
      </c>
    </row>
    <row r="102" spans="1:2" x14ac:dyDescent="0.25">
      <c r="A102" s="223" t="s">
        <v>383</v>
      </c>
      <c r="B102" s="223">
        <v>5458</v>
      </c>
    </row>
    <row r="103" spans="1:2" x14ac:dyDescent="0.25">
      <c r="A103" s="223" t="s">
        <v>478</v>
      </c>
      <c r="B103" s="223">
        <v>5464</v>
      </c>
    </row>
    <row r="104" spans="1:2" x14ac:dyDescent="0.25">
      <c r="A104" s="223" t="s">
        <v>384</v>
      </c>
      <c r="B104" s="223">
        <v>5471</v>
      </c>
    </row>
    <row r="105" spans="1:2" x14ac:dyDescent="0.25">
      <c r="A105" s="223" t="s">
        <v>385</v>
      </c>
      <c r="B105" s="223">
        <v>5472</v>
      </c>
    </row>
    <row r="106" spans="1:2" x14ac:dyDescent="0.25">
      <c r="A106" s="223" t="s">
        <v>238</v>
      </c>
      <c r="B106" s="223">
        <v>5473</v>
      </c>
    </row>
    <row r="107" spans="1:2" x14ac:dyDescent="0.25">
      <c r="A107" s="223" t="s">
        <v>239</v>
      </c>
      <c r="B107" s="223">
        <v>5474</v>
      </c>
    </row>
    <row r="108" spans="1:2" x14ac:dyDescent="0.25">
      <c r="A108" s="223" t="s">
        <v>407</v>
      </c>
      <c r="B108" s="223">
        <v>5475</v>
      </c>
    </row>
    <row r="109" spans="1:2" x14ac:dyDescent="0.25">
      <c r="A109" s="223" t="s">
        <v>408</v>
      </c>
      <c r="B109" s="223">
        <v>5476</v>
      </c>
    </row>
    <row r="110" spans="1:2" x14ac:dyDescent="0.25">
      <c r="A110" s="223" t="s">
        <v>409</v>
      </c>
      <c r="B110" s="223">
        <v>5477</v>
      </c>
    </row>
    <row r="111" spans="1:2" x14ac:dyDescent="0.25">
      <c r="A111" s="223" t="s">
        <v>270</v>
      </c>
      <c r="B111" s="223">
        <v>5478</v>
      </c>
    </row>
    <row r="112" spans="1:2" x14ac:dyDescent="0.25">
      <c r="A112" s="223" t="s">
        <v>271</v>
      </c>
      <c r="B112" s="223">
        <v>5479</v>
      </c>
    </row>
    <row r="113" spans="1:2" x14ac:dyDescent="0.25">
      <c r="A113" s="223" t="s">
        <v>272</v>
      </c>
      <c r="B113" s="223">
        <v>5480</v>
      </c>
    </row>
    <row r="114" spans="1:2" x14ac:dyDescent="0.25">
      <c r="A114" s="223" t="s">
        <v>273</v>
      </c>
      <c r="B114" s="223">
        <v>5481</v>
      </c>
    </row>
    <row r="115" spans="1:2" x14ac:dyDescent="0.25">
      <c r="A115" s="223" t="s">
        <v>274</v>
      </c>
      <c r="B115" s="223">
        <v>5482</v>
      </c>
    </row>
    <row r="116" spans="1:2" x14ac:dyDescent="0.25">
      <c r="A116" s="223" t="s">
        <v>168</v>
      </c>
      <c r="B116" s="223">
        <v>5483</v>
      </c>
    </row>
    <row r="117" spans="1:2" x14ac:dyDescent="0.25">
      <c r="A117" s="223" t="s">
        <v>169</v>
      </c>
      <c r="B117" s="223">
        <v>5484</v>
      </c>
    </row>
    <row r="118" spans="1:2" x14ac:dyDescent="0.25">
      <c r="A118" s="223" t="s">
        <v>170</v>
      </c>
      <c r="B118" s="223">
        <v>5485</v>
      </c>
    </row>
    <row r="119" spans="1:2" x14ac:dyDescent="0.25">
      <c r="A119" s="223" t="s">
        <v>5</v>
      </c>
      <c r="B119" s="223">
        <v>5486</v>
      </c>
    </row>
    <row r="120" spans="1:2" x14ac:dyDescent="0.25">
      <c r="A120" s="223" t="s">
        <v>6</v>
      </c>
      <c r="B120" s="223">
        <v>5487</v>
      </c>
    </row>
    <row r="121" spans="1:2" x14ac:dyDescent="0.25">
      <c r="A121" s="223" t="s">
        <v>7</v>
      </c>
      <c r="B121" s="223">
        <v>5488</v>
      </c>
    </row>
    <row r="122" spans="1:2" x14ac:dyDescent="0.25">
      <c r="A122" s="223" t="s">
        <v>8</v>
      </c>
      <c r="B122" s="223">
        <v>5489</v>
      </c>
    </row>
    <row r="123" spans="1:2" x14ac:dyDescent="0.25">
      <c r="A123" s="223" t="s">
        <v>9</v>
      </c>
      <c r="B123" s="223">
        <v>5490</v>
      </c>
    </row>
    <row r="124" spans="1:2" x14ac:dyDescent="0.25">
      <c r="A124" s="223" t="s">
        <v>192</v>
      </c>
      <c r="B124" s="223">
        <v>5491</v>
      </c>
    </row>
    <row r="125" spans="1:2" x14ac:dyDescent="0.25">
      <c r="A125" s="223" t="s">
        <v>193</v>
      </c>
      <c r="B125" s="223">
        <v>5492</v>
      </c>
    </row>
    <row r="126" spans="1:2" x14ac:dyDescent="0.25">
      <c r="A126" s="223" t="s">
        <v>194</v>
      </c>
      <c r="B126" s="223">
        <v>5493</v>
      </c>
    </row>
    <row r="127" spans="1:2" x14ac:dyDescent="0.25">
      <c r="A127" s="223" t="s">
        <v>195</v>
      </c>
      <c r="B127" s="223">
        <v>5494</v>
      </c>
    </row>
    <row r="128" spans="1:2" x14ac:dyDescent="0.25">
      <c r="A128" s="223" t="s">
        <v>196</v>
      </c>
      <c r="B128" s="223">
        <v>5495</v>
      </c>
    </row>
    <row r="129" spans="1:2" x14ac:dyDescent="0.25">
      <c r="A129" s="223" t="s">
        <v>197</v>
      </c>
      <c r="B129" s="223">
        <v>5496</v>
      </c>
    </row>
    <row r="130" spans="1:2" x14ac:dyDescent="0.25">
      <c r="A130" s="223" t="s">
        <v>198</v>
      </c>
      <c r="B130" s="223">
        <v>5497</v>
      </c>
    </row>
    <row r="131" spans="1:2" x14ac:dyDescent="0.25">
      <c r="A131" s="223" t="s">
        <v>199</v>
      </c>
      <c r="B131" s="223">
        <v>5498</v>
      </c>
    </row>
    <row r="132" spans="1:2" x14ac:dyDescent="0.25">
      <c r="A132" s="223" t="s">
        <v>200</v>
      </c>
      <c r="B132" s="223">
        <v>5499</v>
      </c>
    </row>
    <row r="133" spans="1:2" x14ac:dyDescent="0.25">
      <c r="A133" s="223" t="s">
        <v>201</v>
      </c>
      <c r="B133" s="223">
        <v>5500</v>
      </c>
    </row>
    <row r="134" spans="1:2" x14ac:dyDescent="0.25">
      <c r="A134" s="223" t="s">
        <v>202</v>
      </c>
      <c r="B134" s="223">
        <v>5501</v>
      </c>
    </row>
    <row r="135" spans="1:2" x14ac:dyDescent="0.25">
      <c r="A135" s="223" t="s">
        <v>203</v>
      </c>
      <c r="B135" s="223">
        <v>5503</v>
      </c>
    </row>
    <row r="136" spans="1:2" x14ac:dyDescent="0.25">
      <c r="A136" s="223" t="s">
        <v>204</v>
      </c>
      <c r="B136" s="223">
        <v>5511</v>
      </c>
    </row>
    <row r="137" spans="1:2" x14ac:dyDescent="0.25">
      <c r="A137" s="223" t="s">
        <v>205</v>
      </c>
      <c r="B137" s="223">
        <v>5512</v>
      </c>
    </row>
    <row r="138" spans="1:2" x14ac:dyDescent="0.25">
      <c r="A138" s="223" t="s">
        <v>206</v>
      </c>
      <c r="B138" s="223">
        <v>5513</v>
      </c>
    </row>
    <row r="139" spans="1:2" x14ac:dyDescent="0.25">
      <c r="A139" s="223" t="s">
        <v>207</v>
      </c>
      <c r="B139" s="223">
        <v>5514</v>
      </c>
    </row>
    <row r="140" spans="1:2" x14ac:dyDescent="0.25">
      <c r="A140" s="223" t="s">
        <v>208</v>
      </c>
      <c r="B140" s="223">
        <v>5515</v>
      </c>
    </row>
    <row r="141" spans="1:2" x14ac:dyDescent="0.25">
      <c r="A141" s="223" t="s">
        <v>209</v>
      </c>
      <c r="B141" s="223">
        <v>5516</v>
      </c>
    </row>
    <row r="142" spans="1:2" x14ac:dyDescent="0.25">
      <c r="A142" s="223" t="s">
        <v>210</v>
      </c>
      <c r="B142" s="223">
        <v>5518</v>
      </c>
    </row>
    <row r="143" spans="1:2" x14ac:dyDescent="0.25">
      <c r="A143" s="223" t="s">
        <v>211</v>
      </c>
      <c r="B143" s="223">
        <v>5520</v>
      </c>
    </row>
    <row r="144" spans="1:2" x14ac:dyDescent="0.25">
      <c r="A144" s="223" t="s">
        <v>212</v>
      </c>
      <c r="B144" s="223">
        <v>5521</v>
      </c>
    </row>
    <row r="145" spans="1:2" x14ac:dyDescent="0.25">
      <c r="A145" s="223" t="s">
        <v>213</v>
      </c>
      <c r="B145" s="223">
        <v>5522</v>
      </c>
    </row>
    <row r="146" spans="1:2" x14ac:dyDescent="0.25">
      <c r="A146" s="223" t="s">
        <v>214</v>
      </c>
      <c r="B146" s="223">
        <v>5523</v>
      </c>
    </row>
    <row r="147" spans="1:2" x14ac:dyDescent="0.25">
      <c r="A147" s="223" t="s">
        <v>215</v>
      </c>
      <c r="B147" s="223">
        <v>5527</v>
      </c>
    </row>
    <row r="148" spans="1:2" x14ac:dyDescent="0.25">
      <c r="A148" s="223" t="s">
        <v>216</v>
      </c>
      <c r="B148" s="223">
        <v>5529</v>
      </c>
    </row>
    <row r="149" spans="1:2" x14ac:dyDescent="0.25">
      <c r="A149" s="223" t="s">
        <v>217</v>
      </c>
      <c r="B149" s="223">
        <v>5530</v>
      </c>
    </row>
    <row r="150" spans="1:2" x14ac:dyDescent="0.25">
      <c r="A150" s="223" t="s">
        <v>218</v>
      </c>
      <c r="B150" s="223">
        <v>5531</v>
      </c>
    </row>
    <row r="151" spans="1:2" x14ac:dyDescent="0.25">
      <c r="A151" s="223" t="s">
        <v>219</v>
      </c>
      <c r="B151" s="223">
        <v>5533</v>
      </c>
    </row>
    <row r="152" spans="1:2" x14ac:dyDescent="0.25">
      <c r="A152" s="223" t="s">
        <v>220</v>
      </c>
      <c r="B152" s="223">
        <v>5534</v>
      </c>
    </row>
    <row r="153" spans="1:2" x14ac:dyDescent="0.25">
      <c r="A153" s="223" t="s">
        <v>34</v>
      </c>
      <c r="B153" s="223">
        <v>5535</v>
      </c>
    </row>
    <row r="154" spans="1:2" x14ac:dyDescent="0.25">
      <c r="A154" s="223" t="s">
        <v>35</v>
      </c>
      <c r="B154" s="223">
        <v>5537</v>
      </c>
    </row>
    <row r="155" spans="1:2" x14ac:dyDescent="0.25">
      <c r="A155" s="223" t="s">
        <v>36</v>
      </c>
      <c r="B155" s="223">
        <v>5539</v>
      </c>
    </row>
    <row r="156" spans="1:2" x14ac:dyDescent="0.25">
      <c r="A156" s="223" t="s">
        <v>480</v>
      </c>
      <c r="B156" s="223">
        <v>5540</v>
      </c>
    </row>
    <row r="157" spans="1:2" x14ac:dyDescent="0.25">
      <c r="A157" s="223" t="s">
        <v>479</v>
      </c>
      <c r="B157" s="223">
        <v>5541</v>
      </c>
    </row>
    <row r="158" spans="1:2" x14ac:dyDescent="0.25">
      <c r="A158" s="223" t="s">
        <v>37</v>
      </c>
      <c r="B158" s="223">
        <v>5551</v>
      </c>
    </row>
    <row r="159" spans="1:2" x14ac:dyDescent="0.25">
      <c r="A159" s="223" t="s">
        <v>38</v>
      </c>
      <c r="B159" s="223">
        <v>5552</v>
      </c>
    </row>
    <row r="160" spans="1:2" x14ac:dyDescent="0.25">
      <c r="A160" s="223" t="s">
        <v>39</v>
      </c>
      <c r="B160" s="223">
        <v>5553</v>
      </c>
    </row>
    <row r="161" spans="1:2" x14ac:dyDescent="0.25">
      <c r="A161" s="223" t="s">
        <v>40</v>
      </c>
      <c r="B161" s="223">
        <v>5554</v>
      </c>
    </row>
    <row r="162" spans="1:2" x14ac:dyDescent="0.25">
      <c r="A162" s="223" t="s">
        <v>41</v>
      </c>
      <c r="B162" s="223">
        <v>5555</v>
      </c>
    </row>
    <row r="163" spans="1:2" x14ac:dyDescent="0.25">
      <c r="A163" s="223" t="s">
        <v>42</v>
      </c>
      <c r="B163" s="223">
        <v>5556</v>
      </c>
    </row>
    <row r="164" spans="1:2" x14ac:dyDescent="0.25">
      <c r="A164" s="223" t="s">
        <v>43</v>
      </c>
      <c r="B164" s="223">
        <v>5557</v>
      </c>
    </row>
    <row r="165" spans="1:2" x14ac:dyDescent="0.25">
      <c r="A165" s="223" t="s">
        <v>44</v>
      </c>
      <c r="B165" s="223">
        <v>5559</v>
      </c>
    </row>
    <row r="166" spans="1:2" x14ac:dyDescent="0.25">
      <c r="A166" s="223" t="s">
        <v>45</v>
      </c>
      <c r="B166" s="223">
        <v>5560</v>
      </c>
    </row>
    <row r="167" spans="1:2" x14ac:dyDescent="0.25">
      <c r="A167" s="223" t="s">
        <v>46</v>
      </c>
      <c r="B167" s="223">
        <v>5561</v>
      </c>
    </row>
    <row r="168" spans="1:2" x14ac:dyDescent="0.25">
      <c r="A168" s="223" t="s">
        <v>47</v>
      </c>
      <c r="B168" s="223">
        <v>5562</v>
      </c>
    </row>
    <row r="169" spans="1:2" x14ac:dyDescent="0.25">
      <c r="A169" s="223" t="s">
        <v>318</v>
      </c>
      <c r="B169" s="223">
        <v>5563</v>
      </c>
    </row>
    <row r="170" spans="1:2" x14ac:dyDescent="0.25">
      <c r="A170" s="223" t="s">
        <v>319</v>
      </c>
      <c r="B170" s="223">
        <v>5564</v>
      </c>
    </row>
    <row r="171" spans="1:2" x14ac:dyDescent="0.25">
      <c r="A171" s="223" t="s">
        <v>320</v>
      </c>
      <c r="B171" s="223">
        <v>5565</v>
      </c>
    </row>
    <row r="172" spans="1:2" x14ac:dyDescent="0.25">
      <c r="A172" s="223" t="s">
        <v>321</v>
      </c>
      <c r="B172" s="223">
        <v>5566</v>
      </c>
    </row>
    <row r="173" spans="1:2" x14ac:dyDescent="0.25">
      <c r="A173" s="223" t="s">
        <v>147</v>
      </c>
      <c r="B173" s="223">
        <v>5568</v>
      </c>
    </row>
    <row r="174" spans="1:2" x14ac:dyDescent="0.25">
      <c r="A174" s="223" t="s">
        <v>477</v>
      </c>
      <c r="B174" s="223">
        <v>5571</v>
      </c>
    </row>
    <row r="175" spans="1:2" x14ac:dyDescent="0.25">
      <c r="A175" s="223" t="s">
        <v>423</v>
      </c>
      <c r="B175" s="223">
        <v>5581</v>
      </c>
    </row>
    <row r="176" spans="1:2" x14ac:dyDescent="0.25">
      <c r="A176" s="223" t="s">
        <v>424</v>
      </c>
      <c r="B176" s="223">
        <v>5582</v>
      </c>
    </row>
    <row r="177" spans="1:2" x14ac:dyDescent="0.25">
      <c r="A177" s="223" t="s">
        <v>425</v>
      </c>
      <c r="B177" s="223">
        <v>5583</v>
      </c>
    </row>
    <row r="178" spans="1:2" x14ac:dyDescent="0.25">
      <c r="A178" s="223" t="s">
        <v>426</v>
      </c>
      <c r="B178" s="223">
        <v>5584</v>
      </c>
    </row>
    <row r="179" spans="1:2" x14ac:dyDescent="0.25">
      <c r="A179" s="223" t="s">
        <v>427</v>
      </c>
      <c r="B179" s="223">
        <v>5585</v>
      </c>
    </row>
    <row r="180" spans="1:2" x14ac:dyDescent="0.25">
      <c r="A180" s="223" t="s">
        <v>148</v>
      </c>
      <c r="B180" s="223">
        <v>5586</v>
      </c>
    </row>
    <row r="181" spans="1:2" x14ac:dyDescent="0.25">
      <c r="A181" s="223" t="s">
        <v>149</v>
      </c>
      <c r="B181" s="223">
        <v>5587</v>
      </c>
    </row>
    <row r="182" spans="1:2" x14ac:dyDescent="0.25">
      <c r="A182" s="223" t="s">
        <v>150</v>
      </c>
      <c r="B182" s="223">
        <v>5588</v>
      </c>
    </row>
    <row r="183" spans="1:2" x14ac:dyDescent="0.25">
      <c r="A183" s="223" t="s">
        <v>151</v>
      </c>
      <c r="B183" s="223">
        <v>5589</v>
      </c>
    </row>
    <row r="184" spans="1:2" x14ac:dyDescent="0.25">
      <c r="A184" s="223" t="s">
        <v>152</v>
      </c>
      <c r="B184" s="223">
        <v>5590</v>
      </c>
    </row>
    <row r="185" spans="1:2" x14ac:dyDescent="0.25">
      <c r="A185" s="223" t="s">
        <v>430</v>
      </c>
      <c r="B185" s="223">
        <v>5591</v>
      </c>
    </row>
    <row r="186" spans="1:2" x14ac:dyDescent="0.25">
      <c r="A186" s="223" t="s">
        <v>245</v>
      </c>
      <c r="B186" s="223">
        <v>5592</v>
      </c>
    </row>
    <row r="187" spans="1:2" x14ac:dyDescent="0.25">
      <c r="A187" s="223" t="s">
        <v>332</v>
      </c>
      <c r="B187" s="223">
        <v>5601</v>
      </c>
    </row>
    <row r="188" spans="1:2" x14ac:dyDescent="0.25">
      <c r="A188" s="223" t="s">
        <v>171</v>
      </c>
      <c r="B188" s="223">
        <v>5604</v>
      </c>
    </row>
    <row r="189" spans="1:2" x14ac:dyDescent="0.25">
      <c r="A189" s="223" t="s">
        <v>172</v>
      </c>
      <c r="B189" s="223">
        <v>5606</v>
      </c>
    </row>
    <row r="190" spans="1:2" x14ac:dyDescent="0.25">
      <c r="A190" s="223" t="s">
        <v>334</v>
      </c>
      <c r="B190" s="223">
        <v>5607</v>
      </c>
    </row>
    <row r="191" spans="1:2" x14ac:dyDescent="0.25">
      <c r="A191" s="223" t="s">
        <v>156</v>
      </c>
      <c r="B191" s="223">
        <v>5609</v>
      </c>
    </row>
    <row r="192" spans="1:2" x14ac:dyDescent="0.25">
      <c r="A192" s="223" t="s">
        <v>157</v>
      </c>
      <c r="B192" s="223">
        <v>5610</v>
      </c>
    </row>
    <row r="193" spans="1:2" x14ac:dyDescent="0.25">
      <c r="A193" s="223" t="s">
        <v>331</v>
      </c>
      <c r="B193" s="223">
        <v>5611</v>
      </c>
    </row>
    <row r="194" spans="1:2" x14ac:dyDescent="0.25">
      <c r="A194" s="223" t="s">
        <v>476</v>
      </c>
      <c r="B194" s="223">
        <v>5613</v>
      </c>
    </row>
    <row r="195" spans="1:2" x14ac:dyDescent="0.25">
      <c r="A195" s="223" t="s">
        <v>439</v>
      </c>
      <c r="B195" s="223">
        <v>5621</v>
      </c>
    </row>
    <row r="196" spans="1:2" x14ac:dyDescent="0.25">
      <c r="A196" s="223" t="s">
        <v>175</v>
      </c>
      <c r="B196" s="223">
        <v>5622</v>
      </c>
    </row>
    <row r="197" spans="1:2" x14ac:dyDescent="0.25">
      <c r="A197" s="223" t="s">
        <v>176</v>
      </c>
      <c r="B197" s="223">
        <v>5623</v>
      </c>
    </row>
    <row r="198" spans="1:2" x14ac:dyDescent="0.25">
      <c r="A198" s="223" t="s">
        <v>491</v>
      </c>
      <c r="B198" s="223">
        <v>5624</v>
      </c>
    </row>
    <row r="199" spans="1:2" x14ac:dyDescent="0.25">
      <c r="A199" s="223" t="s">
        <v>335</v>
      </c>
      <c r="B199" s="223">
        <v>5625</v>
      </c>
    </row>
    <row r="200" spans="1:2" x14ac:dyDescent="0.25">
      <c r="A200" s="223" t="s">
        <v>285</v>
      </c>
      <c r="B200" s="223">
        <v>5627</v>
      </c>
    </row>
    <row r="201" spans="1:2" x14ac:dyDescent="0.25">
      <c r="A201" s="223" t="s">
        <v>286</v>
      </c>
      <c r="B201" s="223">
        <v>5628</v>
      </c>
    </row>
    <row r="202" spans="1:2" x14ac:dyDescent="0.25">
      <c r="A202" s="223" t="s">
        <v>179</v>
      </c>
      <c r="B202" s="223">
        <v>5629</v>
      </c>
    </row>
    <row r="203" spans="1:2" x14ac:dyDescent="0.25">
      <c r="A203" s="223" t="s">
        <v>180</v>
      </c>
      <c r="B203" s="223">
        <v>5631</v>
      </c>
    </row>
    <row r="204" spans="1:2" x14ac:dyDescent="0.25">
      <c r="A204" s="223" t="s">
        <v>181</v>
      </c>
      <c r="B204" s="223">
        <v>5632</v>
      </c>
    </row>
    <row r="205" spans="1:2" x14ac:dyDescent="0.25">
      <c r="A205" s="223" t="s">
        <v>182</v>
      </c>
      <c r="B205" s="223">
        <v>5633</v>
      </c>
    </row>
    <row r="206" spans="1:2" x14ac:dyDescent="0.25">
      <c r="A206" s="223" t="s">
        <v>183</v>
      </c>
      <c r="B206" s="223">
        <v>5634</v>
      </c>
    </row>
    <row r="207" spans="1:2" x14ac:dyDescent="0.25">
      <c r="A207" s="223" t="s">
        <v>184</v>
      </c>
      <c r="B207" s="223">
        <v>5635</v>
      </c>
    </row>
    <row r="208" spans="1:2" x14ac:dyDescent="0.25">
      <c r="A208" s="223" t="s">
        <v>185</v>
      </c>
      <c r="B208" s="223">
        <v>5636</v>
      </c>
    </row>
    <row r="209" spans="1:2" x14ac:dyDescent="0.25">
      <c r="A209" s="223" t="s">
        <v>186</v>
      </c>
      <c r="B209" s="223">
        <v>5637</v>
      </c>
    </row>
    <row r="210" spans="1:2" x14ac:dyDescent="0.25">
      <c r="A210" s="223" t="s">
        <v>187</v>
      </c>
      <c r="B210" s="223">
        <v>5638</v>
      </c>
    </row>
    <row r="211" spans="1:2" x14ac:dyDescent="0.25">
      <c r="A211" s="223" t="s">
        <v>188</v>
      </c>
      <c r="B211" s="223">
        <v>5639</v>
      </c>
    </row>
    <row r="212" spans="1:2" x14ac:dyDescent="0.25">
      <c r="A212" s="223" t="s">
        <v>189</v>
      </c>
      <c r="B212" s="223">
        <v>5640</v>
      </c>
    </row>
    <row r="213" spans="1:2" x14ac:dyDescent="0.25">
      <c r="A213" s="223" t="s">
        <v>190</v>
      </c>
      <c r="B213" s="223">
        <v>5642</v>
      </c>
    </row>
    <row r="214" spans="1:2" x14ac:dyDescent="0.25">
      <c r="A214" s="223" t="s">
        <v>191</v>
      </c>
      <c r="B214" s="223">
        <v>5643</v>
      </c>
    </row>
    <row r="215" spans="1:2" x14ac:dyDescent="0.25">
      <c r="A215" s="223" t="s">
        <v>346</v>
      </c>
      <c r="B215" s="223">
        <v>5644</v>
      </c>
    </row>
    <row r="216" spans="1:2" x14ac:dyDescent="0.25">
      <c r="A216" s="223" t="s">
        <v>347</v>
      </c>
      <c r="B216" s="223">
        <v>5645</v>
      </c>
    </row>
    <row r="217" spans="1:2" x14ac:dyDescent="0.25">
      <c r="A217" s="223" t="s">
        <v>348</v>
      </c>
      <c r="B217" s="223">
        <v>5646</v>
      </c>
    </row>
    <row r="218" spans="1:2" x14ac:dyDescent="0.25">
      <c r="A218" s="223" t="s">
        <v>349</v>
      </c>
      <c r="B218" s="223">
        <v>5648</v>
      </c>
    </row>
    <row r="219" spans="1:2" x14ac:dyDescent="0.25">
      <c r="A219" s="223" t="s">
        <v>350</v>
      </c>
      <c r="B219" s="223">
        <v>5649</v>
      </c>
    </row>
    <row r="220" spans="1:2" x14ac:dyDescent="0.25">
      <c r="A220" s="223" t="s">
        <v>351</v>
      </c>
      <c r="B220" s="223">
        <v>5650</v>
      </c>
    </row>
    <row r="221" spans="1:2" x14ac:dyDescent="0.25">
      <c r="A221" s="223" t="s">
        <v>352</v>
      </c>
      <c r="B221" s="223">
        <v>5651</v>
      </c>
    </row>
    <row r="222" spans="1:2" x14ac:dyDescent="0.25">
      <c r="A222" s="223" t="s">
        <v>227</v>
      </c>
      <c r="B222" s="223">
        <v>5652</v>
      </c>
    </row>
    <row r="223" spans="1:2" x14ac:dyDescent="0.25">
      <c r="A223" s="223" t="s">
        <v>228</v>
      </c>
      <c r="B223" s="223">
        <v>5653</v>
      </c>
    </row>
    <row r="224" spans="1:2" x14ac:dyDescent="0.25">
      <c r="A224" s="223" t="s">
        <v>229</v>
      </c>
      <c r="B224" s="223">
        <v>5654</v>
      </c>
    </row>
    <row r="225" spans="1:2" x14ac:dyDescent="0.25">
      <c r="A225" s="223" t="s">
        <v>230</v>
      </c>
      <c r="B225" s="223">
        <v>5655</v>
      </c>
    </row>
    <row r="226" spans="1:2" x14ac:dyDescent="0.25">
      <c r="A226" s="223" t="s">
        <v>231</v>
      </c>
      <c r="B226" s="223">
        <v>5661</v>
      </c>
    </row>
    <row r="227" spans="1:2" x14ac:dyDescent="0.25">
      <c r="A227" s="223" t="s">
        <v>232</v>
      </c>
      <c r="B227" s="223">
        <v>5663</v>
      </c>
    </row>
    <row r="228" spans="1:2" x14ac:dyDescent="0.25">
      <c r="A228" s="223" t="s">
        <v>125</v>
      </c>
      <c r="B228" s="223">
        <v>5665</v>
      </c>
    </row>
    <row r="229" spans="1:2" x14ac:dyDescent="0.25">
      <c r="A229" s="223" t="s">
        <v>126</v>
      </c>
      <c r="B229" s="223">
        <v>5669</v>
      </c>
    </row>
    <row r="230" spans="1:2" x14ac:dyDescent="0.25">
      <c r="A230" s="223" t="s">
        <v>127</v>
      </c>
      <c r="B230" s="223">
        <v>5671</v>
      </c>
    </row>
    <row r="231" spans="1:2" x14ac:dyDescent="0.25">
      <c r="A231" s="223" t="s">
        <v>128</v>
      </c>
      <c r="B231" s="223">
        <v>5673</v>
      </c>
    </row>
    <row r="232" spans="1:2" x14ac:dyDescent="0.25">
      <c r="A232" s="223" t="s">
        <v>129</v>
      </c>
      <c r="B232" s="223">
        <v>5674</v>
      </c>
    </row>
    <row r="233" spans="1:2" x14ac:dyDescent="0.25">
      <c r="A233" s="223" t="s">
        <v>130</v>
      </c>
      <c r="B233" s="223">
        <v>5675</v>
      </c>
    </row>
    <row r="234" spans="1:2" x14ac:dyDescent="0.25">
      <c r="A234" s="223" t="s">
        <v>131</v>
      </c>
      <c r="B234" s="223">
        <v>5678</v>
      </c>
    </row>
    <row r="235" spans="1:2" x14ac:dyDescent="0.25">
      <c r="A235" s="223" t="s">
        <v>132</v>
      </c>
      <c r="B235" s="223">
        <v>5680</v>
      </c>
    </row>
    <row r="236" spans="1:2" x14ac:dyDescent="0.25">
      <c r="A236" s="223" t="s">
        <v>133</v>
      </c>
      <c r="B236" s="223">
        <v>5683</v>
      </c>
    </row>
    <row r="237" spans="1:2" x14ac:dyDescent="0.25">
      <c r="A237" s="223" t="s">
        <v>134</v>
      </c>
      <c r="B237" s="223">
        <v>5684</v>
      </c>
    </row>
    <row r="238" spans="1:2" x14ac:dyDescent="0.25">
      <c r="A238" s="223" t="s">
        <v>135</v>
      </c>
      <c r="B238" s="223">
        <v>5688</v>
      </c>
    </row>
    <row r="239" spans="1:2" x14ac:dyDescent="0.25">
      <c r="A239" s="223" t="s">
        <v>136</v>
      </c>
      <c r="B239" s="223">
        <v>5690</v>
      </c>
    </row>
    <row r="240" spans="1:2" x14ac:dyDescent="0.25">
      <c r="A240" s="223" t="s">
        <v>137</v>
      </c>
      <c r="B240" s="223">
        <v>5692</v>
      </c>
    </row>
    <row r="241" spans="1:2" x14ac:dyDescent="0.25">
      <c r="A241" s="223" t="s">
        <v>493</v>
      </c>
      <c r="B241" s="223">
        <v>5693</v>
      </c>
    </row>
    <row r="242" spans="1:2" x14ac:dyDescent="0.25">
      <c r="A242" s="223" t="s">
        <v>138</v>
      </c>
      <c r="B242" s="223">
        <v>5701</v>
      </c>
    </row>
    <row r="243" spans="1:2" x14ac:dyDescent="0.25">
      <c r="A243" s="223" t="s">
        <v>492</v>
      </c>
      <c r="B243" s="223">
        <v>5702</v>
      </c>
    </row>
    <row r="244" spans="1:2" x14ac:dyDescent="0.25">
      <c r="A244" s="223" t="s">
        <v>139</v>
      </c>
      <c r="B244" s="223">
        <v>5703</v>
      </c>
    </row>
    <row r="245" spans="1:2" x14ac:dyDescent="0.25">
      <c r="A245" s="223" t="s">
        <v>250</v>
      </c>
      <c r="B245" s="223">
        <v>5704</v>
      </c>
    </row>
    <row r="246" spans="1:2" x14ac:dyDescent="0.25">
      <c r="A246" s="223" t="s">
        <v>251</v>
      </c>
      <c r="B246" s="223">
        <v>5705</v>
      </c>
    </row>
    <row r="247" spans="1:2" x14ac:dyDescent="0.25">
      <c r="A247" s="223" t="s">
        <v>252</v>
      </c>
      <c r="B247" s="223">
        <v>5706</v>
      </c>
    </row>
    <row r="248" spans="1:2" x14ac:dyDescent="0.25">
      <c r="A248" s="223" t="s">
        <v>253</v>
      </c>
      <c r="B248" s="223">
        <v>5707</v>
      </c>
    </row>
    <row r="249" spans="1:2" x14ac:dyDescent="0.25">
      <c r="A249" s="223" t="s">
        <v>254</v>
      </c>
      <c r="B249" s="223">
        <v>5708</v>
      </c>
    </row>
    <row r="250" spans="1:2" x14ac:dyDescent="0.25">
      <c r="A250" s="223" t="s">
        <v>255</v>
      </c>
      <c r="B250" s="223">
        <v>5709</v>
      </c>
    </row>
    <row r="251" spans="1:2" x14ac:dyDescent="0.25">
      <c r="A251" s="223" t="s">
        <v>256</v>
      </c>
      <c r="B251" s="223">
        <v>5710</v>
      </c>
    </row>
    <row r="252" spans="1:2" x14ac:dyDescent="0.25">
      <c r="A252" s="223" t="s">
        <v>257</v>
      </c>
      <c r="B252" s="223">
        <v>5711</v>
      </c>
    </row>
    <row r="253" spans="1:2" x14ac:dyDescent="0.25">
      <c r="A253" s="223" t="s">
        <v>258</v>
      </c>
      <c r="B253" s="223">
        <v>5712</v>
      </c>
    </row>
    <row r="254" spans="1:2" x14ac:dyDescent="0.25">
      <c r="A254" s="223" t="s">
        <v>259</v>
      </c>
      <c r="B254" s="223">
        <v>5713</v>
      </c>
    </row>
    <row r="255" spans="1:2" x14ac:dyDescent="0.25">
      <c r="A255" s="223" t="s">
        <v>260</v>
      </c>
      <c r="B255" s="223">
        <v>5714</v>
      </c>
    </row>
    <row r="256" spans="1:2" x14ac:dyDescent="0.25">
      <c r="A256" s="223" t="s">
        <v>261</v>
      </c>
      <c r="B256" s="223">
        <v>5715</v>
      </c>
    </row>
    <row r="257" spans="1:2" x14ac:dyDescent="0.25">
      <c r="A257" s="223" t="s">
        <v>262</v>
      </c>
      <c r="B257" s="223">
        <v>5716</v>
      </c>
    </row>
    <row r="258" spans="1:2" x14ac:dyDescent="0.25">
      <c r="A258" s="223" t="s">
        <v>263</v>
      </c>
      <c r="B258" s="223">
        <v>5717</v>
      </c>
    </row>
    <row r="259" spans="1:2" x14ac:dyDescent="0.25">
      <c r="A259" s="223" t="s">
        <v>264</v>
      </c>
      <c r="B259" s="223">
        <v>5718</v>
      </c>
    </row>
    <row r="260" spans="1:2" x14ac:dyDescent="0.25">
      <c r="A260" s="223" t="s">
        <v>265</v>
      </c>
      <c r="B260" s="223">
        <v>5719</v>
      </c>
    </row>
    <row r="261" spans="1:2" x14ac:dyDescent="0.25">
      <c r="A261" s="223" t="s">
        <v>266</v>
      </c>
      <c r="B261" s="223">
        <v>5720</v>
      </c>
    </row>
    <row r="262" spans="1:2" x14ac:dyDescent="0.25">
      <c r="A262" s="223" t="s">
        <v>267</v>
      </c>
      <c r="B262" s="223">
        <v>5721</v>
      </c>
    </row>
    <row r="263" spans="1:2" x14ac:dyDescent="0.25">
      <c r="A263" s="223" t="s">
        <v>268</v>
      </c>
      <c r="B263" s="223">
        <v>5722</v>
      </c>
    </row>
    <row r="264" spans="1:2" x14ac:dyDescent="0.25">
      <c r="A264" s="223" t="s">
        <v>269</v>
      </c>
      <c r="B264" s="223">
        <v>5723</v>
      </c>
    </row>
    <row r="265" spans="1:2" x14ac:dyDescent="0.25">
      <c r="A265" s="223" t="s">
        <v>74</v>
      </c>
      <c r="B265" s="223">
        <v>5724</v>
      </c>
    </row>
    <row r="266" spans="1:2" x14ac:dyDescent="0.25">
      <c r="A266" s="223" t="s">
        <v>75</v>
      </c>
      <c r="B266" s="223">
        <v>5725</v>
      </c>
    </row>
    <row r="267" spans="1:2" x14ac:dyDescent="0.25">
      <c r="A267" s="223" t="s">
        <v>353</v>
      </c>
      <c r="B267" s="223">
        <v>5726</v>
      </c>
    </row>
    <row r="268" spans="1:2" x14ac:dyDescent="0.25">
      <c r="A268" s="223" t="s">
        <v>354</v>
      </c>
      <c r="B268" s="223">
        <v>5727</v>
      </c>
    </row>
    <row r="269" spans="1:2" x14ac:dyDescent="0.25">
      <c r="A269" s="223" t="s">
        <v>355</v>
      </c>
      <c r="B269" s="223">
        <v>5728</v>
      </c>
    </row>
    <row r="270" spans="1:2" x14ac:dyDescent="0.25">
      <c r="A270" s="223" t="s">
        <v>356</v>
      </c>
      <c r="B270" s="223">
        <v>5729</v>
      </c>
    </row>
    <row r="271" spans="1:2" x14ac:dyDescent="0.25">
      <c r="A271" s="223" t="s">
        <v>357</v>
      </c>
      <c r="B271" s="223">
        <v>5730</v>
      </c>
    </row>
    <row r="272" spans="1:2" x14ac:dyDescent="0.25">
      <c r="A272" s="223" t="s">
        <v>358</v>
      </c>
      <c r="B272" s="223">
        <v>5731</v>
      </c>
    </row>
    <row r="273" spans="1:2" x14ac:dyDescent="0.25">
      <c r="A273" s="223" t="s">
        <v>359</v>
      </c>
      <c r="B273" s="223">
        <v>5732</v>
      </c>
    </row>
    <row r="274" spans="1:2" x14ac:dyDescent="0.25">
      <c r="A274" s="223" t="s">
        <v>360</v>
      </c>
      <c r="B274" s="223">
        <v>5741</v>
      </c>
    </row>
    <row r="275" spans="1:2" x14ac:dyDescent="0.25">
      <c r="A275" s="223" t="s">
        <v>361</v>
      </c>
      <c r="B275" s="223">
        <v>5742</v>
      </c>
    </row>
    <row r="276" spans="1:2" x14ac:dyDescent="0.25">
      <c r="A276" s="223" t="s">
        <v>298</v>
      </c>
      <c r="B276" s="223">
        <v>5743</v>
      </c>
    </row>
    <row r="277" spans="1:2" x14ac:dyDescent="0.25">
      <c r="A277" s="223" t="s">
        <v>299</v>
      </c>
      <c r="B277" s="223">
        <v>5744</v>
      </c>
    </row>
    <row r="278" spans="1:2" x14ac:dyDescent="0.25">
      <c r="A278" s="223" t="s">
        <v>300</v>
      </c>
      <c r="B278" s="223">
        <v>5745</v>
      </c>
    </row>
    <row r="279" spans="1:2" x14ac:dyDescent="0.25">
      <c r="A279" s="223" t="s">
        <v>301</v>
      </c>
      <c r="B279" s="223">
        <v>5746</v>
      </c>
    </row>
    <row r="280" spans="1:2" x14ac:dyDescent="0.25">
      <c r="A280" s="223" t="s">
        <v>302</v>
      </c>
      <c r="B280" s="223">
        <v>5747</v>
      </c>
    </row>
    <row r="281" spans="1:2" x14ac:dyDescent="0.25">
      <c r="A281" s="223" t="s">
        <v>303</v>
      </c>
      <c r="B281" s="223">
        <v>5748</v>
      </c>
    </row>
    <row r="282" spans="1:2" x14ac:dyDescent="0.25">
      <c r="A282" s="223" t="s">
        <v>304</v>
      </c>
      <c r="B282" s="223">
        <v>5749</v>
      </c>
    </row>
    <row r="283" spans="1:2" x14ac:dyDescent="0.25">
      <c r="A283" s="223" t="s">
        <v>305</v>
      </c>
      <c r="B283" s="223">
        <v>5750</v>
      </c>
    </row>
    <row r="284" spans="1:2" x14ac:dyDescent="0.25">
      <c r="A284" s="223" t="s">
        <v>366</v>
      </c>
      <c r="B284" s="223">
        <v>5752</v>
      </c>
    </row>
    <row r="285" spans="1:2" x14ac:dyDescent="0.25">
      <c r="A285" s="223" t="s">
        <v>367</v>
      </c>
      <c r="B285" s="223">
        <v>5754</v>
      </c>
    </row>
    <row r="286" spans="1:2" x14ac:dyDescent="0.25">
      <c r="A286" s="223" t="s">
        <v>368</v>
      </c>
      <c r="B286" s="223">
        <v>5755</v>
      </c>
    </row>
    <row r="287" spans="1:2" x14ac:dyDescent="0.25">
      <c r="A287" s="223" t="s">
        <v>369</v>
      </c>
      <c r="B287" s="223">
        <v>5756</v>
      </c>
    </row>
    <row r="288" spans="1:2" x14ac:dyDescent="0.25">
      <c r="A288" s="223" t="s">
        <v>370</v>
      </c>
      <c r="B288" s="223">
        <v>5757</v>
      </c>
    </row>
    <row r="289" spans="1:2" x14ac:dyDescent="0.25">
      <c r="A289" s="223" t="s">
        <v>246</v>
      </c>
      <c r="B289" s="223">
        <v>5758</v>
      </c>
    </row>
    <row r="290" spans="1:2" x14ac:dyDescent="0.25">
      <c r="A290" s="223" t="s">
        <v>247</v>
      </c>
      <c r="B290" s="223">
        <v>5759</v>
      </c>
    </row>
    <row r="291" spans="1:2" x14ac:dyDescent="0.25">
      <c r="A291" s="223" t="s">
        <v>248</v>
      </c>
      <c r="B291" s="223">
        <v>5760</v>
      </c>
    </row>
    <row r="292" spans="1:2" x14ac:dyDescent="0.25">
      <c r="A292" s="223" t="s">
        <v>163</v>
      </c>
      <c r="B292" s="223">
        <v>5761</v>
      </c>
    </row>
    <row r="293" spans="1:2" x14ac:dyDescent="0.25">
      <c r="A293" s="223" t="s">
        <v>164</v>
      </c>
      <c r="B293" s="223">
        <v>5762</v>
      </c>
    </row>
    <row r="294" spans="1:2" x14ac:dyDescent="0.25">
      <c r="A294" s="223" t="s">
        <v>165</v>
      </c>
      <c r="B294" s="223">
        <v>5763</v>
      </c>
    </row>
    <row r="295" spans="1:2" x14ac:dyDescent="0.25">
      <c r="A295" s="223" t="s">
        <v>371</v>
      </c>
      <c r="B295" s="223">
        <v>5764</v>
      </c>
    </row>
    <row r="296" spans="1:2" x14ac:dyDescent="0.25">
      <c r="A296" s="223" t="s">
        <v>372</v>
      </c>
      <c r="B296" s="223">
        <v>5765</v>
      </c>
    </row>
    <row r="297" spans="1:2" x14ac:dyDescent="0.25">
      <c r="A297" s="223" t="s">
        <v>373</v>
      </c>
      <c r="B297" s="223">
        <v>5766</v>
      </c>
    </row>
    <row r="298" spans="1:2" x14ac:dyDescent="0.25">
      <c r="A298" s="223" t="s">
        <v>312</v>
      </c>
      <c r="B298" s="223">
        <v>5785</v>
      </c>
    </row>
    <row r="299" spans="1:2" x14ac:dyDescent="0.25">
      <c r="A299" s="223" t="s">
        <v>313</v>
      </c>
      <c r="B299" s="223">
        <v>5788</v>
      </c>
    </row>
    <row r="300" spans="1:2" x14ac:dyDescent="0.25">
      <c r="A300" s="223" t="s">
        <v>314</v>
      </c>
      <c r="B300" s="223">
        <v>5790</v>
      </c>
    </row>
    <row r="301" spans="1:2" x14ac:dyDescent="0.25">
      <c r="A301" s="223" t="s">
        <v>315</v>
      </c>
      <c r="B301" s="223">
        <v>5792</v>
      </c>
    </row>
    <row r="302" spans="1:2" x14ac:dyDescent="0.25">
      <c r="A302" s="223" t="s">
        <v>316</v>
      </c>
      <c r="B302" s="223">
        <v>5798</v>
      </c>
    </row>
    <row r="303" spans="1:2" x14ac:dyDescent="0.25">
      <c r="A303" s="223" t="s">
        <v>317</v>
      </c>
      <c r="B303" s="223">
        <v>5799</v>
      </c>
    </row>
    <row r="304" spans="1:2" x14ac:dyDescent="0.25">
      <c r="A304" s="223" t="s">
        <v>420</v>
      </c>
      <c r="B304" s="223">
        <v>5803</v>
      </c>
    </row>
    <row r="305" spans="1:2" x14ac:dyDescent="0.25">
      <c r="A305" s="223" t="s">
        <v>481</v>
      </c>
      <c r="B305" s="223">
        <v>5804</v>
      </c>
    </row>
    <row r="306" spans="1:2" x14ac:dyDescent="0.25">
      <c r="A306" s="223" t="s">
        <v>483</v>
      </c>
      <c r="B306" s="223">
        <v>5805</v>
      </c>
    </row>
    <row r="307" spans="1:2" x14ac:dyDescent="0.25">
      <c r="A307" s="223" t="s">
        <v>595</v>
      </c>
      <c r="B307" s="223">
        <v>5806</v>
      </c>
    </row>
    <row r="308" spans="1:2" x14ac:dyDescent="0.25">
      <c r="A308" s="223" t="s">
        <v>421</v>
      </c>
      <c r="B308" s="223">
        <v>5812</v>
      </c>
    </row>
    <row r="309" spans="1:2" x14ac:dyDescent="0.25">
      <c r="A309" s="223" t="s">
        <v>422</v>
      </c>
      <c r="B309" s="223">
        <v>5813</v>
      </c>
    </row>
    <row r="310" spans="1:2" x14ac:dyDescent="0.25">
      <c r="A310" s="223" t="s">
        <v>10</v>
      </c>
      <c r="B310" s="223">
        <v>5816</v>
      </c>
    </row>
    <row r="311" spans="1:2" x14ac:dyDescent="0.25">
      <c r="A311" s="223" t="s">
        <v>11</v>
      </c>
      <c r="B311" s="223">
        <v>5817</v>
      </c>
    </row>
    <row r="312" spans="1:2" x14ac:dyDescent="0.25">
      <c r="A312" s="223" t="s">
        <v>12</v>
      </c>
      <c r="B312" s="223">
        <v>5819</v>
      </c>
    </row>
    <row r="313" spans="1:2" x14ac:dyDescent="0.25">
      <c r="A313" s="223" t="s">
        <v>13</v>
      </c>
      <c r="B313" s="223">
        <v>5821</v>
      </c>
    </row>
    <row r="314" spans="1:2" x14ac:dyDescent="0.25">
      <c r="A314" s="223" t="s">
        <v>14</v>
      </c>
      <c r="B314" s="223">
        <v>5822</v>
      </c>
    </row>
    <row r="315" spans="1:2" x14ac:dyDescent="0.25">
      <c r="A315" s="223" t="s">
        <v>15</v>
      </c>
      <c r="B315" s="223">
        <v>5827</v>
      </c>
    </row>
    <row r="316" spans="1:2" x14ac:dyDescent="0.25">
      <c r="A316" s="223" t="s">
        <v>577</v>
      </c>
      <c r="B316" s="223">
        <v>5828</v>
      </c>
    </row>
    <row r="317" spans="1:2" x14ac:dyDescent="0.25">
      <c r="A317" s="223" t="s">
        <v>16</v>
      </c>
      <c r="B317" s="223">
        <v>5830</v>
      </c>
    </row>
    <row r="318" spans="1:2" x14ac:dyDescent="0.25">
      <c r="A318" s="223" t="s">
        <v>482</v>
      </c>
      <c r="B318" s="223">
        <v>5831</v>
      </c>
    </row>
    <row r="319" spans="1:2" x14ac:dyDescent="0.25">
      <c r="A319" s="223" t="s">
        <v>17</v>
      </c>
      <c r="B319" s="223">
        <v>5841</v>
      </c>
    </row>
    <row r="320" spans="1:2" x14ac:dyDescent="0.25">
      <c r="A320" s="223" t="s">
        <v>18</v>
      </c>
      <c r="B320" s="223">
        <v>5842</v>
      </c>
    </row>
    <row r="321" spans="1:2" x14ac:dyDescent="0.25">
      <c r="A321" s="223" t="s">
        <v>19</v>
      </c>
      <c r="B321" s="223">
        <v>5843</v>
      </c>
    </row>
    <row r="322" spans="1:2" x14ac:dyDescent="0.25">
      <c r="A322" s="223" t="s">
        <v>20</v>
      </c>
      <c r="B322" s="223">
        <v>5851</v>
      </c>
    </row>
    <row r="323" spans="1:2" x14ac:dyDescent="0.25">
      <c r="A323" s="223" t="s">
        <v>21</v>
      </c>
      <c r="B323" s="223">
        <v>5852</v>
      </c>
    </row>
    <row r="324" spans="1:2" x14ac:dyDescent="0.25">
      <c r="A324" s="223" t="s">
        <v>22</v>
      </c>
      <c r="B324" s="223">
        <v>5853</v>
      </c>
    </row>
    <row r="325" spans="1:2" x14ac:dyDescent="0.25">
      <c r="A325" s="223" t="s">
        <v>23</v>
      </c>
      <c r="B325" s="223">
        <v>5854</v>
      </c>
    </row>
    <row r="326" spans="1:2" x14ac:dyDescent="0.25">
      <c r="A326" s="223" t="s">
        <v>24</v>
      </c>
      <c r="B326" s="223">
        <v>5855</v>
      </c>
    </row>
    <row r="327" spans="1:2" x14ac:dyDescent="0.25">
      <c r="A327" s="223" t="s">
        <v>25</v>
      </c>
      <c r="B327" s="223">
        <v>5856</v>
      </c>
    </row>
    <row r="328" spans="1:2" x14ac:dyDescent="0.25">
      <c r="A328" s="223" t="s">
        <v>26</v>
      </c>
      <c r="B328" s="223">
        <v>5857</v>
      </c>
    </row>
    <row r="329" spans="1:2" x14ac:dyDescent="0.25">
      <c r="A329" s="223" t="s">
        <v>27</v>
      </c>
      <c r="B329" s="223">
        <v>5858</v>
      </c>
    </row>
    <row r="330" spans="1:2" x14ac:dyDescent="0.25">
      <c r="A330" s="223" t="s">
        <v>28</v>
      </c>
      <c r="B330" s="223">
        <v>5859</v>
      </c>
    </row>
    <row r="331" spans="1:2" x14ac:dyDescent="0.25">
      <c r="A331" s="223" t="s">
        <v>29</v>
      </c>
      <c r="B331" s="223">
        <v>5860</v>
      </c>
    </row>
    <row r="332" spans="1:2" x14ac:dyDescent="0.25">
      <c r="A332" s="223" t="s">
        <v>30</v>
      </c>
      <c r="B332" s="223">
        <v>5861</v>
      </c>
    </row>
    <row r="333" spans="1:2" x14ac:dyDescent="0.25">
      <c r="A333" s="223" t="s">
        <v>31</v>
      </c>
      <c r="B333" s="223">
        <v>5862</v>
      </c>
    </row>
    <row r="334" spans="1:2" x14ac:dyDescent="0.25">
      <c r="A334" s="223" t="s">
        <v>32</v>
      </c>
      <c r="B334" s="223">
        <v>5863</v>
      </c>
    </row>
    <row r="335" spans="1:2" x14ac:dyDescent="0.25">
      <c r="A335" s="223" t="s">
        <v>33</v>
      </c>
      <c r="B335" s="223">
        <v>5871</v>
      </c>
    </row>
    <row r="336" spans="1:2" x14ac:dyDescent="0.25">
      <c r="A336" s="223" t="s">
        <v>233</v>
      </c>
      <c r="B336" s="223">
        <v>5872</v>
      </c>
    </row>
    <row r="337" spans="1:2" x14ac:dyDescent="0.25">
      <c r="A337" s="223" t="s">
        <v>234</v>
      </c>
      <c r="B337" s="223">
        <v>5873</v>
      </c>
    </row>
    <row r="338" spans="1:2" x14ac:dyDescent="0.25">
      <c r="A338" s="223" t="s">
        <v>235</v>
      </c>
      <c r="B338" s="223">
        <v>5881</v>
      </c>
    </row>
    <row r="339" spans="1:2" x14ac:dyDescent="0.25">
      <c r="A339" s="223" t="s">
        <v>236</v>
      </c>
      <c r="B339" s="223">
        <v>5882</v>
      </c>
    </row>
    <row r="340" spans="1:2" x14ac:dyDescent="0.25">
      <c r="A340" s="223" t="s">
        <v>237</v>
      </c>
      <c r="B340" s="223">
        <v>5883</v>
      </c>
    </row>
    <row r="341" spans="1:2" x14ac:dyDescent="0.25">
      <c r="A341" s="223" t="s">
        <v>53</v>
      </c>
      <c r="B341" s="223">
        <v>5884</v>
      </c>
    </row>
    <row r="342" spans="1:2" x14ac:dyDescent="0.25">
      <c r="A342" s="223" t="s">
        <v>54</v>
      </c>
      <c r="B342" s="223">
        <v>5885</v>
      </c>
    </row>
    <row r="343" spans="1:2" x14ac:dyDescent="0.25">
      <c r="A343" s="223" t="s">
        <v>55</v>
      </c>
      <c r="B343" s="223">
        <v>5886</v>
      </c>
    </row>
    <row r="344" spans="1:2" x14ac:dyDescent="0.25">
      <c r="A344" s="223" t="s">
        <v>578</v>
      </c>
      <c r="B344" s="223">
        <v>5888</v>
      </c>
    </row>
    <row r="345" spans="1:2" x14ac:dyDescent="0.25">
      <c r="A345" s="223" t="s">
        <v>56</v>
      </c>
      <c r="B345" s="223">
        <v>5889</v>
      </c>
    </row>
    <row r="346" spans="1:2" x14ac:dyDescent="0.25">
      <c r="A346" s="223" t="s">
        <v>57</v>
      </c>
      <c r="B346" s="223">
        <v>5890</v>
      </c>
    </row>
    <row r="347" spans="1:2" x14ac:dyDescent="0.25">
      <c r="A347" s="223" t="s">
        <v>58</v>
      </c>
      <c r="B347" s="223">
        <v>5891</v>
      </c>
    </row>
    <row r="348" spans="1:2" x14ac:dyDescent="0.25">
      <c r="A348" s="223" t="s">
        <v>59</v>
      </c>
      <c r="B348" s="223">
        <v>5902</v>
      </c>
    </row>
    <row r="349" spans="1:2" x14ac:dyDescent="0.25">
      <c r="A349" s="223" t="s">
        <v>60</v>
      </c>
      <c r="B349" s="223">
        <v>5903</v>
      </c>
    </row>
    <row r="350" spans="1:2" x14ac:dyDescent="0.25">
      <c r="A350" s="223" t="s">
        <v>61</v>
      </c>
      <c r="B350" s="223">
        <v>5904</v>
      </c>
    </row>
    <row r="351" spans="1:2" x14ac:dyDescent="0.25">
      <c r="A351" s="223" t="s">
        <v>62</v>
      </c>
      <c r="B351" s="223">
        <v>5905</v>
      </c>
    </row>
    <row r="352" spans="1:2" x14ac:dyDescent="0.25">
      <c r="A352" s="223" t="s">
        <v>63</v>
      </c>
      <c r="B352" s="223">
        <v>5907</v>
      </c>
    </row>
    <row r="353" spans="1:2" x14ac:dyDescent="0.25">
      <c r="A353" s="223" t="s">
        <v>64</v>
      </c>
      <c r="B353" s="223">
        <v>5908</v>
      </c>
    </row>
    <row r="354" spans="1:2" x14ac:dyDescent="0.25">
      <c r="A354" s="223" t="s">
        <v>65</v>
      </c>
      <c r="B354" s="223">
        <v>5909</v>
      </c>
    </row>
    <row r="355" spans="1:2" x14ac:dyDescent="0.25">
      <c r="A355" s="223" t="s">
        <v>66</v>
      </c>
      <c r="B355" s="223">
        <v>5910</v>
      </c>
    </row>
    <row r="356" spans="1:2" x14ac:dyDescent="0.25">
      <c r="A356" s="223" t="s">
        <v>67</v>
      </c>
      <c r="B356" s="223">
        <v>5911</v>
      </c>
    </row>
    <row r="357" spans="1:2" x14ac:dyDescent="0.25">
      <c r="A357" s="223" t="s">
        <v>68</v>
      </c>
      <c r="B357" s="223">
        <v>5912</v>
      </c>
    </row>
    <row r="358" spans="1:2" x14ac:dyDescent="0.25">
      <c r="A358" s="223" t="s">
        <v>69</v>
      </c>
      <c r="B358" s="223">
        <v>5913</v>
      </c>
    </row>
    <row r="359" spans="1:2" x14ac:dyDescent="0.25">
      <c r="A359" s="223" t="s">
        <v>70</v>
      </c>
      <c r="B359" s="223">
        <v>5914</v>
      </c>
    </row>
    <row r="360" spans="1:2" x14ac:dyDescent="0.25">
      <c r="A360" s="223" t="s">
        <v>428</v>
      </c>
      <c r="B360" s="223">
        <v>5919</v>
      </c>
    </row>
    <row r="361" spans="1:2" x14ac:dyDescent="0.25">
      <c r="A361" s="223" t="s">
        <v>429</v>
      </c>
      <c r="B361" s="223">
        <v>5921</v>
      </c>
    </row>
    <row r="362" spans="1:2" x14ac:dyDescent="0.25">
      <c r="A362" s="223" t="s">
        <v>306</v>
      </c>
      <c r="B362" s="223">
        <v>5922</v>
      </c>
    </row>
    <row r="363" spans="1:2" x14ac:dyDescent="0.25">
      <c r="A363" s="223" t="s">
        <v>307</v>
      </c>
      <c r="B363" s="223">
        <v>5923</v>
      </c>
    </row>
    <row r="364" spans="1:2" x14ac:dyDescent="0.25">
      <c r="A364" s="223" t="s">
        <v>308</v>
      </c>
      <c r="B364" s="223">
        <v>5924</v>
      </c>
    </row>
    <row r="365" spans="1:2" x14ac:dyDescent="0.25">
      <c r="A365" s="223" t="s">
        <v>433</v>
      </c>
      <c r="B365" s="223">
        <v>5925</v>
      </c>
    </row>
    <row r="366" spans="1:2" x14ac:dyDescent="0.25">
      <c r="A366" s="223" t="s">
        <v>434</v>
      </c>
      <c r="B366" s="223">
        <v>5926</v>
      </c>
    </row>
    <row r="367" spans="1:2" x14ac:dyDescent="0.25">
      <c r="A367" s="223" t="s">
        <v>435</v>
      </c>
      <c r="B367" s="223">
        <v>5928</v>
      </c>
    </row>
    <row r="368" spans="1:2" x14ac:dyDescent="0.25">
      <c r="A368" s="223" t="s">
        <v>436</v>
      </c>
      <c r="B368" s="223">
        <v>5929</v>
      </c>
    </row>
    <row r="369" spans="1:2" x14ac:dyDescent="0.25">
      <c r="A369" s="223" t="s">
        <v>437</v>
      </c>
      <c r="B369" s="223">
        <v>5930</v>
      </c>
    </row>
    <row r="370" spans="1:2" x14ac:dyDescent="0.25">
      <c r="A370" s="223" t="s">
        <v>438</v>
      </c>
      <c r="B370" s="223">
        <v>5931</v>
      </c>
    </row>
    <row r="371" spans="1:2" x14ac:dyDescent="0.25">
      <c r="A371" s="223" t="s">
        <v>309</v>
      </c>
      <c r="B371" s="223">
        <v>5932</v>
      </c>
    </row>
    <row r="372" spans="1:2" x14ac:dyDescent="0.25">
      <c r="A372" s="223" t="s">
        <v>431</v>
      </c>
      <c r="B372" s="223">
        <v>5933</v>
      </c>
    </row>
    <row r="373" spans="1:2" x14ac:dyDescent="0.25">
      <c r="A373" s="223" t="s">
        <v>432</v>
      </c>
      <c r="B373" s="223">
        <v>5934</v>
      </c>
    </row>
    <row r="374" spans="1:2" x14ac:dyDescent="0.25">
      <c r="A374" s="223" t="s">
        <v>333</v>
      </c>
      <c r="B374" s="223">
        <v>5935</v>
      </c>
    </row>
    <row r="375" spans="1:2" x14ac:dyDescent="0.25">
      <c r="A375" s="223" t="s">
        <v>310</v>
      </c>
      <c r="B375" s="223">
        <v>5937</v>
      </c>
    </row>
    <row r="376" spans="1:2" x14ac:dyDescent="0.25">
      <c r="A376" s="223" t="s">
        <v>178</v>
      </c>
      <c r="B376" s="223">
        <v>5938</v>
      </c>
    </row>
    <row r="377" spans="1:2" x14ac:dyDescent="0.25">
      <c r="A377" s="223" t="s">
        <v>177</v>
      </c>
      <c r="B377" s="223">
        <v>5939</v>
      </c>
    </row>
    <row r="378" spans="1:2" x14ac:dyDescent="0.25">
      <c r="B378" s="225"/>
    </row>
    <row r="379" spans="1:2" x14ac:dyDescent="0.25">
      <c r="B379" s="225"/>
    </row>
    <row r="380" spans="1:2" x14ac:dyDescent="0.25">
      <c r="B380" s="225"/>
    </row>
    <row r="381" spans="1:2" x14ac:dyDescent="0.25">
      <c r="B381" s="225"/>
    </row>
    <row r="382" spans="1:2" x14ac:dyDescent="0.25">
      <c r="B382" s="225"/>
    </row>
    <row r="383" spans="1:2" x14ac:dyDescent="0.25">
      <c r="B383" s="225"/>
    </row>
    <row r="384" spans="1:2" x14ac:dyDescent="0.25">
      <c r="B384" s="225"/>
    </row>
    <row r="385" spans="2:2" x14ac:dyDescent="0.25">
      <c r="B385" s="225"/>
    </row>
    <row r="386" spans="2:2" x14ac:dyDescent="0.25">
      <c r="B386" s="225"/>
    </row>
    <row r="387" spans="2:2" x14ac:dyDescent="0.25">
      <c r="B387" s="225"/>
    </row>
    <row r="388" spans="2:2" x14ac:dyDescent="0.25">
      <c r="B388" s="225"/>
    </row>
    <row r="389" spans="2:2" x14ac:dyDescent="0.25">
      <c r="B389" s="225"/>
    </row>
    <row r="390" spans="2:2" x14ac:dyDescent="0.25">
      <c r="B390" s="225"/>
    </row>
    <row r="391" spans="2:2" x14ac:dyDescent="0.25">
      <c r="B391" s="225"/>
    </row>
    <row r="392" spans="2:2" x14ac:dyDescent="0.25">
      <c r="B392" s="225"/>
    </row>
    <row r="393" spans="2:2" x14ac:dyDescent="0.25">
      <c r="B393" s="225"/>
    </row>
    <row r="394" spans="2:2" x14ac:dyDescent="0.25">
      <c r="B394" s="225"/>
    </row>
    <row r="395" spans="2:2" x14ac:dyDescent="0.25">
      <c r="B395" s="225"/>
    </row>
    <row r="396" spans="2:2" x14ac:dyDescent="0.25">
      <c r="B396" s="225"/>
    </row>
    <row r="397" spans="2:2" x14ac:dyDescent="0.25">
      <c r="B397" s="225"/>
    </row>
    <row r="398" spans="2:2" x14ac:dyDescent="0.25">
      <c r="B398" s="225"/>
    </row>
    <row r="399" spans="2:2" x14ac:dyDescent="0.25">
      <c r="B399" s="225"/>
    </row>
    <row r="400" spans="2:2" x14ac:dyDescent="0.25">
      <c r="B400" s="225"/>
    </row>
    <row r="401" spans="2:2" x14ac:dyDescent="0.25">
      <c r="B401" s="225"/>
    </row>
    <row r="402" spans="2:2" x14ac:dyDescent="0.25">
      <c r="B402" s="225"/>
    </row>
    <row r="403" spans="2:2" x14ac:dyDescent="0.25">
      <c r="B403" s="225"/>
    </row>
    <row r="404" spans="2:2" x14ac:dyDescent="0.25">
      <c r="B404" s="225"/>
    </row>
    <row r="405" spans="2:2" x14ac:dyDescent="0.25">
      <c r="B405" s="225"/>
    </row>
    <row r="406" spans="2:2" x14ac:dyDescent="0.25">
      <c r="B406" s="225"/>
    </row>
    <row r="407" spans="2:2" x14ac:dyDescent="0.25">
      <c r="B407" s="225"/>
    </row>
    <row r="408" spans="2:2" x14ac:dyDescent="0.25">
      <c r="B408" s="225"/>
    </row>
    <row r="409" spans="2:2" x14ac:dyDescent="0.25">
      <c r="B409" s="225"/>
    </row>
    <row r="410" spans="2:2" x14ac:dyDescent="0.25">
      <c r="B410" s="225"/>
    </row>
    <row r="411" spans="2:2" x14ac:dyDescent="0.25">
      <c r="B411" s="225"/>
    </row>
    <row r="412" spans="2:2" x14ac:dyDescent="0.25">
      <c r="B412" s="225"/>
    </row>
    <row r="413" spans="2:2" x14ac:dyDescent="0.25">
      <c r="B413" s="225"/>
    </row>
    <row r="414" spans="2:2" x14ac:dyDescent="0.25">
      <c r="B414" s="225"/>
    </row>
    <row r="415" spans="2:2" x14ac:dyDescent="0.25">
      <c r="B415" s="225"/>
    </row>
    <row r="416" spans="2:2" x14ac:dyDescent="0.25">
      <c r="B416" s="225"/>
    </row>
    <row r="417" spans="2:2" x14ac:dyDescent="0.25">
      <c r="B417" s="225"/>
    </row>
    <row r="418" spans="2:2" x14ac:dyDescent="0.25">
      <c r="B418" s="225"/>
    </row>
    <row r="419" spans="2:2" x14ac:dyDescent="0.25">
      <c r="B419" s="225"/>
    </row>
    <row r="420" spans="2:2" x14ac:dyDescent="0.25">
      <c r="B420" s="225"/>
    </row>
    <row r="421" spans="2:2" x14ac:dyDescent="0.25">
      <c r="B421" s="225"/>
    </row>
    <row r="422" spans="2:2" x14ac:dyDescent="0.25">
      <c r="B422" s="225"/>
    </row>
    <row r="423" spans="2:2" x14ac:dyDescent="0.25">
      <c r="B423" s="225"/>
    </row>
    <row r="424" spans="2:2" x14ac:dyDescent="0.25">
      <c r="B424" s="225"/>
    </row>
    <row r="425" spans="2:2" x14ac:dyDescent="0.25">
      <c r="B425" s="225"/>
    </row>
    <row r="426" spans="2:2" x14ac:dyDescent="0.25">
      <c r="B426" s="225"/>
    </row>
    <row r="427" spans="2:2" x14ac:dyDescent="0.25">
      <c r="B427" s="225"/>
    </row>
    <row r="428" spans="2:2" x14ac:dyDescent="0.25">
      <c r="B428" s="225"/>
    </row>
    <row r="429" spans="2:2" x14ac:dyDescent="0.25">
      <c r="B429" s="225"/>
    </row>
    <row r="430" spans="2:2" x14ac:dyDescent="0.25">
      <c r="B430" s="225"/>
    </row>
    <row r="431" spans="2:2" x14ac:dyDescent="0.25">
      <c r="B431" s="225"/>
    </row>
    <row r="432" spans="2:2" x14ac:dyDescent="0.25">
      <c r="B432" s="225"/>
    </row>
    <row r="433" spans="2:2" x14ac:dyDescent="0.25">
      <c r="B433" s="225"/>
    </row>
    <row r="434" spans="2:2" x14ac:dyDescent="0.25">
      <c r="B434" s="225"/>
    </row>
    <row r="435" spans="2:2" x14ac:dyDescent="0.25">
      <c r="B435" s="225"/>
    </row>
    <row r="436" spans="2:2" x14ac:dyDescent="0.25">
      <c r="B436" s="225"/>
    </row>
    <row r="437" spans="2:2" x14ac:dyDescent="0.25">
      <c r="B437" s="225"/>
    </row>
    <row r="438" spans="2:2" x14ac:dyDescent="0.25">
      <c r="B438" s="225"/>
    </row>
    <row r="439" spans="2:2" x14ac:dyDescent="0.25">
      <c r="B439" s="225"/>
    </row>
    <row r="440" spans="2:2" x14ac:dyDescent="0.25">
      <c r="B440" s="225"/>
    </row>
    <row r="441" spans="2:2" x14ac:dyDescent="0.25">
      <c r="B441" s="225"/>
    </row>
    <row r="442" spans="2:2" x14ac:dyDescent="0.25">
      <c r="B442" s="225"/>
    </row>
    <row r="443" spans="2:2" x14ac:dyDescent="0.25">
      <c r="B443" s="225"/>
    </row>
    <row r="444" spans="2:2" x14ac:dyDescent="0.25">
      <c r="B444" s="225"/>
    </row>
    <row r="445" spans="2:2" x14ac:dyDescent="0.25">
      <c r="B445" s="225"/>
    </row>
    <row r="446" spans="2:2" x14ac:dyDescent="0.25">
      <c r="B446" s="225"/>
    </row>
    <row r="447" spans="2:2" x14ac:dyDescent="0.25">
      <c r="B447" s="225"/>
    </row>
    <row r="448" spans="2:2" x14ac:dyDescent="0.25">
      <c r="B448" s="225"/>
    </row>
    <row r="449" spans="2:2" x14ac:dyDescent="0.25">
      <c r="B449" s="225"/>
    </row>
    <row r="450" spans="2:2" x14ac:dyDescent="0.25">
      <c r="B450" s="225"/>
    </row>
    <row r="451" spans="2:2" x14ac:dyDescent="0.25">
      <c r="B451" s="225"/>
    </row>
    <row r="452" spans="2:2" x14ac:dyDescent="0.25">
      <c r="B452" s="225"/>
    </row>
    <row r="453" spans="2:2" x14ac:dyDescent="0.25">
      <c r="B453" s="225"/>
    </row>
    <row r="454" spans="2:2" x14ac:dyDescent="0.25">
      <c r="B454" s="225"/>
    </row>
    <row r="455" spans="2:2" x14ac:dyDescent="0.25">
      <c r="B455" s="225"/>
    </row>
    <row r="456" spans="2:2" x14ac:dyDescent="0.25">
      <c r="B456" s="225"/>
    </row>
    <row r="457" spans="2:2" x14ac:dyDescent="0.25">
      <c r="B457" s="225"/>
    </row>
    <row r="458" spans="2:2" x14ac:dyDescent="0.25">
      <c r="B458" s="225"/>
    </row>
    <row r="459" spans="2:2" x14ac:dyDescent="0.25">
      <c r="B459" s="225"/>
    </row>
    <row r="460" spans="2:2" x14ac:dyDescent="0.25">
      <c r="B460" s="225"/>
    </row>
    <row r="461" spans="2:2" x14ac:dyDescent="0.25">
      <c r="B461" s="225"/>
    </row>
    <row r="462" spans="2:2" x14ac:dyDescent="0.25">
      <c r="B462" s="225"/>
    </row>
    <row r="463" spans="2:2" x14ac:dyDescent="0.25">
      <c r="B463" s="225"/>
    </row>
    <row r="464" spans="2:2" x14ac:dyDescent="0.25">
      <c r="B464" s="225"/>
    </row>
    <row r="465" spans="2:2" x14ac:dyDescent="0.25">
      <c r="B465" s="225"/>
    </row>
    <row r="466" spans="2:2" x14ac:dyDescent="0.25">
      <c r="B466" s="225"/>
    </row>
    <row r="467" spans="2:2" x14ac:dyDescent="0.25">
      <c r="B467" s="225"/>
    </row>
    <row r="468" spans="2:2" x14ac:dyDescent="0.25">
      <c r="B468" s="225"/>
    </row>
    <row r="469" spans="2:2" x14ac:dyDescent="0.25">
      <c r="B469" s="225"/>
    </row>
    <row r="470" spans="2:2" x14ac:dyDescent="0.25">
      <c r="B470" s="225"/>
    </row>
    <row r="471" spans="2:2" x14ac:dyDescent="0.25">
      <c r="B471" s="225"/>
    </row>
    <row r="472" spans="2:2" x14ac:dyDescent="0.25">
      <c r="B472" s="225"/>
    </row>
    <row r="473" spans="2:2" x14ac:dyDescent="0.25">
      <c r="B473" s="225"/>
    </row>
    <row r="474" spans="2:2" x14ac:dyDescent="0.25">
      <c r="B474" s="225"/>
    </row>
    <row r="475" spans="2:2" x14ac:dyDescent="0.25">
      <c r="B475" s="225"/>
    </row>
    <row r="476" spans="2:2" x14ac:dyDescent="0.25">
      <c r="B476" s="225"/>
    </row>
    <row r="477" spans="2:2" x14ac:dyDescent="0.25">
      <c r="B477" s="225"/>
    </row>
    <row r="478" spans="2:2" x14ac:dyDescent="0.25">
      <c r="B478" s="225"/>
    </row>
    <row r="479" spans="2:2" x14ac:dyDescent="0.25">
      <c r="B479" s="225"/>
    </row>
    <row r="480" spans="2:2" x14ac:dyDescent="0.25">
      <c r="B480" s="225"/>
    </row>
    <row r="481" spans="2:2" x14ac:dyDescent="0.25">
      <c r="B481" s="225"/>
    </row>
    <row r="482" spans="2:2" x14ac:dyDescent="0.25">
      <c r="B482" s="225"/>
    </row>
    <row r="483" spans="2:2" x14ac:dyDescent="0.25">
      <c r="B483" s="225"/>
    </row>
    <row r="484" spans="2:2" x14ac:dyDescent="0.25">
      <c r="B484" s="225"/>
    </row>
    <row r="485" spans="2:2" x14ac:dyDescent="0.25">
      <c r="B485" s="225"/>
    </row>
    <row r="486" spans="2:2" x14ac:dyDescent="0.25">
      <c r="B486" s="225"/>
    </row>
    <row r="487" spans="2:2" x14ac:dyDescent="0.25">
      <c r="B487" s="225"/>
    </row>
    <row r="488" spans="2:2" x14ac:dyDescent="0.25">
      <c r="B488" s="225"/>
    </row>
    <row r="489" spans="2:2" x14ac:dyDescent="0.25">
      <c r="B489" s="225"/>
    </row>
    <row r="490" spans="2:2" x14ac:dyDescent="0.25">
      <c r="B490" s="225"/>
    </row>
    <row r="491" spans="2:2" x14ac:dyDescent="0.25">
      <c r="B491" s="225"/>
    </row>
    <row r="492" spans="2:2" x14ac:dyDescent="0.25">
      <c r="B492" s="225"/>
    </row>
    <row r="493" spans="2:2" x14ac:dyDescent="0.25">
      <c r="B493" s="225"/>
    </row>
    <row r="494" spans="2:2" x14ac:dyDescent="0.25">
      <c r="B494" s="225"/>
    </row>
    <row r="495" spans="2:2" x14ac:dyDescent="0.25">
      <c r="B495" s="225"/>
    </row>
    <row r="496" spans="2:2" x14ac:dyDescent="0.25">
      <c r="B496" s="225"/>
    </row>
    <row r="497" spans="2:2" x14ac:dyDescent="0.25">
      <c r="B497" s="225"/>
    </row>
    <row r="498" spans="2:2" x14ac:dyDescent="0.25">
      <c r="B498" s="225"/>
    </row>
    <row r="499" spans="2:2" x14ac:dyDescent="0.25">
      <c r="B499" s="225"/>
    </row>
    <row r="500" spans="2:2" x14ac:dyDescent="0.25">
      <c r="B500" s="225"/>
    </row>
    <row r="501" spans="2:2" x14ac:dyDescent="0.25">
      <c r="B501" s="225"/>
    </row>
    <row r="502" spans="2:2" x14ac:dyDescent="0.25">
      <c r="B502" s="225"/>
    </row>
    <row r="503" spans="2:2" x14ac:dyDescent="0.25">
      <c r="B503" s="225"/>
    </row>
    <row r="504" spans="2:2" x14ac:dyDescent="0.25">
      <c r="B504" s="225"/>
    </row>
    <row r="505" spans="2:2" x14ac:dyDescent="0.25">
      <c r="B505" s="225"/>
    </row>
    <row r="506" spans="2:2" x14ac:dyDescent="0.25">
      <c r="B506" s="225"/>
    </row>
    <row r="507" spans="2:2" x14ac:dyDescent="0.25">
      <c r="B507" s="225"/>
    </row>
    <row r="508" spans="2:2" x14ac:dyDescent="0.25">
      <c r="B508" s="225"/>
    </row>
    <row r="509" spans="2:2" x14ac:dyDescent="0.25">
      <c r="B509" s="225"/>
    </row>
    <row r="510" spans="2:2" x14ac:dyDescent="0.25">
      <c r="B510" s="225"/>
    </row>
    <row r="511" spans="2:2" x14ac:dyDescent="0.25">
      <c r="B511" s="225"/>
    </row>
    <row r="512" spans="2:2" x14ac:dyDescent="0.25">
      <c r="B512" s="225"/>
    </row>
    <row r="513" spans="2:2" x14ac:dyDescent="0.25">
      <c r="B513" s="225"/>
    </row>
    <row r="514" spans="2:2" x14ac:dyDescent="0.25">
      <c r="B514" s="225"/>
    </row>
    <row r="515" spans="2:2" x14ac:dyDescent="0.25">
      <c r="B515" s="225"/>
    </row>
    <row r="516" spans="2:2" x14ac:dyDescent="0.25">
      <c r="B516" s="225"/>
    </row>
    <row r="517" spans="2:2" x14ac:dyDescent="0.25">
      <c r="B517" s="225"/>
    </row>
    <row r="518" spans="2:2" x14ac:dyDescent="0.25">
      <c r="B518" s="225"/>
    </row>
    <row r="519" spans="2:2" x14ac:dyDescent="0.25">
      <c r="B519" s="225"/>
    </row>
    <row r="520" spans="2:2" x14ac:dyDescent="0.25">
      <c r="B520" s="225"/>
    </row>
    <row r="521" spans="2:2" x14ac:dyDescent="0.25">
      <c r="B521" s="225"/>
    </row>
    <row r="522" spans="2:2" x14ac:dyDescent="0.25">
      <c r="B522" s="225"/>
    </row>
    <row r="523" spans="2:2" x14ac:dyDescent="0.25">
      <c r="B523" s="225"/>
    </row>
    <row r="524" spans="2:2" x14ac:dyDescent="0.25">
      <c r="B524" s="225"/>
    </row>
    <row r="525" spans="2:2" x14ac:dyDescent="0.25">
      <c r="B525" s="225"/>
    </row>
    <row r="526" spans="2:2" x14ac:dyDescent="0.25">
      <c r="B526" s="225"/>
    </row>
    <row r="527" spans="2:2" x14ac:dyDescent="0.25">
      <c r="B527" s="225"/>
    </row>
    <row r="528" spans="2:2" x14ac:dyDescent="0.25">
      <c r="B528" s="225"/>
    </row>
    <row r="529" spans="2:2" x14ac:dyDescent="0.25">
      <c r="B529" s="225"/>
    </row>
    <row r="530" spans="2:2" x14ac:dyDescent="0.25">
      <c r="B530" s="225"/>
    </row>
    <row r="531" spans="2:2" x14ac:dyDescent="0.25">
      <c r="B531" s="225"/>
    </row>
    <row r="532" spans="2:2" x14ac:dyDescent="0.25">
      <c r="B532" s="225"/>
    </row>
    <row r="533" spans="2:2" x14ac:dyDescent="0.25">
      <c r="B533" s="225"/>
    </row>
    <row r="534" spans="2:2" x14ac:dyDescent="0.25">
      <c r="B534" s="225"/>
    </row>
    <row r="535" spans="2:2" x14ac:dyDescent="0.25">
      <c r="B535" s="225"/>
    </row>
    <row r="536" spans="2:2" x14ac:dyDescent="0.25">
      <c r="B536" s="225"/>
    </row>
    <row r="537" spans="2:2" x14ac:dyDescent="0.25">
      <c r="B537" s="225"/>
    </row>
    <row r="538" spans="2:2" x14ac:dyDescent="0.25">
      <c r="B538" s="225"/>
    </row>
    <row r="539" spans="2:2" x14ac:dyDescent="0.25">
      <c r="B539" s="225"/>
    </row>
    <row r="540" spans="2:2" x14ac:dyDescent="0.25">
      <c r="B540" s="225"/>
    </row>
    <row r="541" spans="2:2" x14ac:dyDescent="0.25">
      <c r="B541" s="225"/>
    </row>
    <row r="542" spans="2:2" x14ac:dyDescent="0.25">
      <c r="B542" s="225"/>
    </row>
    <row r="543" spans="2:2" x14ac:dyDescent="0.25">
      <c r="B543" s="225"/>
    </row>
    <row r="544" spans="2:2" x14ac:dyDescent="0.25">
      <c r="B544" s="225"/>
    </row>
  </sheetData>
  <sheetProtection password="CBF3" sheet="1" objects="1" scenarios="1" selectLockedCells="1" selectUnlockedCells="1"/>
  <protectedRanges>
    <protectedRange sqref="B26:H26" name="Plage2"/>
    <protectedRange sqref="A378:A407 B11:B12 B16:E17 B28 B32 B36:B37 B41:B42 G41 B47:B48 B56:B58 B65:B66 B5:B8 B20:B21 D20:F20 C48:F48" name="Plage1"/>
    <protectedRange sqref="A69:A377" name="Plage1_1"/>
    <protectedRange sqref="B69:B377" name="Plage1_2"/>
  </protectedRanges>
  <sortState ref="A56:A373">
    <sortCondition ref="A56"/>
  </sortState>
  <mergeCells count="5">
    <mergeCell ref="G15:I15"/>
    <mergeCell ref="G16:I16"/>
    <mergeCell ref="G17:I17"/>
    <mergeCell ref="J24:K24"/>
    <mergeCell ref="J25:K26"/>
  </mergeCells>
  <phoneticPr fontId="7" type="noConversion"/>
  <printOptions horizontalCentered="1"/>
  <pageMargins left="0" right="0" top="0" bottom="0" header="0.51181102362204722" footer="0.51181102362204722"/>
  <pageSetup paperSize="9" orientation="landscape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rgb="FF00B050"/>
  </sheetPr>
  <dimension ref="A1:I344"/>
  <sheetViews>
    <sheetView workbookViewId="0"/>
  </sheetViews>
  <sheetFormatPr baseColWidth="10" defaultColWidth="11" defaultRowHeight="15" x14ac:dyDescent="0.25"/>
  <cols>
    <col min="1" max="1" width="9.375" style="18" customWidth="1"/>
    <col min="2" max="2" width="22.25" style="18" customWidth="1"/>
    <col min="3" max="3" width="13.375" style="18" customWidth="1"/>
    <col min="4" max="4" width="11.125" style="18" bestFit="1" customWidth="1"/>
    <col min="5" max="5" width="13" style="18" customWidth="1"/>
    <col min="6" max="7" width="12.375" style="18" customWidth="1"/>
    <col min="8" max="9" width="13" style="18" bestFit="1" customWidth="1"/>
    <col min="10" max="10" width="3.5" style="18" customWidth="1"/>
    <col min="11" max="16384" width="11" style="18"/>
  </cols>
  <sheetData>
    <row r="1" spans="1:9" ht="21" x14ac:dyDescent="0.25">
      <c r="A1" s="65" t="s">
        <v>362</v>
      </c>
      <c r="B1" s="53"/>
      <c r="C1" s="92"/>
      <c r="D1" s="92"/>
      <c r="E1" s="92"/>
      <c r="F1" s="92"/>
      <c r="G1" s="92"/>
      <c r="H1" s="92"/>
      <c r="I1" s="92"/>
    </row>
    <row r="3" spans="1:9" x14ac:dyDescent="0.25">
      <c r="A3" s="160" t="s">
        <v>51</v>
      </c>
      <c r="B3" s="161"/>
      <c r="C3" s="162" t="s">
        <v>507</v>
      </c>
      <c r="D3" s="162" t="s">
        <v>443</v>
      </c>
      <c r="E3" s="92"/>
      <c r="F3" s="92"/>
      <c r="G3" s="92"/>
      <c r="H3" s="92"/>
      <c r="I3" s="92"/>
    </row>
    <row r="4" spans="1:9" x14ac:dyDescent="0.25">
      <c r="A4" s="102" t="s">
        <v>117</v>
      </c>
      <c r="B4" s="103"/>
      <c r="C4" s="15">
        <f>E325</f>
        <v>629023085.00351155</v>
      </c>
      <c r="D4" s="45"/>
      <c r="E4" s="92"/>
      <c r="F4" s="92"/>
      <c r="G4" s="92"/>
      <c r="H4" s="92"/>
      <c r="I4" s="92"/>
    </row>
    <row r="5" spans="1:9" x14ac:dyDescent="0.25">
      <c r="A5" s="108" t="s">
        <v>470</v>
      </c>
      <c r="B5" s="56"/>
      <c r="C5" s="14">
        <v>0</v>
      </c>
      <c r="D5" s="43">
        <f>C5/$C$325</f>
        <v>0</v>
      </c>
      <c r="E5" s="92"/>
      <c r="F5" s="92"/>
      <c r="G5" s="92"/>
      <c r="H5" s="92"/>
      <c r="I5" s="92"/>
    </row>
    <row r="6" spans="1:9" x14ac:dyDescent="0.25">
      <c r="A6" s="108" t="s">
        <v>469</v>
      </c>
      <c r="B6" s="56"/>
      <c r="C6" s="14">
        <f>Paramètres!B36</f>
        <v>3143590</v>
      </c>
      <c r="D6" s="349">
        <f>C6/$C$325</f>
        <v>9.2894466788789376E-2</v>
      </c>
      <c r="E6" s="92"/>
      <c r="F6" s="92"/>
      <c r="G6" s="92"/>
      <c r="H6" s="92"/>
      <c r="I6" s="92"/>
    </row>
    <row r="7" spans="1:9" x14ac:dyDescent="0.25">
      <c r="A7" s="108" t="s">
        <v>118</v>
      </c>
      <c r="B7" s="56"/>
      <c r="C7" s="14">
        <f>'I) Dépenses thématiques'!O314</f>
        <v>-135361775.94506088</v>
      </c>
      <c r="D7" s="349">
        <f>C7/$C$325</f>
        <v>-4.0000000000000018</v>
      </c>
      <c r="E7" s="92"/>
      <c r="F7" s="92"/>
      <c r="G7" s="92"/>
      <c r="H7" s="92"/>
      <c r="I7" s="92"/>
    </row>
    <row r="8" spans="1:9" x14ac:dyDescent="0.25">
      <c r="A8" s="110" t="s">
        <v>311</v>
      </c>
      <c r="B8" s="148"/>
      <c r="C8" s="25">
        <f>Paramètres!B37</f>
        <v>-450000</v>
      </c>
      <c r="D8" s="349">
        <f>C8/$C$325</f>
        <v>-1.329769787248185E-2</v>
      </c>
      <c r="E8" s="92"/>
      <c r="F8" s="92"/>
      <c r="G8" s="92"/>
      <c r="H8" s="92"/>
      <c r="I8" s="92"/>
    </row>
    <row r="9" spans="1:9" x14ac:dyDescent="0.25">
      <c r="A9" s="110" t="s">
        <v>391</v>
      </c>
      <c r="B9" s="148"/>
      <c r="C9" s="25">
        <f>SUM(C5:C8)</f>
        <v>-132668185.94506088</v>
      </c>
      <c r="D9" s="130">
        <f>SUM(D5:D8)</f>
        <v>-3.9204032310836943</v>
      </c>
      <c r="E9" s="92"/>
      <c r="F9" s="92"/>
      <c r="G9" s="92"/>
      <c r="H9" s="92"/>
      <c r="I9" s="92"/>
    </row>
    <row r="10" spans="1:9" x14ac:dyDescent="0.25">
      <c r="A10" s="102" t="s">
        <v>475</v>
      </c>
      <c r="B10" s="103"/>
      <c r="C10" s="25">
        <f>-SUM(C4:C8)</f>
        <v>-496354899.0584507</v>
      </c>
      <c r="D10" s="130">
        <f>C10/$C$325</f>
        <v>-14.667505522678896</v>
      </c>
      <c r="E10" s="92"/>
      <c r="F10" s="92"/>
      <c r="G10" s="92"/>
      <c r="H10" s="92"/>
      <c r="I10" s="92"/>
    </row>
    <row r="11" spans="1:9" x14ac:dyDescent="0.25">
      <c r="A11" s="102" t="s">
        <v>390</v>
      </c>
      <c r="B11" s="104"/>
      <c r="C11" s="25">
        <f>C9+C10</f>
        <v>-629023085.00351155</v>
      </c>
      <c r="D11" s="130">
        <f>D10+D9</f>
        <v>-18.587908753762591</v>
      </c>
      <c r="E11" s="92"/>
      <c r="F11" s="92"/>
      <c r="G11" s="92"/>
      <c r="H11" s="92"/>
      <c r="I11" s="92"/>
    </row>
    <row r="14" spans="1:9" ht="60" customHeight="1" x14ac:dyDescent="0.25">
      <c r="A14" s="424" t="s">
        <v>50</v>
      </c>
      <c r="B14" s="424" t="s">
        <v>119</v>
      </c>
      <c r="C14" s="424" t="s">
        <v>471</v>
      </c>
      <c r="D14" s="438" t="s">
        <v>338</v>
      </c>
      <c r="E14" s="83" t="s">
        <v>117</v>
      </c>
      <c r="F14" s="83" t="s">
        <v>389</v>
      </c>
      <c r="G14" s="83" t="s">
        <v>474</v>
      </c>
      <c r="H14" s="83" t="s">
        <v>330</v>
      </c>
      <c r="I14" s="83" t="s">
        <v>442</v>
      </c>
    </row>
    <row r="15" spans="1:9" x14ac:dyDescent="0.25">
      <c r="A15" s="425"/>
      <c r="B15" s="425"/>
      <c r="C15" s="425"/>
      <c r="D15" s="439"/>
      <c r="E15" s="372">
        <f>-D9+F15+G15</f>
        <v>18.587908753762608</v>
      </c>
      <c r="F15" s="192">
        <f>F325/C325</f>
        <v>11.659390600410051</v>
      </c>
      <c r="G15" s="192">
        <f>G325/C325</f>
        <v>3.0081149222688635</v>
      </c>
      <c r="H15" s="192"/>
      <c r="I15" s="192"/>
    </row>
    <row r="16" spans="1:9" x14ac:dyDescent="0.25">
      <c r="A16" s="57">
        <f>'A) Base RI'!A7</f>
        <v>5401</v>
      </c>
      <c r="B16" s="119" t="str">
        <f>'A) Base RI'!B7</f>
        <v>Aigle</v>
      </c>
      <c r="C16" s="14">
        <f>'D) Ecrêtage'!M5</f>
        <v>260845.44622222218</v>
      </c>
      <c r="D16" s="19">
        <f>'A) Base RI'!AN7</f>
        <v>9757</v>
      </c>
      <c r="E16" s="14">
        <f>C16*E$15</f>
        <v>4848571.3532131575</v>
      </c>
      <c r="F16" s="19">
        <f>'F) Population'!K8</f>
        <v>4794723.1388329975</v>
      </c>
      <c r="G16" s="14">
        <f>'G) Solidarité'!I5</f>
        <v>3068439.9078291683</v>
      </c>
      <c r="H16" s="19">
        <f>F16+G16</f>
        <v>7863163.0466621658</v>
      </c>
      <c r="I16" s="74">
        <f>E16-H16</f>
        <v>-3014591.6934490083</v>
      </c>
    </row>
    <row r="17" spans="1:9" x14ac:dyDescent="0.25">
      <c r="A17" s="61">
        <f>'A) Base RI'!A8</f>
        <v>5402</v>
      </c>
      <c r="B17" s="13" t="str">
        <f>'A) Base RI'!B8</f>
        <v>Bex</v>
      </c>
      <c r="C17" s="14">
        <f>'D) Ecrêtage'!M6</f>
        <v>175890.90239436619</v>
      </c>
      <c r="D17" s="19">
        <f>'A) Base RI'!AN8</f>
        <v>7236</v>
      </c>
      <c r="E17" s="14">
        <f t="shared" ref="E17:E80" si="0">C17*E$15</f>
        <v>3269444.0443234439</v>
      </c>
      <c r="F17" s="19">
        <f>'F) Population'!K9</f>
        <v>3109994.3661971833</v>
      </c>
      <c r="G17" s="14">
        <f>'G) Solidarité'!I6</f>
        <v>2869679.9222463532</v>
      </c>
      <c r="H17" s="19">
        <f t="shared" ref="H17:H80" si="1">F17+G17</f>
        <v>5979674.2884435365</v>
      </c>
      <c r="I17" s="74">
        <f t="shared" ref="I17:I80" si="2">E17-H17</f>
        <v>-2710230.2441200926</v>
      </c>
    </row>
    <row r="18" spans="1:9" x14ac:dyDescent="0.25">
      <c r="A18" s="61">
        <f>'A) Base RI'!A9</f>
        <v>5403</v>
      </c>
      <c r="B18" s="13" t="str">
        <f>'A) Base RI'!B9</f>
        <v>Chessel</v>
      </c>
      <c r="C18" s="14">
        <f>'D) Ecrêtage'!M7</f>
        <v>8284.5784210526326</v>
      </c>
      <c r="D18" s="19">
        <f>'A) Base RI'!AN9</f>
        <v>396</v>
      </c>
      <c r="E18" s="14">
        <f t="shared" si="0"/>
        <v>153992.98775391703</v>
      </c>
      <c r="F18" s="19">
        <f>'F) Population'!K10</f>
        <v>39201.60965794768</v>
      </c>
      <c r="G18" s="14">
        <f>'G) Solidarité'!I7</f>
        <v>210752.28857296592</v>
      </c>
      <c r="H18" s="19">
        <f t="shared" si="1"/>
        <v>249953.89823091359</v>
      </c>
      <c r="I18" s="74">
        <f t="shared" si="2"/>
        <v>-95960.910476996563</v>
      </c>
    </row>
    <row r="19" spans="1:9" x14ac:dyDescent="0.25">
      <c r="A19" s="61">
        <f>'A) Base RI'!A10</f>
        <v>5404</v>
      </c>
      <c r="B19" s="13" t="str">
        <f>'A) Base RI'!B10</f>
        <v>Corbeyrier</v>
      </c>
      <c r="C19" s="14">
        <f>'D) Ecrêtage'!M8</f>
        <v>9966.1885714285709</v>
      </c>
      <c r="D19" s="19">
        <f>'A) Base RI'!AN10</f>
        <v>433</v>
      </c>
      <c r="E19" s="14">
        <f t="shared" si="0"/>
        <v>185250.60378850601</v>
      </c>
      <c r="F19" s="19">
        <f>'F) Population'!K11</f>
        <v>42864.38631790744</v>
      </c>
      <c r="G19" s="14">
        <f>'G) Solidarité'!I8</f>
        <v>177810.9207477594</v>
      </c>
      <c r="H19" s="19">
        <f t="shared" si="1"/>
        <v>220675.30706566683</v>
      </c>
      <c r="I19" s="74">
        <f t="shared" si="2"/>
        <v>-35424.703277160821</v>
      </c>
    </row>
    <row r="20" spans="1:9" x14ac:dyDescent="0.25">
      <c r="A20" s="61">
        <f>'A) Base RI'!A11</f>
        <v>5405</v>
      </c>
      <c r="B20" s="13" t="str">
        <f>'A) Base RI'!B11</f>
        <v>Gryon</v>
      </c>
      <c r="C20" s="14">
        <f>'D) Ecrêtage'!M9</f>
        <v>71437.220657546874</v>
      </c>
      <c r="D20" s="19">
        <f>'A) Base RI'!AN11</f>
        <v>1265</v>
      </c>
      <c r="E20" s="14">
        <f t="shared" si="0"/>
        <v>1327868.5392048866</v>
      </c>
      <c r="F20" s="19">
        <f>'F) Population'!K12</f>
        <v>190810.86519114688</v>
      </c>
      <c r="G20" s="14">
        <f>'G) Solidarité'!I9</f>
        <v>0</v>
      </c>
      <c r="H20" s="19">
        <f t="shared" si="1"/>
        <v>190810.86519114688</v>
      </c>
      <c r="I20" s="74">
        <f t="shared" si="2"/>
        <v>1137057.6740137397</v>
      </c>
    </row>
    <row r="21" spans="1:9" x14ac:dyDescent="0.25">
      <c r="A21" s="61">
        <f>'A) Base RI'!A12</f>
        <v>5406</v>
      </c>
      <c r="B21" s="13" t="str">
        <f>'A) Base RI'!B12</f>
        <v>Lavey-Morcles</v>
      </c>
      <c r="C21" s="14">
        <f>'D) Ecrêtage'!M10</f>
        <v>19831.448851570964</v>
      </c>
      <c r="D21" s="19">
        <f>'A) Base RI'!AN12</f>
        <v>907</v>
      </c>
      <c r="E21" s="14">
        <f t="shared" si="0"/>
        <v>368625.16170791135</v>
      </c>
      <c r="F21" s="19">
        <f>'F) Population'!K13</f>
        <v>89787.525150905421</v>
      </c>
      <c r="G21" s="14">
        <f>'G) Solidarité'!I10</f>
        <v>404115.74484062591</v>
      </c>
      <c r="H21" s="19">
        <f t="shared" si="1"/>
        <v>493903.26999153133</v>
      </c>
      <c r="I21" s="74">
        <f t="shared" si="2"/>
        <v>-125278.10828361998</v>
      </c>
    </row>
    <row r="22" spans="1:9" x14ac:dyDescent="0.25">
      <c r="A22" s="61">
        <f>'A) Base RI'!A13</f>
        <v>5407</v>
      </c>
      <c r="B22" s="13" t="str">
        <f>'A) Base RI'!B13</f>
        <v>Leysin</v>
      </c>
      <c r="C22" s="14">
        <f>'D) Ecrêtage'!M11</f>
        <v>102799.09089743589</v>
      </c>
      <c r="D22" s="19">
        <f>'A) Base RI'!AN13</f>
        <v>4148</v>
      </c>
      <c r="E22" s="14">
        <f t="shared" si="0"/>
        <v>1910820.1215712866</v>
      </c>
      <c r="F22" s="19">
        <f>'F) Population'!K14</f>
        <v>1360177.0623742454</v>
      </c>
      <c r="G22" s="14">
        <f>'G) Solidarité'!I11</f>
        <v>1937718.6829656272</v>
      </c>
      <c r="H22" s="19">
        <f t="shared" si="1"/>
        <v>3297895.7453398723</v>
      </c>
      <c r="I22" s="74">
        <f t="shared" si="2"/>
        <v>-1387075.6237685857</v>
      </c>
    </row>
    <row r="23" spans="1:9" x14ac:dyDescent="0.25">
      <c r="A23" s="61">
        <f>'A) Base RI'!A14</f>
        <v>5408</v>
      </c>
      <c r="B23" s="13" t="str">
        <f>'A) Base RI'!B14</f>
        <v>Noville</v>
      </c>
      <c r="C23" s="14">
        <f>'D) Ecrêtage'!M12</f>
        <v>34745.229256900217</v>
      </c>
      <c r="D23" s="19">
        <f>'A) Base RI'!AN14</f>
        <v>1029</v>
      </c>
      <c r="E23" s="14">
        <f t="shared" si="0"/>
        <v>645841.15105582424</v>
      </c>
      <c r="F23" s="19">
        <f>'F) Population'!K15</f>
        <v>109041.85110663984</v>
      </c>
      <c r="G23" s="14">
        <f>'G) Solidarité'!I12</f>
        <v>260366.52086850637</v>
      </c>
      <c r="H23" s="19">
        <f t="shared" si="1"/>
        <v>369408.37197514623</v>
      </c>
      <c r="I23" s="74">
        <f t="shared" si="2"/>
        <v>276432.77908067801</v>
      </c>
    </row>
    <row r="24" spans="1:9" x14ac:dyDescent="0.25">
      <c r="A24" s="61">
        <f>'A) Base RI'!A15</f>
        <v>5409</v>
      </c>
      <c r="B24" s="13" t="str">
        <f>'A) Base RI'!B15</f>
        <v>Ollon</v>
      </c>
      <c r="C24" s="14">
        <f>'D) Ecrêtage'!M13</f>
        <v>466449.88785891997</v>
      </c>
      <c r="D24" s="19">
        <f>'A) Base RI'!AN15</f>
        <v>7419</v>
      </c>
      <c r="E24" s="14">
        <f t="shared" si="0"/>
        <v>8670327.9537244048</v>
      </c>
      <c r="F24" s="19">
        <f>'F) Population'!K16</f>
        <v>3218689.7384305838</v>
      </c>
      <c r="G24" s="14">
        <f>'G) Solidarité'!I13</f>
        <v>0</v>
      </c>
      <c r="H24" s="19">
        <f t="shared" si="1"/>
        <v>3218689.7384305838</v>
      </c>
      <c r="I24" s="74">
        <f t="shared" si="2"/>
        <v>5451638.2152938209</v>
      </c>
    </row>
    <row r="25" spans="1:9" x14ac:dyDescent="0.25">
      <c r="A25" s="61">
        <f>'A) Base RI'!A16</f>
        <v>5410</v>
      </c>
      <c r="B25" s="13" t="str">
        <f>'A) Base RI'!B16</f>
        <v>Ormont-Dessous</v>
      </c>
      <c r="C25" s="14">
        <f>'D) Ecrêtage'!M14</f>
        <v>35234.198174097655</v>
      </c>
      <c r="D25" s="19">
        <f>'A) Base RI'!AN16</f>
        <v>1119</v>
      </c>
      <c r="E25" s="14">
        <f t="shared" si="0"/>
        <v>654930.06067211635</v>
      </c>
      <c r="F25" s="19">
        <f>'F) Population'!K17</f>
        <v>140224.94969818913</v>
      </c>
      <c r="G25" s="14">
        <f>'G) Solidarité'!I14</f>
        <v>345623.73011196073</v>
      </c>
      <c r="H25" s="19">
        <f t="shared" si="1"/>
        <v>485848.67981014983</v>
      </c>
      <c r="I25" s="74">
        <f t="shared" si="2"/>
        <v>169081.38086196652</v>
      </c>
    </row>
    <row r="26" spans="1:9" x14ac:dyDescent="0.25">
      <c r="A26" s="61">
        <f>'A) Base RI'!A17</f>
        <v>5411</v>
      </c>
      <c r="B26" s="13" t="str">
        <f>'A) Base RI'!B17</f>
        <v>Ormont-Dessus</v>
      </c>
      <c r="C26" s="14">
        <f>'D) Ecrêtage'!M15</f>
        <v>71790.213859649128</v>
      </c>
      <c r="D26" s="19">
        <f>'A) Base RI'!AN17</f>
        <v>1481</v>
      </c>
      <c r="E26" s="14">
        <f t="shared" si="0"/>
        <v>1334429.9446362618</v>
      </c>
      <c r="F26" s="19">
        <f>'F) Population'!K18</f>
        <v>265650.30181086517</v>
      </c>
      <c r="G26" s="14">
        <f>'G) Solidarité'!I15</f>
        <v>0</v>
      </c>
      <c r="H26" s="19">
        <f t="shared" si="1"/>
        <v>265650.30181086517</v>
      </c>
      <c r="I26" s="74">
        <f t="shared" si="2"/>
        <v>1068779.6428253967</v>
      </c>
    </row>
    <row r="27" spans="1:9" x14ac:dyDescent="0.25">
      <c r="A27" s="61">
        <f>'A) Base RI'!A18</f>
        <v>5412</v>
      </c>
      <c r="B27" s="13" t="str">
        <f>'A) Base RI'!B18</f>
        <v>Rennaz</v>
      </c>
      <c r="C27" s="14">
        <f>'D) Ecrêtage'!M16</f>
        <v>26501.739703703701</v>
      </c>
      <c r="D27" s="19">
        <f>'A) Base RI'!AN18</f>
        <v>843</v>
      </c>
      <c r="E27" s="14">
        <f t="shared" si="0"/>
        <v>492611.9194284121</v>
      </c>
      <c r="F27" s="19">
        <f>'F) Population'!K19</f>
        <v>83451.911468812876</v>
      </c>
      <c r="G27" s="14">
        <f>'G) Solidarité'!I16</f>
        <v>193277.77800245225</v>
      </c>
      <c r="H27" s="19">
        <f t="shared" si="1"/>
        <v>276729.68947126513</v>
      </c>
      <c r="I27" s="74">
        <f t="shared" si="2"/>
        <v>215882.22995714698</v>
      </c>
    </row>
    <row r="28" spans="1:9" x14ac:dyDescent="0.25">
      <c r="A28" s="61">
        <f>'A) Base RI'!A19</f>
        <v>5413</v>
      </c>
      <c r="B28" s="13" t="str">
        <f>'A) Base RI'!B19</f>
        <v>Roche</v>
      </c>
      <c r="C28" s="14">
        <f>'D) Ecrêtage'!M17</f>
        <v>34861.221617647054</v>
      </c>
      <c r="D28" s="19">
        <f>'A) Base RI'!AN19</f>
        <v>1507</v>
      </c>
      <c r="E28" s="14">
        <f t="shared" si="0"/>
        <v>647997.20647351991</v>
      </c>
      <c r="F28" s="19">
        <f>'F) Population'!K20</f>
        <v>274658.75251509051</v>
      </c>
      <c r="G28" s="14">
        <f>'G) Solidarité'!I17</f>
        <v>580768.67140514555</v>
      </c>
      <c r="H28" s="19">
        <f t="shared" si="1"/>
        <v>855427.42392023606</v>
      </c>
      <c r="I28" s="74">
        <f t="shared" si="2"/>
        <v>-207430.21744671615</v>
      </c>
    </row>
    <row r="29" spans="1:9" x14ac:dyDescent="0.25">
      <c r="A29" s="61">
        <f>'A) Base RI'!A20</f>
        <v>5414</v>
      </c>
      <c r="B29" s="13" t="str">
        <f>'A) Base RI'!B20</f>
        <v>Villeneuve</v>
      </c>
      <c r="C29" s="14">
        <f>'D) Ecrêtage'!M18</f>
        <v>168009.32057971013</v>
      </c>
      <c r="D29" s="19">
        <f>'A) Base RI'!AN20</f>
        <v>5428</v>
      </c>
      <c r="E29" s="14">
        <f t="shared" si="0"/>
        <v>3122941.9207173022</v>
      </c>
      <c r="F29" s="19">
        <f>'F) Population'!K21</f>
        <v>2036107.847082495</v>
      </c>
      <c r="G29" s="14">
        <f>'G) Solidarité'!I18</f>
        <v>1350270.7659167014</v>
      </c>
      <c r="H29" s="19">
        <f t="shared" si="1"/>
        <v>3386378.6129991962</v>
      </c>
      <c r="I29" s="74">
        <f t="shared" si="2"/>
        <v>-263436.69228189392</v>
      </c>
    </row>
    <row r="30" spans="1:9" x14ac:dyDescent="0.25">
      <c r="A30" s="61">
        <f>'A) Base RI'!A21</f>
        <v>5415</v>
      </c>
      <c r="B30" s="13" t="str">
        <f>'A) Base RI'!B21</f>
        <v>Yvorne</v>
      </c>
      <c r="C30" s="14">
        <f>'D) Ecrêtage'!M19</f>
        <v>43055.973722627736</v>
      </c>
      <c r="D30" s="19">
        <f>'A) Base RI'!AN21</f>
        <v>1032</v>
      </c>
      <c r="E30" s="14">
        <f t="shared" si="0"/>
        <v>800320.51086060493</v>
      </c>
      <c r="F30" s="19">
        <f>'F) Population'!K22</f>
        <v>110081.28772635815</v>
      </c>
      <c r="G30" s="14">
        <f>'G) Solidarité'!I19</f>
        <v>45657.349398727267</v>
      </c>
      <c r="H30" s="19">
        <f t="shared" si="1"/>
        <v>155738.6371250854</v>
      </c>
      <c r="I30" s="74">
        <f t="shared" si="2"/>
        <v>644581.87373551959</v>
      </c>
    </row>
    <row r="31" spans="1:9" x14ac:dyDescent="0.25">
      <c r="A31" s="61">
        <f>'A) Base RI'!A22</f>
        <v>5421</v>
      </c>
      <c r="B31" s="13" t="str">
        <f>'A) Base RI'!B22</f>
        <v>Apples</v>
      </c>
      <c r="C31" s="14">
        <f>'D) Ecrêtage'!M20</f>
        <v>57391.691408450701</v>
      </c>
      <c r="D31" s="19">
        <f>'A) Base RI'!AN22</f>
        <v>1363</v>
      </c>
      <c r="E31" s="14">
        <f t="shared" si="0"/>
        <v>1066791.5231243831</v>
      </c>
      <c r="F31" s="19">
        <f>'F) Population'!K23</f>
        <v>224765.79476861167</v>
      </c>
      <c r="G31" s="14">
        <f>'G) Solidarité'!I20</f>
        <v>54237.34408540561</v>
      </c>
      <c r="H31" s="19">
        <f t="shared" si="1"/>
        <v>279003.13885401725</v>
      </c>
      <c r="I31" s="74">
        <f t="shared" si="2"/>
        <v>787788.38427036582</v>
      </c>
    </row>
    <row r="32" spans="1:9" x14ac:dyDescent="0.25">
      <c r="A32" s="61">
        <f>'A) Base RI'!A23</f>
        <v>5422</v>
      </c>
      <c r="B32" s="13" t="str">
        <f>'A) Base RI'!B23</f>
        <v>Aubonne</v>
      </c>
      <c r="C32" s="14">
        <f>'D) Ecrêtage'!M21</f>
        <v>217787.45958715957</v>
      </c>
      <c r="D32" s="19">
        <f>'A) Base RI'!AN23</f>
        <v>3227</v>
      </c>
      <c r="E32" s="14">
        <f t="shared" si="0"/>
        <v>4048213.4265198838</v>
      </c>
      <c r="F32" s="19">
        <f>'F) Population'!K24</f>
        <v>904309.85915492952</v>
      </c>
      <c r="G32" s="14">
        <f>'G) Solidarité'!I21</f>
        <v>0</v>
      </c>
      <c r="H32" s="19">
        <f t="shared" si="1"/>
        <v>904309.85915492952</v>
      </c>
      <c r="I32" s="74">
        <f t="shared" si="2"/>
        <v>3143903.5673649544</v>
      </c>
    </row>
    <row r="33" spans="1:9" x14ac:dyDescent="0.25">
      <c r="A33" s="61">
        <f>'A) Base RI'!A24</f>
        <v>5423</v>
      </c>
      <c r="B33" s="13" t="str">
        <f>'A) Base RI'!B24</f>
        <v>Ballens</v>
      </c>
      <c r="C33" s="14">
        <f>'D) Ecrêtage'!M22</f>
        <v>18689.408115942024</v>
      </c>
      <c r="D33" s="19">
        <f>'A) Base RI'!AN24</f>
        <v>509</v>
      </c>
      <c r="E33" s="14">
        <f t="shared" si="0"/>
        <v>347397.01272096066</v>
      </c>
      <c r="F33" s="19">
        <f>'F) Population'!K25</f>
        <v>50387.927565392354</v>
      </c>
      <c r="G33" s="14">
        <f>'G) Solidarité'!I22</f>
        <v>71059.887160065817</v>
      </c>
      <c r="H33" s="19">
        <f t="shared" si="1"/>
        <v>121447.81472545817</v>
      </c>
      <c r="I33" s="74">
        <f t="shared" si="2"/>
        <v>225949.1979955025</v>
      </c>
    </row>
    <row r="34" spans="1:9" x14ac:dyDescent="0.25">
      <c r="A34" s="61">
        <f>'A) Base RI'!A25</f>
        <v>5424</v>
      </c>
      <c r="B34" s="13" t="str">
        <f>'A) Base RI'!B25</f>
        <v>Berolle</v>
      </c>
      <c r="C34" s="14">
        <f>'D) Ecrêtage'!M23</f>
        <v>9360.1262337662338</v>
      </c>
      <c r="D34" s="19">
        <f>'A) Base RI'!AN25</f>
        <v>292</v>
      </c>
      <c r="E34" s="14">
        <f t="shared" si="0"/>
        <v>173985.17235694642</v>
      </c>
      <c r="F34" s="19">
        <f>'F) Population'!K26</f>
        <v>28906.237424547282</v>
      </c>
      <c r="G34" s="14">
        <f>'G) Solidarité'!I23</f>
        <v>82865.404024992458</v>
      </c>
      <c r="H34" s="19">
        <f t="shared" si="1"/>
        <v>111771.64144953975</v>
      </c>
      <c r="I34" s="74">
        <f t="shared" si="2"/>
        <v>62213.530907406675</v>
      </c>
    </row>
    <row r="35" spans="1:9" x14ac:dyDescent="0.25">
      <c r="A35" s="61">
        <f>'A) Base RI'!A26</f>
        <v>5425</v>
      </c>
      <c r="B35" s="13" t="str">
        <f>'A) Base RI'!B26</f>
        <v>Bière</v>
      </c>
      <c r="C35" s="14">
        <f>'D) Ecrêtage'!M24</f>
        <v>40787.403970588231</v>
      </c>
      <c r="D35" s="19">
        <f>'A) Base RI'!AN26</f>
        <v>1550</v>
      </c>
      <c r="E35" s="14">
        <f t="shared" si="0"/>
        <v>758152.54330814874</v>
      </c>
      <c r="F35" s="19">
        <f>'F) Population'!K27</f>
        <v>289557.34406438633</v>
      </c>
      <c r="G35" s="14">
        <f>'G) Solidarité'!I24</f>
        <v>506663.99955365661</v>
      </c>
      <c r="H35" s="19">
        <f t="shared" si="1"/>
        <v>796221.343618043</v>
      </c>
      <c r="I35" s="74">
        <f t="shared" si="2"/>
        <v>-38068.800309894257</v>
      </c>
    </row>
    <row r="36" spans="1:9" x14ac:dyDescent="0.25">
      <c r="A36" s="61">
        <f>'A) Base RI'!A27</f>
        <v>5426</v>
      </c>
      <c r="B36" s="13" t="str">
        <f>'A) Base RI'!B27</f>
        <v>Bougy-Villars</v>
      </c>
      <c r="C36" s="14">
        <f>'D) Ecrêtage'!M25</f>
        <v>37789.643747698407</v>
      </c>
      <c r="D36" s="19">
        <f>'A) Base RI'!AN27</f>
        <v>481</v>
      </c>
      <c r="E36" s="14">
        <f t="shared" si="0"/>
        <v>702430.4498194136</v>
      </c>
      <c r="F36" s="19">
        <f>'F) Population'!K28</f>
        <v>47616.096579476856</v>
      </c>
      <c r="G36" s="14">
        <f>'G) Solidarité'!I25</f>
        <v>0</v>
      </c>
      <c r="H36" s="19">
        <f t="shared" si="1"/>
        <v>47616.096579476856</v>
      </c>
      <c r="I36" s="74">
        <f t="shared" si="2"/>
        <v>654814.35323993675</v>
      </c>
    </row>
    <row r="37" spans="1:9" x14ac:dyDescent="0.25">
      <c r="A37" s="61">
        <f>'A) Base RI'!A28</f>
        <v>5427</v>
      </c>
      <c r="B37" s="13" t="str">
        <f>'A) Base RI'!B28</f>
        <v>Féchy</v>
      </c>
      <c r="C37" s="14">
        <f>'D) Ecrêtage'!M26</f>
        <v>59897.218306141724</v>
      </c>
      <c r="D37" s="19">
        <f>'A) Base RI'!AN28</f>
        <v>860</v>
      </c>
      <c r="E37" s="14">
        <f t="shared" si="0"/>
        <v>1113364.0284787617</v>
      </c>
      <c r="F37" s="19">
        <f>'F) Population'!K29</f>
        <v>85134.80885311871</v>
      </c>
      <c r="G37" s="14">
        <f>'G) Solidarité'!I26</f>
        <v>0</v>
      </c>
      <c r="H37" s="19">
        <f t="shared" si="1"/>
        <v>85134.80885311871</v>
      </c>
      <c r="I37" s="74">
        <f t="shared" si="2"/>
        <v>1028229.219625643</v>
      </c>
    </row>
    <row r="38" spans="1:9" x14ac:dyDescent="0.25">
      <c r="A38" s="61">
        <f>'A) Base RI'!A29</f>
        <v>5428</v>
      </c>
      <c r="B38" s="13" t="str">
        <f>'A) Base RI'!B29</f>
        <v>Gimel</v>
      </c>
      <c r="C38" s="14">
        <f>'D) Ecrêtage'!M27</f>
        <v>57546.053752913758</v>
      </c>
      <c r="D38" s="19">
        <f>'A) Base RI'!AN29</f>
        <v>1907</v>
      </c>
      <c r="E38" s="14">
        <f t="shared" si="0"/>
        <v>1069660.7962982792</v>
      </c>
      <c r="F38" s="19">
        <f>'F) Population'!K30</f>
        <v>413250.30181086517</v>
      </c>
      <c r="G38" s="14">
        <f>'G) Solidarité'!I27</f>
        <v>539472.24122439197</v>
      </c>
      <c r="H38" s="19">
        <f t="shared" si="1"/>
        <v>952722.54303525714</v>
      </c>
      <c r="I38" s="74">
        <f t="shared" si="2"/>
        <v>116938.25326302205</v>
      </c>
    </row>
    <row r="39" spans="1:9" x14ac:dyDescent="0.25">
      <c r="A39" s="61">
        <f>'A) Base RI'!A30</f>
        <v>5429</v>
      </c>
      <c r="B39" s="13" t="str">
        <f>'A) Base RI'!B30</f>
        <v>Longirod</v>
      </c>
      <c r="C39" s="14">
        <f>'D) Ecrêtage'!M28</f>
        <v>13645.142716049384</v>
      </c>
      <c r="D39" s="19">
        <f>'A) Base RI'!AN30</f>
        <v>463</v>
      </c>
      <c r="E39" s="14">
        <f t="shared" si="0"/>
        <v>253634.66773799443</v>
      </c>
      <c r="F39" s="19">
        <f>'F) Population'!K31</f>
        <v>45834.205231388325</v>
      </c>
      <c r="G39" s="14">
        <f>'G) Solidarité'!I28</f>
        <v>176612.89974690083</v>
      </c>
      <c r="H39" s="19">
        <f t="shared" si="1"/>
        <v>222447.10497828916</v>
      </c>
      <c r="I39" s="74">
        <f t="shared" si="2"/>
        <v>31187.562759705266</v>
      </c>
    </row>
    <row r="40" spans="1:9" x14ac:dyDescent="0.25">
      <c r="A40" s="61">
        <f>'A) Base RI'!A31</f>
        <v>5430</v>
      </c>
      <c r="B40" s="13" t="str">
        <f>'A) Base RI'!B31</f>
        <v>Marchissy</v>
      </c>
      <c r="C40" s="14">
        <f>'D) Ecrêtage'!M29</f>
        <v>12901.686543209877</v>
      </c>
      <c r="D40" s="19">
        <f>'A) Base RI'!AN31</f>
        <v>448</v>
      </c>
      <c r="E40" s="14">
        <f t="shared" si="0"/>
        <v>239815.37223483212</v>
      </c>
      <c r="F40" s="19">
        <f>'F) Population'!K32</f>
        <v>44349.295774647886</v>
      </c>
      <c r="G40" s="14">
        <f>'G) Solidarité'!I29</f>
        <v>178754.23393765962</v>
      </c>
      <c r="H40" s="19">
        <f t="shared" si="1"/>
        <v>223103.5297123075</v>
      </c>
      <c r="I40" s="74">
        <f t="shared" si="2"/>
        <v>16711.842522524617</v>
      </c>
    </row>
    <row r="41" spans="1:9" x14ac:dyDescent="0.25">
      <c r="A41" s="61">
        <f>'A) Base RI'!A32</f>
        <v>5431</v>
      </c>
      <c r="B41" s="13" t="str">
        <f>'A) Base RI'!B32</f>
        <v>Mollens</v>
      </c>
      <c r="C41" s="14">
        <f>'D) Ecrêtage'!M30</f>
        <v>8965.3154054054066</v>
      </c>
      <c r="D41" s="19">
        <f>'A) Base RI'!AN32</f>
        <v>294</v>
      </c>
      <c r="E41" s="14">
        <f t="shared" si="0"/>
        <v>166646.46470437793</v>
      </c>
      <c r="F41" s="19">
        <f>'F) Population'!K33</f>
        <v>29104.225352112673</v>
      </c>
      <c r="G41" s="14">
        <f>'G) Solidarité'!I30</f>
        <v>87051.447815159627</v>
      </c>
      <c r="H41" s="19">
        <f t="shared" si="1"/>
        <v>116155.6731672723</v>
      </c>
      <c r="I41" s="74">
        <f t="shared" si="2"/>
        <v>50490.79153710563</v>
      </c>
    </row>
    <row r="42" spans="1:9" x14ac:dyDescent="0.25">
      <c r="A42" s="61">
        <f>'A) Base RI'!A33</f>
        <v>5432</v>
      </c>
      <c r="B42" s="13" t="str">
        <f>'A) Base RI'!B33</f>
        <v>Montherod</v>
      </c>
      <c r="C42" s="14">
        <f>'D) Ecrêtage'!M31</f>
        <v>18938.674054054052</v>
      </c>
      <c r="D42" s="19">
        <f>'A) Base RI'!AN33</f>
        <v>518</v>
      </c>
      <c r="E42" s="14">
        <f t="shared" si="0"/>
        <v>352030.3452340081</v>
      </c>
      <c r="F42" s="19">
        <f>'F) Population'!K34</f>
        <v>51278.873239436616</v>
      </c>
      <c r="G42" s="14">
        <f>'G) Solidarité'!I31</f>
        <v>84944.750476290632</v>
      </c>
      <c r="H42" s="19">
        <f t="shared" si="1"/>
        <v>136223.62371572724</v>
      </c>
      <c r="I42" s="74">
        <f t="shared" si="2"/>
        <v>215806.72151828086</v>
      </c>
    </row>
    <row r="43" spans="1:9" x14ac:dyDescent="0.25">
      <c r="A43" s="61">
        <f>'A) Base RI'!A34</f>
        <v>5434</v>
      </c>
      <c r="B43" s="13" t="str">
        <f>'A) Base RI'!B34</f>
        <v>Saint-George</v>
      </c>
      <c r="C43" s="14">
        <f>'D) Ecrêtage'!M32</f>
        <v>33015.772116788328</v>
      </c>
      <c r="D43" s="19">
        <f>'A) Base RI'!AN34</f>
        <v>949</v>
      </c>
      <c r="E43" s="14">
        <f t="shared" si="0"/>
        <v>613694.15954188118</v>
      </c>
      <c r="F43" s="19">
        <f>'F) Population'!K35</f>
        <v>93945.271629778668</v>
      </c>
      <c r="G43" s="14">
        <f>'G) Solidarité'!I32</f>
        <v>164709.88030439324</v>
      </c>
      <c r="H43" s="19">
        <f t="shared" si="1"/>
        <v>258655.15193417191</v>
      </c>
      <c r="I43" s="74">
        <f t="shared" si="2"/>
        <v>355039.00760770927</v>
      </c>
    </row>
    <row r="44" spans="1:9" x14ac:dyDescent="0.25">
      <c r="A44" s="61">
        <f>'A) Base RI'!A35</f>
        <v>5435</v>
      </c>
      <c r="B44" s="13" t="str">
        <f>'A) Base RI'!B35</f>
        <v>Saint-Livres</v>
      </c>
      <c r="C44" s="14">
        <f>'D) Ecrêtage'!M33</f>
        <v>24335.25550724638</v>
      </c>
      <c r="D44" s="19">
        <f>'A) Base RI'!AN35</f>
        <v>713</v>
      </c>
      <c r="E44" s="14">
        <f t="shared" si="0"/>
        <v>452341.50886819471</v>
      </c>
      <c r="F44" s="19">
        <f>'F) Population'!K36</f>
        <v>70582.696177062375</v>
      </c>
      <c r="G44" s="14">
        <f>'G) Solidarité'!I33</f>
        <v>134461.71485498297</v>
      </c>
      <c r="H44" s="19">
        <f t="shared" si="1"/>
        <v>205044.41103204535</v>
      </c>
      <c r="I44" s="74">
        <f t="shared" si="2"/>
        <v>247297.09783614936</v>
      </c>
    </row>
    <row r="45" spans="1:9" x14ac:dyDescent="0.25">
      <c r="A45" s="61">
        <f>'A) Base RI'!A36</f>
        <v>5436</v>
      </c>
      <c r="B45" s="13" t="str">
        <f>'A) Base RI'!B36</f>
        <v>Saint-Oyens</v>
      </c>
      <c r="C45" s="14">
        <f>'D) Ecrêtage'!M34</f>
        <v>9937.7678395061721</v>
      </c>
      <c r="D45" s="19">
        <f>'A) Base RI'!AN36</f>
        <v>345</v>
      </c>
      <c r="E45" s="14">
        <f t="shared" si="0"/>
        <v>184722.3218168173</v>
      </c>
      <c r="F45" s="19">
        <f>'F) Population'!K37</f>
        <v>34152.917505030178</v>
      </c>
      <c r="G45" s="14">
        <f>'G) Solidarité'!I34</f>
        <v>137596.2636763854</v>
      </c>
      <c r="H45" s="19">
        <f t="shared" si="1"/>
        <v>171749.18118141557</v>
      </c>
      <c r="I45" s="74">
        <f t="shared" si="2"/>
        <v>12973.140635401738</v>
      </c>
    </row>
    <row r="46" spans="1:9" x14ac:dyDescent="0.25">
      <c r="A46" s="61">
        <f>'A) Base RI'!A37</f>
        <v>5437</v>
      </c>
      <c r="B46" s="13" t="str">
        <f>'A) Base RI'!B37</f>
        <v>Saubraz</v>
      </c>
      <c r="C46" s="14">
        <f>'D) Ecrêtage'!M35</f>
        <v>9144.65614457831</v>
      </c>
      <c r="D46" s="19">
        <f>'A) Base RI'!AN37</f>
        <v>391</v>
      </c>
      <c r="E46" s="14">
        <f t="shared" si="0"/>
        <v>169980.03399995618</v>
      </c>
      <c r="F46" s="19">
        <f>'F) Population'!K38</f>
        <v>38706.6398390342</v>
      </c>
      <c r="G46" s="14">
        <f>'G) Solidarité'!I35</f>
        <v>221762.77791980832</v>
      </c>
      <c r="H46" s="19">
        <f t="shared" si="1"/>
        <v>260469.41775884252</v>
      </c>
      <c r="I46" s="74">
        <f t="shared" si="2"/>
        <v>-90489.383758886339</v>
      </c>
    </row>
    <row r="47" spans="1:9" x14ac:dyDescent="0.25">
      <c r="A47" s="61">
        <f>'A) Base RI'!A38</f>
        <v>5451</v>
      </c>
      <c r="B47" s="13" t="str">
        <f>'A) Base RI'!B38</f>
        <v>Avenches</v>
      </c>
      <c r="C47" s="14">
        <f>'D) Ecrêtage'!M36</f>
        <v>102028.81651960785</v>
      </c>
      <c r="D47" s="19">
        <f>'A) Base RI'!AN38</f>
        <v>4090</v>
      </c>
      <c r="E47" s="14">
        <f t="shared" si="0"/>
        <v>1896502.3317208576</v>
      </c>
      <c r="F47" s="19">
        <f>'F) Population'!K39</f>
        <v>1331468.8128772634</v>
      </c>
      <c r="G47" s="14">
        <f>'G) Solidarité'!I36</f>
        <v>1439858.0379320285</v>
      </c>
      <c r="H47" s="19">
        <f t="shared" si="1"/>
        <v>2771326.8508092919</v>
      </c>
      <c r="I47" s="74">
        <f t="shared" si="2"/>
        <v>-874824.51908843429</v>
      </c>
    </row>
    <row r="48" spans="1:9" x14ac:dyDescent="0.25">
      <c r="A48" s="61">
        <f>'A) Base RI'!A39</f>
        <v>5456</v>
      </c>
      <c r="B48" s="13" t="str">
        <f>'A) Base RI'!B39</f>
        <v>Cudrefin</v>
      </c>
      <c r="C48" s="14">
        <f>'D) Ecrêtage'!M37</f>
        <v>45272.368813559326</v>
      </c>
      <c r="D48" s="19">
        <f>'A) Base RI'!AN39</f>
        <v>1516</v>
      </c>
      <c r="E48" s="14">
        <f t="shared" si="0"/>
        <v>841518.66057312873</v>
      </c>
      <c r="F48" s="19">
        <f>'F) Population'!K40</f>
        <v>277777.06237424549</v>
      </c>
      <c r="G48" s="14">
        <f>'G) Solidarité'!I37</f>
        <v>298589.9447787223</v>
      </c>
      <c r="H48" s="19">
        <f t="shared" si="1"/>
        <v>576367.00715296785</v>
      </c>
      <c r="I48" s="74">
        <f t="shared" si="2"/>
        <v>265151.65342016087</v>
      </c>
    </row>
    <row r="49" spans="1:9" x14ac:dyDescent="0.25">
      <c r="A49" s="61">
        <f>'A) Base RI'!A40</f>
        <v>5458</v>
      </c>
      <c r="B49" s="13" t="str">
        <f>'A) Base RI'!B40</f>
        <v>Faoug</v>
      </c>
      <c r="C49" s="14">
        <f>'D) Ecrêtage'!M38</f>
        <v>28143.986721311474</v>
      </c>
      <c r="D49" s="19">
        <f>'A) Base RI'!AN40</f>
        <v>853</v>
      </c>
      <c r="E49" s="14">
        <f t="shared" si="0"/>
        <v>523137.85714284418</v>
      </c>
      <c r="F49" s="19">
        <f>'F) Population'!K41</f>
        <v>84441.851106639835</v>
      </c>
      <c r="G49" s="14">
        <f>'G) Solidarité'!I38</f>
        <v>140070.77528309642</v>
      </c>
      <c r="H49" s="19">
        <f t="shared" si="1"/>
        <v>224512.62638973625</v>
      </c>
      <c r="I49" s="74">
        <f t="shared" si="2"/>
        <v>298625.23075310793</v>
      </c>
    </row>
    <row r="50" spans="1:9" x14ac:dyDescent="0.25">
      <c r="A50" s="61">
        <f>'A) Base RI'!A41</f>
        <v>5464</v>
      </c>
      <c r="B50" s="13" t="str">
        <f>'A) Base RI'!B41</f>
        <v>Vully-les-Lacs</v>
      </c>
      <c r="C50" s="14">
        <f>'D) Ecrêtage'!M39</f>
        <v>96865.968557213928</v>
      </c>
      <c r="D50" s="19">
        <f>'A) Base RI'!AN41</f>
        <v>2825</v>
      </c>
      <c r="E50" s="14">
        <f t="shared" si="0"/>
        <v>1800535.7848863304</v>
      </c>
      <c r="F50" s="19">
        <f>'F) Population'!K42</f>
        <v>731317.907444668</v>
      </c>
      <c r="G50" s="14">
        <f>'G) Solidarité'!I39</f>
        <v>494348.4797741216</v>
      </c>
      <c r="H50" s="19">
        <f t="shared" si="1"/>
        <v>1225666.3872187897</v>
      </c>
      <c r="I50" s="74">
        <f t="shared" si="2"/>
        <v>574869.3976675407</v>
      </c>
    </row>
    <row r="51" spans="1:9" x14ac:dyDescent="0.25">
      <c r="A51" s="61">
        <f>'A) Base RI'!A42</f>
        <v>5471</v>
      </c>
      <c r="B51" s="13" t="str">
        <f>'A) Base RI'!B42</f>
        <v>Bettens</v>
      </c>
      <c r="C51" s="14">
        <f>'D) Ecrêtage'!M40</f>
        <v>18168.257063492067</v>
      </c>
      <c r="D51" s="19">
        <f>'A) Base RI'!AN42</f>
        <v>557</v>
      </c>
      <c r="E51" s="14">
        <f t="shared" si="0"/>
        <v>337709.90451109351</v>
      </c>
      <c r="F51" s="19">
        <f>'F) Population'!K43</f>
        <v>55139.637826961763</v>
      </c>
      <c r="G51" s="14">
        <f>'G) Solidarité'!I40</f>
        <v>124526.82281255879</v>
      </c>
      <c r="H51" s="19">
        <f t="shared" si="1"/>
        <v>179666.46063952055</v>
      </c>
      <c r="I51" s="74">
        <f t="shared" si="2"/>
        <v>158043.44387157296</v>
      </c>
    </row>
    <row r="52" spans="1:9" x14ac:dyDescent="0.25">
      <c r="A52" s="61">
        <f>'A) Base RI'!A43</f>
        <v>5472</v>
      </c>
      <c r="B52" s="13" t="str">
        <f>'A) Base RI'!B43</f>
        <v>Bournens</v>
      </c>
      <c r="C52" s="14">
        <f>'D) Ecrêtage'!M41</f>
        <v>13213.617875</v>
      </c>
      <c r="D52" s="19">
        <f>'A) Base RI'!AN43</f>
        <v>373</v>
      </c>
      <c r="E52" s="14">
        <f t="shared" si="0"/>
        <v>245613.52336758657</v>
      </c>
      <c r="F52" s="19">
        <f>'F) Population'!K44</f>
        <v>36924.748490945669</v>
      </c>
      <c r="G52" s="14">
        <f>'G) Solidarité'!I41</f>
        <v>82270.509797775332</v>
      </c>
      <c r="H52" s="19">
        <f t="shared" si="1"/>
        <v>119195.258288721</v>
      </c>
      <c r="I52" s="74">
        <f t="shared" si="2"/>
        <v>126418.26507886557</v>
      </c>
    </row>
    <row r="53" spans="1:9" x14ac:dyDescent="0.25">
      <c r="A53" s="61">
        <f>'A) Base RI'!A44</f>
        <v>5473</v>
      </c>
      <c r="B53" s="13" t="str">
        <f>'A) Base RI'!B44</f>
        <v>Boussens</v>
      </c>
      <c r="C53" s="14">
        <f>'D) Ecrêtage'!M42</f>
        <v>33007.750579710155</v>
      </c>
      <c r="D53" s="19">
        <f>'A) Base RI'!AN44</f>
        <v>958</v>
      </c>
      <c r="E53" s="14">
        <f t="shared" si="0"/>
        <v>613545.05594260723</v>
      </c>
      <c r="F53" s="19">
        <f>'F) Population'!K45</f>
        <v>94836.217303822938</v>
      </c>
      <c r="G53" s="14">
        <f>'G) Solidarité'!I42</f>
        <v>174787.79475814922</v>
      </c>
      <c r="H53" s="19">
        <f t="shared" si="1"/>
        <v>269624.01206197217</v>
      </c>
      <c r="I53" s="74">
        <f t="shared" si="2"/>
        <v>343921.04388063506</v>
      </c>
    </row>
    <row r="54" spans="1:9" x14ac:dyDescent="0.25">
      <c r="A54" s="61">
        <f>'A) Base RI'!A45</f>
        <v>5474</v>
      </c>
      <c r="B54" s="13" t="str">
        <f>'A) Base RI'!B45</f>
        <v>La Chaux (Cossonay)</v>
      </c>
      <c r="C54" s="14">
        <f>'D) Ecrêtage'!M43</f>
        <v>12690.44829004329</v>
      </c>
      <c r="D54" s="19">
        <f>'A) Base RI'!AN45</f>
        <v>421</v>
      </c>
      <c r="E54" s="14">
        <f t="shared" si="0"/>
        <v>235888.8948596674</v>
      </c>
      <c r="F54" s="19">
        <f>'F) Population'!K46</f>
        <v>41676.458752515086</v>
      </c>
      <c r="G54" s="14">
        <f>'G) Solidarité'!I43</f>
        <v>138448.19152728963</v>
      </c>
      <c r="H54" s="19">
        <f t="shared" si="1"/>
        <v>180124.65027980471</v>
      </c>
      <c r="I54" s="74">
        <f t="shared" si="2"/>
        <v>55764.244579862687</v>
      </c>
    </row>
    <row r="55" spans="1:9" x14ac:dyDescent="0.25">
      <c r="A55" s="61">
        <f>'A) Base RI'!A46</f>
        <v>5475</v>
      </c>
      <c r="B55" s="13" t="str">
        <f>'A) Base RI'!B46</f>
        <v>Chavannes-le-Veyron</v>
      </c>
      <c r="C55" s="14">
        <f>'D) Ecrêtage'!M44</f>
        <v>2750.1545454545449</v>
      </c>
      <c r="D55" s="19">
        <f>'A) Base RI'!AN46</f>
        <v>120</v>
      </c>
      <c r="E55" s="14">
        <f t="shared" si="0"/>
        <v>51119.621749654565</v>
      </c>
      <c r="F55" s="19">
        <f>'F) Population'!K47</f>
        <v>11879.27565392354</v>
      </c>
      <c r="G55" s="14">
        <f>'G) Solidarité'!I44</f>
        <v>59905.293634809655</v>
      </c>
      <c r="H55" s="19">
        <f t="shared" si="1"/>
        <v>71784.569288733197</v>
      </c>
      <c r="I55" s="74">
        <f t="shared" si="2"/>
        <v>-20664.947539078632</v>
      </c>
    </row>
    <row r="56" spans="1:9" x14ac:dyDescent="0.25">
      <c r="A56" s="61">
        <f>'A) Base RI'!A47</f>
        <v>5476</v>
      </c>
      <c r="B56" s="13" t="str">
        <f>'A) Base RI'!B47</f>
        <v>Chevilly</v>
      </c>
      <c r="C56" s="14">
        <f>'D) Ecrêtage'!M45</f>
        <v>7887.6179729729729</v>
      </c>
      <c r="D56" s="19">
        <f>'A) Base RI'!AN47</f>
        <v>286</v>
      </c>
      <c r="E56" s="14">
        <f t="shared" si="0"/>
        <v>146614.32316615959</v>
      </c>
      <c r="F56" s="19">
        <f>'F) Population'!K48</f>
        <v>28312.273641851105</v>
      </c>
      <c r="G56" s="14">
        <f>'G) Solidarité'!I45</f>
        <v>102837.61379836648</v>
      </c>
      <c r="H56" s="19">
        <f t="shared" si="1"/>
        <v>131149.8874402176</v>
      </c>
      <c r="I56" s="74">
        <f t="shared" si="2"/>
        <v>15464.435725941992</v>
      </c>
    </row>
    <row r="57" spans="1:9" x14ac:dyDescent="0.25">
      <c r="A57" s="61">
        <f>'A) Base RI'!A48</f>
        <v>5477</v>
      </c>
      <c r="B57" s="13" t="str">
        <f>'A) Base RI'!B48</f>
        <v>Cossonay</v>
      </c>
      <c r="C57" s="14">
        <f>'D) Ecrêtage'!M46</f>
        <v>120589.74256854257</v>
      </c>
      <c r="D57" s="19">
        <f>'A) Base RI'!AN48</f>
        <v>3642</v>
      </c>
      <c r="E57" s="14">
        <f t="shared" si="0"/>
        <v>2241511.131503792</v>
      </c>
      <c r="F57" s="19">
        <f>'F) Population'!K49</f>
        <v>1109722.334004024</v>
      </c>
      <c r="G57" s="14">
        <f>'G) Solidarité'!I46</f>
        <v>763752.88460526289</v>
      </c>
      <c r="H57" s="19">
        <f t="shared" si="1"/>
        <v>1873475.2186092869</v>
      </c>
      <c r="I57" s="74">
        <f t="shared" si="2"/>
        <v>368035.91289450508</v>
      </c>
    </row>
    <row r="58" spans="1:9" x14ac:dyDescent="0.25">
      <c r="A58" s="61">
        <f>'A) Base RI'!A49</f>
        <v>5478</v>
      </c>
      <c r="B58" s="13" t="str">
        <f>'A) Base RI'!B49</f>
        <v>Cottens</v>
      </c>
      <c r="C58" s="14">
        <f>'D) Ecrêtage'!M47</f>
        <v>15464.23347222222</v>
      </c>
      <c r="D58" s="19">
        <f>'A) Base RI'!AN49</f>
        <v>473</v>
      </c>
      <c r="E58" s="14">
        <f t="shared" si="0"/>
        <v>287447.76072854816</v>
      </c>
      <c r="F58" s="19">
        <f>'F) Population'!K50</f>
        <v>46824.144869215292</v>
      </c>
      <c r="G58" s="14">
        <f>'G) Solidarité'!I47</f>
        <v>111136.3131769036</v>
      </c>
      <c r="H58" s="19">
        <f t="shared" si="1"/>
        <v>157960.4580461189</v>
      </c>
      <c r="I58" s="74">
        <f t="shared" si="2"/>
        <v>129487.30268242926</v>
      </c>
    </row>
    <row r="59" spans="1:9" x14ac:dyDescent="0.25">
      <c r="A59" s="61">
        <f>'A) Base RI'!A50</f>
        <v>5479</v>
      </c>
      <c r="B59" s="13" t="str">
        <f>'A) Base RI'!B50</f>
        <v>Cuarnens</v>
      </c>
      <c r="C59" s="14">
        <f>'D) Ecrêtage'!M48</f>
        <v>11805.525064935064</v>
      </c>
      <c r="D59" s="19">
        <f>'A) Base RI'!AN50</f>
        <v>439</v>
      </c>
      <c r="E59" s="14">
        <f t="shared" si="0"/>
        <v>219440.02269727035</v>
      </c>
      <c r="F59" s="19">
        <f>'F) Population'!K51</f>
        <v>43458.350100603617</v>
      </c>
      <c r="G59" s="14">
        <f>'G) Solidarité'!I48</f>
        <v>178023.26629818341</v>
      </c>
      <c r="H59" s="19">
        <f t="shared" si="1"/>
        <v>221481.61639878704</v>
      </c>
      <c r="I59" s="74">
        <f t="shared" si="2"/>
        <v>-2041.5937015166855</v>
      </c>
    </row>
    <row r="60" spans="1:9" x14ac:dyDescent="0.25">
      <c r="A60" s="61">
        <f>'A) Base RI'!A51</f>
        <v>5480</v>
      </c>
      <c r="B60" s="13" t="str">
        <f>'A) Base RI'!B51</f>
        <v>Daillens</v>
      </c>
      <c r="C60" s="14">
        <f>'D) Ecrêtage'!M49</f>
        <v>42113.849718309852</v>
      </c>
      <c r="D60" s="19">
        <f>'A) Base RI'!AN51</f>
        <v>940</v>
      </c>
      <c r="E60" s="14">
        <f t="shared" si="0"/>
        <v>782808.39583361463</v>
      </c>
      <c r="F60" s="19">
        <f>'F) Population'!K52</f>
        <v>93054.325955734399</v>
      </c>
      <c r="G60" s="14">
        <f>'G) Solidarité'!I49</f>
        <v>0</v>
      </c>
      <c r="H60" s="19">
        <f t="shared" si="1"/>
        <v>93054.325955734399</v>
      </c>
      <c r="I60" s="74">
        <f t="shared" si="2"/>
        <v>689754.06987788028</v>
      </c>
    </row>
    <row r="61" spans="1:9" x14ac:dyDescent="0.25">
      <c r="A61" s="61">
        <f>'A) Base RI'!A52</f>
        <v>5481</v>
      </c>
      <c r="B61" s="13" t="str">
        <f>'A) Base RI'!B52</f>
        <v>Dizy</v>
      </c>
      <c r="C61" s="14">
        <f>'D) Ecrêtage'!M50</f>
        <v>8240.9954054054051</v>
      </c>
      <c r="D61" s="19">
        <f>'A) Base RI'!AN52</f>
        <v>221</v>
      </c>
      <c r="E61" s="14">
        <f t="shared" si="0"/>
        <v>153182.87063585257</v>
      </c>
      <c r="F61" s="19">
        <f>'F) Population'!K53</f>
        <v>21877.665995975854</v>
      </c>
      <c r="G61" s="14">
        <f>'G) Solidarité'!I50</f>
        <v>32735.495364025555</v>
      </c>
      <c r="H61" s="19">
        <f t="shared" si="1"/>
        <v>54613.16136000141</v>
      </c>
      <c r="I61" s="74">
        <f t="shared" si="2"/>
        <v>98569.709275851157</v>
      </c>
    </row>
    <row r="62" spans="1:9" x14ac:dyDescent="0.25">
      <c r="A62" s="61">
        <f>'A) Base RI'!A53</f>
        <v>5482</v>
      </c>
      <c r="B62" s="13" t="str">
        <f>'A) Base RI'!B53</f>
        <v>Eclépens</v>
      </c>
      <c r="C62" s="14">
        <f>'D) Ecrêtage'!M51</f>
        <v>62703.545442857772</v>
      </c>
      <c r="D62" s="19">
        <f>'A) Base RI'!AN53</f>
        <v>1039</v>
      </c>
      <c r="E62" s="14">
        <f t="shared" si="0"/>
        <v>1165527.7812292476</v>
      </c>
      <c r="F62" s="19">
        <f>'F) Population'!K54</f>
        <v>112506.63983903419</v>
      </c>
      <c r="G62" s="14">
        <f>'G) Solidarité'!I51</f>
        <v>0</v>
      </c>
      <c r="H62" s="19">
        <f t="shared" si="1"/>
        <v>112506.63983903419</v>
      </c>
      <c r="I62" s="74">
        <f t="shared" si="2"/>
        <v>1053021.1413902133</v>
      </c>
    </row>
    <row r="63" spans="1:9" x14ac:dyDescent="0.25">
      <c r="A63" s="61">
        <f>'A) Base RI'!A54</f>
        <v>5483</v>
      </c>
      <c r="B63" s="13" t="str">
        <f>'A) Base RI'!B54</f>
        <v>Ferreyres</v>
      </c>
      <c r="C63" s="14">
        <f>'D) Ecrêtage'!M52</f>
        <v>9097.5578947368413</v>
      </c>
      <c r="D63" s="19">
        <f>'A) Base RI'!AN54</f>
        <v>313</v>
      </c>
      <c r="E63" s="14">
        <f t="shared" si="0"/>
        <v>169104.57602944106</v>
      </c>
      <c r="F63" s="19">
        <f>'F) Population'!K55</f>
        <v>30985.110663983902</v>
      </c>
      <c r="G63" s="14">
        <f>'G) Solidarité'!I52</f>
        <v>108024.66481009872</v>
      </c>
      <c r="H63" s="19">
        <f t="shared" si="1"/>
        <v>139009.77547408262</v>
      </c>
      <c r="I63" s="74">
        <f t="shared" si="2"/>
        <v>30094.800555358437</v>
      </c>
    </row>
    <row r="64" spans="1:9" x14ac:dyDescent="0.25">
      <c r="A64" s="61">
        <f>'A) Base RI'!A55</f>
        <v>5484</v>
      </c>
      <c r="B64" s="13" t="str">
        <f>'A) Base RI'!B55</f>
        <v>Gollion</v>
      </c>
      <c r="C64" s="14">
        <f>'D) Ecrêtage'!M53</f>
        <v>23163.007162162161</v>
      </c>
      <c r="D64" s="19">
        <f>'A) Base RI'!AN55</f>
        <v>857</v>
      </c>
      <c r="E64" s="14">
        <f t="shared" si="0"/>
        <v>430551.86359302001</v>
      </c>
      <c r="F64" s="19">
        <f>'F) Population'!K56</f>
        <v>84837.826961770625</v>
      </c>
      <c r="G64" s="14">
        <f>'G) Solidarité'!I53</f>
        <v>318436.98463093786</v>
      </c>
      <c r="H64" s="19">
        <f t="shared" si="1"/>
        <v>403274.81159270846</v>
      </c>
      <c r="I64" s="74">
        <f t="shared" si="2"/>
        <v>27277.052000311553</v>
      </c>
    </row>
    <row r="65" spans="1:9" x14ac:dyDescent="0.25">
      <c r="A65" s="61">
        <f>'A) Base RI'!A56</f>
        <v>5485</v>
      </c>
      <c r="B65" s="13" t="str">
        <f>'A) Base RI'!B56</f>
        <v>Grancy</v>
      </c>
      <c r="C65" s="14">
        <f>'D) Ecrêtage'!M54</f>
        <v>17298.355857142858</v>
      </c>
      <c r="D65" s="19">
        <f>'A) Base RI'!AN56</f>
        <v>396</v>
      </c>
      <c r="E65" s="14">
        <f t="shared" si="0"/>
        <v>321540.26026268641</v>
      </c>
      <c r="F65" s="19">
        <f>'F) Population'!K57</f>
        <v>39201.60965794768</v>
      </c>
      <c r="G65" s="14">
        <f>'G) Solidarité'!I54</f>
        <v>3158.1145240561868</v>
      </c>
      <c r="H65" s="19">
        <f t="shared" si="1"/>
        <v>42359.724182003869</v>
      </c>
      <c r="I65" s="74">
        <f t="shared" si="2"/>
        <v>279180.53608068253</v>
      </c>
    </row>
    <row r="66" spans="1:9" x14ac:dyDescent="0.25">
      <c r="A66" s="61">
        <f>'A) Base RI'!A57</f>
        <v>5486</v>
      </c>
      <c r="B66" s="13" t="str">
        <f>'A) Base RI'!B57</f>
        <v>L'Isle</v>
      </c>
      <c r="C66" s="14">
        <f>'D) Ecrêtage'!M55</f>
        <v>27212.445657894736</v>
      </c>
      <c r="D66" s="19">
        <f>'A) Base RI'!AN57</f>
        <v>1032</v>
      </c>
      <c r="E66" s="14">
        <f t="shared" si="0"/>
        <v>505822.45685567084</v>
      </c>
      <c r="F66" s="19">
        <f>'F) Population'!K58</f>
        <v>110081.28772635815</v>
      </c>
      <c r="G66" s="14">
        <f>'G) Solidarité'!I55</f>
        <v>420098.7996881099</v>
      </c>
      <c r="H66" s="19">
        <f t="shared" si="1"/>
        <v>530180.08741446806</v>
      </c>
      <c r="I66" s="74">
        <f t="shared" si="2"/>
        <v>-24357.630558797217</v>
      </c>
    </row>
    <row r="67" spans="1:9" x14ac:dyDescent="0.25">
      <c r="A67" s="61">
        <f>'A) Base RI'!A58</f>
        <v>5487</v>
      </c>
      <c r="B67" s="13" t="str">
        <f>'A) Base RI'!B58</f>
        <v>Lussery-Villars</v>
      </c>
      <c r="C67" s="14">
        <f>'D) Ecrêtage'!M56</f>
        <v>12274.32455882353</v>
      </c>
      <c r="D67" s="19">
        <f>'A) Base RI'!AN58</f>
        <v>423</v>
      </c>
      <c r="E67" s="14">
        <f t="shared" si="0"/>
        <v>228154.02491347925</v>
      </c>
      <c r="F67" s="19">
        <f>'F) Population'!K59</f>
        <v>41874.44668008048</v>
      </c>
      <c r="G67" s="14">
        <f>'G) Solidarité'!I56</f>
        <v>117247.93245002315</v>
      </c>
      <c r="H67" s="19">
        <f t="shared" si="1"/>
        <v>159122.37913010363</v>
      </c>
      <c r="I67" s="74">
        <f t="shared" si="2"/>
        <v>69031.645783375629</v>
      </c>
    </row>
    <row r="68" spans="1:9" x14ac:dyDescent="0.25">
      <c r="A68" s="61">
        <f>'A) Base RI'!A59</f>
        <v>5488</v>
      </c>
      <c r="B68" s="13" t="str">
        <f>'A) Base RI'!B59</f>
        <v>Mauraz</v>
      </c>
      <c r="C68" s="14">
        <f>'D) Ecrêtage'!M57</f>
        <v>1417.5255405405405</v>
      </c>
      <c r="D68" s="19">
        <f>'A) Base RI'!AN59</f>
        <v>49</v>
      </c>
      <c r="E68" s="14">
        <f t="shared" si="0"/>
        <v>26348.835403695586</v>
      </c>
      <c r="F68" s="19">
        <f>'F) Population'!K60</f>
        <v>4850.7042253521122</v>
      </c>
      <c r="G68" s="14">
        <f>'G) Solidarité'!I57</f>
        <v>16178.593901151196</v>
      </c>
      <c r="H68" s="19">
        <f t="shared" si="1"/>
        <v>21029.298126503309</v>
      </c>
      <c r="I68" s="74">
        <f t="shared" si="2"/>
        <v>5319.5372771922775</v>
      </c>
    </row>
    <row r="69" spans="1:9" x14ac:dyDescent="0.25">
      <c r="A69" s="61">
        <f>'A) Base RI'!A60</f>
        <v>5489</v>
      </c>
      <c r="B69" s="13" t="str">
        <f>'A) Base RI'!B60</f>
        <v>Mex</v>
      </c>
      <c r="C69" s="14">
        <f>'D) Ecrêtage'!M58</f>
        <v>37085.616091888587</v>
      </c>
      <c r="D69" s="19">
        <f>'A) Base RI'!AN60</f>
        <v>678</v>
      </c>
      <c r="E69" s="14">
        <f t="shared" si="0"/>
        <v>689344.04799309536</v>
      </c>
      <c r="F69" s="19">
        <f>'F) Population'!K61</f>
        <v>67117.907444668002</v>
      </c>
      <c r="G69" s="14">
        <f>'G) Solidarité'!I58</f>
        <v>0</v>
      </c>
      <c r="H69" s="19">
        <f t="shared" si="1"/>
        <v>67117.907444668002</v>
      </c>
      <c r="I69" s="74">
        <f t="shared" si="2"/>
        <v>622226.14054842736</v>
      </c>
    </row>
    <row r="70" spans="1:9" x14ac:dyDescent="0.25">
      <c r="A70" s="61">
        <f>'A) Base RI'!A61</f>
        <v>5490</v>
      </c>
      <c r="B70" s="13" t="str">
        <f>'A) Base RI'!B61</f>
        <v>Moiry</v>
      </c>
      <c r="C70" s="14">
        <f>'D) Ecrêtage'!M59</f>
        <v>7321.727037037037</v>
      </c>
      <c r="D70" s="19">
        <f>'A) Base RI'!AN61</f>
        <v>290</v>
      </c>
      <c r="E70" s="14">
        <f t="shared" si="0"/>
        <v>136095.59408440112</v>
      </c>
      <c r="F70" s="19">
        <f>'F) Population'!K62</f>
        <v>28708.249496981891</v>
      </c>
      <c r="G70" s="14">
        <f>'G) Solidarité'!I59</f>
        <v>142578.86858330347</v>
      </c>
      <c r="H70" s="19">
        <f t="shared" si="1"/>
        <v>171287.11808028535</v>
      </c>
      <c r="I70" s="74">
        <f t="shared" si="2"/>
        <v>-35191.523995884228</v>
      </c>
    </row>
    <row r="71" spans="1:9" x14ac:dyDescent="0.25">
      <c r="A71" s="61">
        <f>'A) Base RI'!A62</f>
        <v>5491</v>
      </c>
      <c r="B71" s="13" t="str">
        <f>'A) Base RI'!B62</f>
        <v>Mont-la-Ville</v>
      </c>
      <c r="C71" s="14">
        <f>'D) Ecrêtage'!M60</f>
        <v>8599.6809210526335</v>
      </c>
      <c r="D71" s="19">
        <f>'A) Base RI'!AN62</f>
        <v>382</v>
      </c>
      <c r="E71" s="14">
        <f t="shared" si="0"/>
        <v>159850.08427199954</v>
      </c>
      <c r="F71" s="19">
        <f>'F) Population'!K63</f>
        <v>37815.694164989938</v>
      </c>
      <c r="G71" s="14">
        <f>'G) Solidarité'!I60</f>
        <v>189337.02127122515</v>
      </c>
      <c r="H71" s="19">
        <f t="shared" si="1"/>
        <v>227152.71543621511</v>
      </c>
      <c r="I71" s="74">
        <f t="shared" si="2"/>
        <v>-67302.631164215563</v>
      </c>
    </row>
    <row r="72" spans="1:9" x14ac:dyDescent="0.25">
      <c r="A72" s="61">
        <f>'A) Base RI'!A63</f>
        <v>5492</v>
      </c>
      <c r="B72" s="13" t="str">
        <f>'A) Base RI'!B63</f>
        <v>Montricher</v>
      </c>
      <c r="C72" s="14">
        <f>'D) Ecrêtage'!M61</f>
        <v>137502.37981916324</v>
      </c>
      <c r="D72" s="19">
        <f>'A) Base RI'!AN63</f>
        <v>961</v>
      </c>
      <c r="E72" s="14">
        <f t="shared" si="0"/>
        <v>2555881.6895038155</v>
      </c>
      <c r="F72" s="19">
        <f>'F) Population'!K64</f>
        <v>95133.199195171022</v>
      </c>
      <c r="G72" s="14">
        <f>'G) Solidarité'!I61</f>
        <v>0</v>
      </c>
      <c r="H72" s="19">
        <f t="shared" si="1"/>
        <v>95133.199195171022</v>
      </c>
      <c r="I72" s="74">
        <f t="shared" si="2"/>
        <v>2460748.4903086443</v>
      </c>
    </row>
    <row r="73" spans="1:9" x14ac:dyDescent="0.25">
      <c r="A73" s="61">
        <f>'A) Base RI'!A64</f>
        <v>5493</v>
      </c>
      <c r="B73" s="13" t="str">
        <f>'A) Base RI'!B64</f>
        <v>Orny</v>
      </c>
      <c r="C73" s="14">
        <f>'D) Ecrêtage'!M62</f>
        <v>10614.324773445733</v>
      </c>
      <c r="D73" s="19">
        <f>'A) Base RI'!AN64</f>
        <v>375</v>
      </c>
      <c r="E73" s="14">
        <f t="shared" si="0"/>
        <v>197298.10037161125</v>
      </c>
      <c r="F73" s="19">
        <f>'F) Population'!K65</f>
        <v>37122.736418511064</v>
      </c>
      <c r="G73" s="14">
        <f>'G) Solidarité'!I62</f>
        <v>125452.41895566795</v>
      </c>
      <c r="H73" s="19">
        <f t="shared" si="1"/>
        <v>162575.15537417901</v>
      </c>
      <c r="I73" s="74">
        <f t="shared" si="2"/>
        <v>34722.944997432234</v>
      </c>
    </row>
    <row r="74" spans="1:9" x14ac:dyDescent="0.25">
      <c r="A74" s="61">
        <f>'A) Base RI'!A65</f>
        <v>5494</v>
      </c>
      <c r="B74" s="13" t="str">
        <f>'A) Base RI'!B65</f>
        <v>Pampigny</v>
      </c>
      <c r="C74" s="14">
        <f>'D) Ecrêtage'!M63</f>
        <v>33982.091568253971</v>
      </c>
      <c r="D74" s="19">
        <f>'A) Base RI'!AN65</f>
        <v>1124</v>
      </c>
      <c r="E74" s="14">
        <f t="shared" si="0"/>
        <v>631656.01733271056</v>
      </c>
      <c r="F74" s="19">
        <f>'F) Population'!K66</f>
        <v>141957.3440643863</v>
      </c>
      <c r="G74" s="14">
        <f>'G) Solidarité'!I63</f>
        <v>348428.74669168046</v>
      </c>
      <c r="H74" s="19">
        <f t="shared" si="1"/>
        <v>490386.09075606673</v>
      </c>
      <c r="I74" s="74">
        <f t="shared" si="2"/>
        <v>141269.92657664383</v>
      </c>
    </row>
    <row r="75" spans="1:9" x14ac:dyDescent="0.25">
      <c r="A75" s="61">
        <f>'A) Base RI'!A66</f>
        <v>5495</v>
      </c>
      <c r="B75" s="13" t="str">
        <f>'A) Base RI'!B66</f>
        <v>Penthalaz</v>
      </c>
      <c r="C75" s="14">
        <f>'D) Ecrêtage'!M64</f>
        <v>96162.321351351362</v>
      </c>
      <c r="D75" s="19">
        <f>'A) Base RI'!AN66</f>
        <v>3241</v>
      </c>
      <c r="E75" s="14">
        <f t="shared" si="0"/>
        <v>1787456.454828917</v>
      </c>
      <c r="F75" s="19">
        <f>'F) Population'!K67</f>
        <v>911239.43661971821</v>
      </c>
      <c r="G75" s="14">
        <f>'G) Solidarité'!I64</f>
        <v>1017769.783942587</v>
      </c>
      <c r="H75" s="19">
        <f t="shared" si="1"/>
        <v>1929009.2205623053</v>
      </c>
      <c r="I75" s="74">
        <f t="shared" si="2"/>
        <v>-141552.76573338825</v>
      </c>
    </row>
    <row r="76" spans="1:9" x14ac:dyDescent="0.25">
      <c r="A76" s="61">
        <f>'A) Base RI'!A67</f>
        <v>5496</v>
      </c>
      <c r="B76" s="13" t="str">
        <f>'A) Base RI'!B67</f>
        <v>Penthaz</v>
      </c>
      <c r="C76" s="14">
        <f>'D) Ecrêtage'!M65</f>
        <v>55211.289014084505</v>
      </c>
      <c r="D76" s="19">
        <f>'A) Base RI'!AN67</f>
        <v>1653</v>
      </c>
      <c r="E76" s="14">
        <f t="shared" si="0"/>
        <v>1026262.4023714187</v>
      </c>
      <c r="F76" s="19">
        <f>'F) Population'!K68</f>
        <v>325244.66800804826</v>
      </c>
      <c r="G76" s="14">
        <f>'G) Solidarité'!I65</f>
        <v>354258.82302216126</v>
      </c>
      <c r="H76" s="19">
        <f t="shared" si="1"/>
        <v>679503.49103020946</v>
      </c>
      <c r="I76" s="74">
        <f t="shared" si="2"/>
        <v>346758.9113412092</v>
      </c>
    </row>
    <row r="77" spans="1:9" x14ac:dyDescent="0.25">
      <c r="A77" s="61">
        <f>'A) Base RI'!A68</f>
        <v>5497</v>
      </c>
      <c r="B77" s="13" t="str">
        <f>'A) Base RI'!B68</f>
        <v>Pompaples</v>
      </c>
      <c r="C77" s="14">
        <f>'D) Ecrêtage'!M66</f>
        <v>22227.212272727276</v>
      </c>
      <c r="D77" s="19">
        <f>'A) Base RI'!AN68</f>
        <v>834</v>
      </c>
      <c r="E77" s="14">
        <f t="shared" si="0"/>
        <v>413157.393575967</v>
      </c>
      <c r="F77" s="19">
        <f>'F) Population'!K69</f>
        <v>82560.965794768606</v>
      </c>
      <c r="G77" s="14">
        <f>'G) Solidarité'!I66</f>
        <v>251950.7864894848</v>
      </c>
      <c r="H77" s="19">
        <f t="shared" si="1"/>
        <v>334511.75228425342</v>
      </c>
      <c r="I77" s="74">
        <f t="shared" si="2"/>
        <v>78645.641291713575</v>
      </c>
    </row>
    <row r="78" spans="1:9" x14ac:dyDescent="0.25">
      <c r="A78" s="61">
        <f>'A) Base RI'!A69</f>
        <v>5498</v>
      </c>
      <c r="B78" s="13" t="str">
        <f>'A) Base RI'!B69</f>
        <v>La Sarraz</v>
      </c>
      <c r="C78" s="14">
        <f>'D) Ecrêtage'!M67</f>
        <v>72104.13</v>
      </c>
      <c r="D78" s="19">
        <f>'A) Base RI'!AN69</f>
        <v>2559</v>
      </c>
      <c r="E78" s="14">
        <f t="shared" si="0"/>
        <v>1340264.9892094373</v>
      </c>
      <c r="F78" s="19">
        <f>'F) Population'!K70</f>
        <v>639154.52716297784</v>
      </c>
      <c r="G78" s="14">
        <f>'G) Solidarité'!I67</f>
        <v>663352.3951269876</v>
      </c>
      <c r="H78" s="19">
        <f t="shared" si="1"/>
        <v>1302506.9222899654</v>
      </c>
      <c r="I78" s="74">
        <f t="shared" si="2"/>
        <v>37758.066919471836</v>
      </c>
    </row>
    <row r="79" spans="1:9" x14ac:dyDescent="0.25">
      <c r="A79" s="61">
        <f>'A) Base RI'!A70</f>
        <v>5499</v>
      </c>
      <c r="B79" s="13" t="str">
        <f>'A) Base RI'!B70</f>
        <v>Senarclens</v>
      </c>
      <c r="C79" s="14">
        <f>'D) Ecrêtage'!M68</f>
        <v>21697.695620437953</v>
      </c>
      <c r="D79" s="19">
        <f>'A) Base RI'!AN70</f>
        <v>451</v>
      </c>
      <c r="E79" s="14">
        <f t="shared" si="0"/>
        <v>403314.78635961522</v>
      </c>
      <c r="F79" s="19">
        <f>'F) Population'!K71</f>
        <v>44646.277665995971</v>
      </c>
      <c r="G79" s="14">
        <f>'G) Solidarité'!I68</f>
        <v>0</v>
      </c>
      <c r="H79" s="19">
        <f t="shared" si="1"/>
        <v>44646.277665995971</v>
      </c>
      <c r="I79" s="74">
        <f t="shared" si="2"/>
        <v>358668.50869361922</v>
      </c>
    </row>
    <row r="80" spans="1:9" x14ac:dyDescent="0.25">
      <c r="A80" s="61">
        <f>'A) Base RI'!A71</f>
        <v>5500</v>
      </c>
      <c r="B80" s="13" t="str">
        <f>'A) Base RI'!B71</f>
        <v>Sévery</v>
      </c>
      <c r="C80" s="14">
        <f>'D) Ecrêtage'!M69</f>
        <v>6767.1525657894736</v>
      </c>
      <c r="D80" s="19">
        <f>'A) Base RI'!AN71</f>
        <v>231</v>
      </c>
      <c r="E80" s="14">
        <f t="shared" si="0"/>
        <v>125787.21441568524</v>
      </c>
      <c r="F80" s="19">
        <f>'F) Population'!K72</f>
        <v>22867.605633802814</v>
      </c>
      <c r="G80" s="14">
        <f>'G) Solidarité'!I69</f>
        <v>78507.411817699016</v>
      </c>
      <c r="H80" s="19">
        <f t="shared" si="1"/>
        <v>101375.01745150183</v>
      </c>
      <c r="I80" s="74">
        <f t="shared" si="2"/>
        <v>24412.196964183415</v>
      </c>
    </row>
    <row r="81" spans="1:9" x14ac:dyDescent="0.25">
      <c r="A81" s="61">
        <f>'A) Base RI'!A72</f>
        <v>5501</v>
      </c>
      <c r="B81" s="13" t="str">
        <f>'A) Base RI'!B72</f>
        <v>Sullens</v>
      </c>
      <c r="C81" s="14">
        <f>'D) Ecrêtage'!M70</f>
        <v>35887.851857142865</v>
      </c>
      <c r="D81" s="19">
        <f>'A) Base RI'!AN72</f>
        <v>925</v>
      </c>
      <c r="E81" s="14">
        <f t="shared" ref="E81:E144" si="3">C81*E$15</f>
        <v>667080.11568912154</v>
      </c>
      <c r="F81" s="19">
        <f>'F) Population'!K73</f>
        <v>91569.41649899396</v>
      </c>
      <c r="G81" s="14">
        <f>'G) Solidarité'!I70</f>
        <v>95421.817437174002</v>
      </c>
      <c r="H81" s="19">
        <f t="shared" ref="H81:H144" si="4">F81+G81</f>
        <v>186991.23393616796</v>
      </c>
      <c r="I81" s="74">
        <f t="shared" ref="I81:I144" si="5">E81-H81</f>
        <v>480088.88175295357</v>
      </c>
    </row>
    <row r="82" spans="1:9" x14ac:dyDescent="0.25">
      <c r="A82" s="61">
        <f>'A) Base RI'!A73</f>
        <v>5503</v>
      </c>
      <c r="B82" s="13" t="str">
        <f>'A) Base RI'!B73</f>
        <v>Vufflens-la-Ville</v>
      </c>
      <c r="C82" s="14">
        <f>'D) Ecrêtage'!M71</f>
        <v>61379.446318407958</v>
      </c>
      <c r="D82" s="19">
        <f>'A) Base RI'!AN73</f>
        <v>1216</v>
      </c>
      <c r="E82" s="14">
        <f t="shared" si="3"/>
        <v>1140915.5475230373</v>
      </c>
      <c r="F82" s="19">
        <f>'F) Population'!K74</f>
        <v>173833.4004024145</v>
      </c>
      <c r="G82" s="14">
        <f>'G) Solidarité'!I71</f>
        <v>0</v>
      </c>
      <c r="H82" s="19">
        <f t="shared" si="4"/>
        <v>173833.4004024145</v>
      </c>
      <c r="I82" s="74">
        <f t="shared" si="5"/>
        <v>967082.1471206228</v>
      </c>
    </row>
    <row r="83" spans="1:9" x14ac:dyDescent="0.25">
      <c r="A83" s="61">
        <f>'A) Base RI'!A74</f>
        <v>5511</v>
      </c>
      <c r="B83" s="13" t="str">
        <f>'A) Base RI'!B74</f>
        <v>Assens</v>
      </c>
      <c r="C83" s="14">
        <f>'D) Ecrêtage'!M72</f>
        <v>41422.612571428566</v>
      </c>
      <c r="D83" s="19">
        <f>'A) Base RI'!AN74</f>
        <v>1031</v>
      </c>
      <c r="E83" s="14">
        <f t="shared" si="3"/>
        <v>769959.74282017408</v>
      </c>
      <c r="F83" s="19">
        <f>'F) Population'!K75</f>
        <v>109734.80885311871</v>
      </c>
      <c r="G83" s="14">
        <f>'G) Solidarité'!I72</f>
        <v>78645.320078639532</v>
      </c>
      <c r="H83" s="19">
        <f t="shared" si="4"/>
        <v>188380.12893175823</v>
      </c>
      <c r="I83" s="74">
        <f t="shared" si="5"/>
        <v>581579.61388841586</v>
      </c>
    </row>
    <row r="84" spans="1:9" x14ac:dyDescent="0.25">
      <c r="A84" s="61">
        <f>'A) Base RI'!A75</f>
        <v>5512</v>
      </c>
      <c r="B84" s="13" t="str">
        <f>'A) Base RI'!B75</f>
        <v>Bercher</v>
      </c>
      <c r="C84" s="14">
        <f>'D) Ecrêtage'!M73</f>
        <v>32079.191772151898</v>
      </c>
      <c r="D84" s="19">
        <f>'A) Base RI'!AN75</f>
        <v>1148</v>
      </c>
      <c r="E84" s="14">
        <f t="shared" si="3"/>
        <v>596285.08955521171</v>
      </c>
      <c r="F84" s="19">
        <f>'F) Population'!K76</f>
        <v>150272.83702213279</v>
      </c>
      <c r="G84" s="14">
        <f>'G) Solidarité'!I73</f>
        <v>460071.94262073317</v>
      </c>
      <c r="H84" s="19">
        <f t="shared" si="4"/>
        <v>610344.77964286599</v>
      </c>
      <c r="I84" s="74">
        <f t="shared" si="5"/>
        <v>-14059.690087654279</v>
      </c>
    </row>
    <row r="85" spans="1:9" x14ac:dyDescent="0.25">
      <c r="A85" s="61">
        <f>'A) Base RI'!A76</f>
        <v>5513</v>
      </c>
      <c r="B85" s="13" t="str">
        <f>'A) Base RI'!B76</f>
        <v>Bioley-Orjulaz</v>
      </c>
      <c r="C85" s="14">
        <f>'D) Ecrêtage'!M74</f>
        <v>24024.471515151512</v>
      </c>
      <c r="D85" s="19">
        <f>'A) Base RI'!AN76</f>
        <v>471</v>
      </c>
      <c r="E85" s="14">
        <f t="shared" si="3"/>
        <v>446564.68438100524</v>
      </c>
      <c r="F85" s="19">
        <f>'F) Population'!K77</f>
        <v>46626.156941649897</v>
      </c>
      <c r="G85" s="14">
        <f>'G) Solidarité'!I74</f>
        <v>0</v>
      </c>
      <c r="H85" s="19">
        <f t="shared" si="4"/>
        <v>46626.156941649897</v>
      </c>
      <c r="I85" s="74">
        <f t="shared" si="5"/>
        <v>399938.52743935533</v>
      </c>
    </row>
    <row r="86" spans="1:9" x14ac:dyDescent="0.25">
      <c r="A86" s="61">
        <f>'A) Base RI'!A77</f>
        <v>5514</v>
      </c>
      <c r="B86" s="13" t="str">
        <f>'A) Base RI'!B77</f>
        <v>Bottens</v>
      </c>
      <c r="C86" s="14">
        <f>'D) Ecrêtage'!M75</f>
        <v>38346.680434782604</v>
      </c>
      <c r="D86" s="19">
        <f>'A) Base RI'!AN77</f>
        <v>1220</v>
      </c>
      <c r="E86" s="14">
        <f t="shared" si="3"/>
        <v>712784.59693143296</v>
      </c>
      <c r="F86" s="19">
        <f>'F) Population'!K78</f>
        <v>175219.31589537224</v>
      </c>
      <c r="G86" s="14">
        <f>'G) Solidarité'!I75</f>
        <v>292415.6943040737</v>
      </c>
      <c r="H86" s="19">
        <f t="shared" si="4"/>
        <v>467635.01019944594</v>
      </c>
      <c r="I86" s="74">
        <f t="shared" si="5"/>
        <v>245149.58673198702</v>
      </c>
    </row>
    <row r="87" spans="1:9" x14ac:dyDescent="0.25">
      <c r="A87" s="61">
        <f>'A) Base RI'!A78</f>
        <v>5515</v>
      </c>
      <c r="B87" s="13" t="str">
        <f>'A) Base RI'!B78</f>
        <v>Bretigny-sur-Morrens</v>
      </c>
      <c r="C87" s="14">
        <f>'D) Ecrêtage'!M76</f>
        <v>24345.34643835617</v>
      </c>
      <c r="D87" s="19">
        <f>'A) Base RI'!AN78</f>
        <v>797</v>
      </c>
      <c r="E87" s="14">
        <f t="shared" si="3"/>
        <v>452529.07817490399</v>
      </c>
      <c r="F87" s="19">
        <f>'F) Population'!K79</f>
        <v>78898.189134808854</v>
      </c>
      <c r="G87" s="14">
        <f>'G) Solidarité'!I76</f>
        <v>228773.91965250488</v>
      </c>
      <c r="H87" s="19">
        <f t="shared" si="4"/>
        <v>307672.10878731374</v>
      </c>
      <c r="I87" s="74">
        <f t="shared" si="5"/>
        <v>144856.96938759024</v>
      </c>
    </row>
    <row r="88" spans="1:9" x14ac:dyDescent="0.25">
      <c r="A88" s="61">
        <f>'A) Base RI'!A79</f>
        <v>5516</v>
      </c>
      <c r="B88" s="13" t="str">
        <f>'A) Base RI'!B79</f>
        <v>Cugy</v>
      </c>
      <c r="C88" s="14">
        <f>'D) Ecrêtage'!M77</f>
        <v>104935.17701492537</v>
      </c>
      <c r="D88" s="19">
        <f>'A) Base RI'!AN79</f>
        <v>2755</v>
      </c>
      <c r="E88" s="14">
        <f t="shared" si="3"/>
        <v>1950525.4954133602</v>
      </c>
      <c r="F88" s="19">
        <f>'F) Population'!K80</f>
        <v>707064.38631790737</v>
      </c>
      <c r="G88" s="14">
        <f>'G) Solidarité'!I77</f>
        <v>295215.65730519191</v>
      </c>
      <c r="H88" s="19">
        <f t="shared" si="4"/>
        <v>1002280.0436230993</v>
      </c>
      <c r="I88" s="74">
        <f t="shared" si="5"/>
        <v>948245.45179026085</v>
      </c>
    </row>
    <row r="89" spans="1:9" x14ac:dyDescent="0.25">
      <c r="A89" s="61">
        <f>'A) Base RI'!A80</f>
        <v>5518</v>
      </c>
      <c r="B89" s="13" t="str">
        <f>'A) Base RI'!B80</f>
        <v>Echallens</v>
      </c>
      <c r="C89" s="14">
        <f>'D) Ecrêtage'!M78</f>
        <v>181423.1631081081</v>
      </c>
      <c r="D89" s="19">
        <f>'A) Base RI'!AN80</f>
        <v>5606</v>
      </c>
      <c r="E89" s="14">
        <f t="shared" si="3"/>
        <v>3372277.2016725042</v>
      </c>
      <c r="F89" s="19">
        <f>'F) Population'!K81</f>
        <v>2141833.4004024146</v>
      </c>
      <c r="G89" s="14">
        <f>'G) Solidarité'!I78</f>
        <v>1431863.446453227</v>
      </c>
      <c r="H89" s="19">
        <f t="shared" si="4"/>
        <v>3573696.8468556413</v>
      </c>
      <c r="I89" s="74">
        <f t="shared" si="5"/>
        <v>-201419.64518313715</v>
      </c>
    </row>
    <row r="90" spans="1:9" x14ac:dyDescent="0.25">
      <c r="A90" s="61">
        <f>'A) Base RI'!A81</f>
        <v>5520</v>
      </c>
      <c r="B90" s="13" t="str">
        <f>'A) Base RI'!B81</f>
        <v>Essertines-sur-Yverdon</v>
      </c>
      <c r="C90" s="14">
        <f>'D) Ecrêtage'!M79</f>
        <v>28021.579589041095</v>
      </c>
      <c r="D90" s="19">
        <f>'A) Base RI'!AN81</f>
        <v>945</v>
      </c>
      <c r="E90" s="14">
        <f t="shared" si="3"/>
        <v>520862.56453739264</v>
      </c>
      <c r="F90" s="19">
        <f>'F) Population'!K82</f>
        <v>93549.295774647879</v>
      </c>
      <c r="G90" s="14">
        <f>'G) Solidarité'!I79</f>
        <v>289154.2128555706</v>
      </c>
      <c r="H90" s="19">
        <f t="shared" si="4"/>
        <v>382703.50863021845</v>
      </c>
      <c r="I90" s="74">
        <f t="shared" si="5"/>
        <v>138159.05590717419</v>
      </c>
    </row>
    <row r="91" spans="1:9" x14ac:dyDescent="0.25">
      <c r="A91" s="61">
        <f>'A) Base RI'!A82</f>
        <v>5521</v>
      </c>
      <c r="B91" s="13" t="str">
        <f>'A) Base RI'!B82</f>
        <v>Etagnières</v>
      </c>
      <c r="C91" s="14">
        <f>'D) Ecrêtage'!M80</f>
        <v>40532.749863013705</v>
      </c>
      <c r="D91" s="19">
        <f>'A) Base RI'!AN82</f>
        <v>1146</v>
      </c>
      <c r="E91" s="14">
        <f t="shared" si="3"/>
        <v>753419.05599278258</v>
      </c>
      <c r="F91" s="19">
        <f>'F) Population'!K83</f>
        <v>149579.87927565392</v>
      </c>
      <c r="G91" s="14">
        <f>'G) Solidarité'!I80</f>
        <v>211836.43650650326</v>
      </c>
      <c r="H91" s="19">
        <f t="shared" si="4"/>
        <v>361416.31578215718</v>
      </c>
      <c r="I91" s="74">
        <f t="shared" si="5"/>
        <v>392002.7402106254</v>
      </c>
    </row>
    <row r="92" spans="1:9" x14ac:dyDescent="0.25">
      <c r="A92" s="61">
        <f>'A) Base RI'!A83</f>
        <v>5522</v>
      </c>
      <c r="B92" s="13" t="str">
        <f>'A) Base RI'!B83</f>
        <v>Fey</v>
      </c>
      <c r="C92" s="14">
        <f>'D) Ecrêtage'!M81</f>
        <v>18218.5124</v>
      </c>
      <c r="D92" s="19">
        <f>'A) Base RI'!AN83</f>
        <v>635</v>
      </c>
      <c r="E92" s="14">
        <f t="shared" si="3"/>
        <v>338644.04612049263</v>
      </c>
      <c r="F92" s="19">
        <f>'F) Population'!K84</f>
        <v>62861.167002012065</v>
      </c>
      <c r="G92" s="14">
        <f>'G) Solidarité'!I81</f>
        <v>218754.02162584115</v>
      </c>
      <c r="H92" s="19">
        <f t="shared" si="4"/>
        <v>281615.18862785323</v>
      </c>
      <c r="I92" s="74">
        <f t="shared" si="5"/>
        <v>57028.857492639392</v>
      </c>
    </row>
    <row r="93" spans="1:9" x14ac:dyDescent="0.25">
      <c r="A93" s="61">
        <f>'A) Base RI'!A84</f>
        <v>5523</v>
      </c>
      <c r="B93" s="13" t="str">
        <f>'A) Base RI'!B84</f>
        <v>Froideville</v>
      </c>
      <c r="C93" s="14">
        <f>'D) Ecrêtage'!M82</f>
        <v>77819.657763157898</v>
      </c>
      <c r="D93" s="19">
        <f>'A) Base RI'!AN84</f>
        <v>2422</v>
      </c>
      <c r="E93" s="14">
        <f t="shared" si="3"/>
        <v>1446504.6977506131</v>
      </c>
      <c r="F93" s="19">
        <f>'F) Population'!K85</f>
        <v>591686.92152917502</v>
      </c>
      <c r="G93" s="14">
        <f>'G) Solidarité'!I82</f>
        <v>665414.16184806568</v>
      </c>
      <c r="H93" s="19">
        <f t="shared" si="4"/>
        <v>1257101.0833772407</v>
      </c>
      <c r="I93" s="74">
        <f t="shared" si="5"/>
        <v>189403.6143733724</v>
      </c>
    </row>
    <row r="94" spans="1:9" x14ac:dyDescent="0.25">
      <c r="A94" s="61">
        <f>'A) Base RI'!A85</f>
        <v>5527</v>
      </c>
      <c r="B94" s="13" t="str">
        <f>'A) Base RI'!B85</f>
        <v>Morrens</v>
      </c>
      <c r="C94" s="14">
        <f>'D) Ecrêtage'!M83</f>
        <v>36998.677183098589</v>
      </c>
      <c r="D94" s="19">
        <f>'A) Base RI'!AN85</f>
        <v>1055</v>
      </c>
      <c r="E94" s="14">
        <f t="shared" si="3"/>
        <v>687728.0354893551</v>
      </c>
      <c r="F94" s="19">
        <f>'F) Population'!K86</f>
        <v>118050.30181086519</v>
      </c>
      <c r="G94" s="14">
        <f>'G) Solidarité'!I83</f>
        <v>190800.23335758754</v>
      </c>
      <c r="H94" s="19">
        <f t="shared" si="4"/>
        <v>308850.53516845271</v>
      </c>
      <c r="I94" s="74">
        <f t="shared" si="5"/>
        <v>378877.50032090239</v>
      </c>
    </row>
    <row r="95" spans="1:9" x14ac:dyDescent="0.25">
      <c r="A95" s="61">
        <f>'A) Base RI'!A86</f>
        <v>5529</v>
      </c>
      <c r="B95" s="13" t="str">
        <f>'A) Base RI'!B86</f>
        <v>Oulens-sous-Echallens</v>
      </c>
      <c r="C95" s="14">
        <f>'D) Ecrêtage'!M84</f>
        <v>16830.940140845072</v>
      </c>
      <c r="D95" s="19">
        <f>'A) Base RI'!AN86</f>
        <v>532</v>
      </c>
      <c r="E95" s="14">
        <f t="shared" si="3"/>
        <v>312851.9795780686</v>
      </c>
      <c r="F95" s="19">
        <f>'F) Population'!K87</f>
        <v>52664.788732394365</v>
      </c>
      <c r="G95" s="14">
        <f>'G) Solidarité'!I84</f>
        <v>132821.15101327529</v>
      </c>
      <c r="H95" s="19">
        <f t="shared" si="4"/>
        <v>185485.93974566966</v>
      </c>
      <c r="I95" s="74">
        <f t="shared" si="5"/>
        <v>127366.03983239894</v>
      </c>
    </row>
    <row r="96" spans="1:9" x14ac:dyDescent="0.25">
      <c r="A96" s="61">
        <f>'A) Base RI'!A87</f>
        <v>5530</v>
      </c>
      <c r="B96" s="13" t="str">
        <f>'A) Base RI'!B87</f>
        <v>Pailly</v>
      </c>
      <c r="C96" s="14">
        <f>'D) Ecrêtage'!M85</f>
        <v>15988.116172043008</v>
      </c>
      <c r="D96" s="19">
        <f>'A) Base RI'!AN87</f>
        <v>533</v>
      </c>
      <c r="E96" s="14">
        <f t="shared" si="3"/>
        <v>297185.64455049176</v>
      </c>
      <c r="F96" s="19">
        <f>'F) Population'!K88</f>
        <v>52763.782696177055</v>
      </c>
      <c r="G96" s="14">
        <f>'G) Solidarité'!I85</f>
        <v>179436.57134767144</v>
      </c>
      <c r="H96" s="19">
        <f t="shared" si="4"/>
        <v>232200.35404384849</v>
      </c>
      <c r="I96" s="74">
        <f t="shared" si="5"/>
        <v>64985.290506643272</v>
      </c>
    </row>
    <row r="97" spans="1:9" x14ac:dyDescent="0.25">
      <c r="A97" s="61">
        <f>'A) Base RI'!A88</f>
        <v>5531</v>
      </c>
      <c r="B97" s="13" t="str">
        <f>'A) Base RI'!B88</f>
        <v>Penthéréaz</v>
      </c>
      <c r="C97" s="14">
        <f>'D) Ecrêtage'!M86</f>
        <v>11628.696923076923</v>
      </c>
      <c r="D97" s="19">
        <f>'A) Base RI'!AN88</f>
        <v>389</v>
      </c>
      <c r="E97" s="14">
        <f t="shared" si="3"/>
        <v>216153.15733131385</v>
      </c>
      <c r="F97" s="19">
        <f>'F) Population'!K89</f>
        <v>38508.651911468813</v>
      </c>
      <c r="G97" s="14">
        <f>'G) Solidarité'!I86</f>
        <v>133619.61314417998</v>
      </c>
      <c r="H97" s="19">
        <f t="shared" si="4"/>
        <v>172128.26505564881</v>
      </c>
      <c r="I97" s="74">
        <f t="shared" si="5"/>
        <v>44024.892275665043</v>
      </c>
    </row>
    <row r="98" spans="1:9" x14ac:dyDescent="0.25">
      <c r="A98" s="61">
        <f>'A) Base RI'!A89</f>
        <v>5533</v>
      </c>
      <c r="B98" s="13" t="str">
        <f>'A) Base RI'!B89</f>
        <v>Poliez-Pittet</v>
      </c>
      <c r="C98" s="14">
        <f>'D) Ecrêtage'!M87</f>
        <v>21286.915727699528</v>
      </c>
      <c r="D98" s="19">
        <f>'A) Base RI'!AN89</f>
        <v>815</v>
      </c>
      <c r="E98" s="14">
        <f t="shared" si="3"/>
        <v>395679.24719551299</v>
      </c>
      <c r="F98" s="19">
        <f>'F) Population'!K90</f>
        <v>80680.080482897378</v>
      </c>
      <c r="G98" s="14">
        <f>'G) Solidarité'!I87</f>
        <v>293626.76978305785</v>
      </c>
      <c r="H98" s="19">
        <f t="shared" si="4"/>
        <v>374306.8502659552</v>
      </c>
      <c r="I98" s="74">
        <f t="shared" si="5"/>
        <v>21372.396929557784</v>
      </c>
    </row>
    <row r="99" spans="1:9" x14ac:dyDescent="0.25">
      <c r="A99" s="61">
        <f>'A) Base RI'!A90</f>
        <v>5534</v>
      </c>
      <c r="B99" s="13" t="str">
        <f>'A) Base RI'!B90</f>
        <v>Rueyres</v>
      </c>
      <c r="C99" s="14">
        <f>'D) Ecrêtage'!M88</f>
        <v>8123.1504109589041</v>
      </c>
      <c r="D99" s="19">
        <f>'A) Base RI'!AN90</f>
        <v>265</v>
      </c>
      <c r="E99" s="14">
        <f t="shared" si="3"/>
        <v>150992.37863199334</v>
      </c>
      <c r="F99" s="19">
        <f>'F) Population'!K91</f>
        <v>26233.400402414485</v>
      </c>
      <c r="G99" s="14">
        <f>'G) Solidarité'!I88</f>
        <v>75464.815824796853</v>
      </c>
      <c r="H99" s="19">
        <f t="shared" si="4"/>
        <v>101698.21622721133</v>
      </c>
      <c r="I99" s="74">
        <f t="shared" si="5"/>
        <v>49294.162404782008</v>
      </c>
    </row>
    <row r="100" spans="1:9" x14ac:dyDescent="0.25">
      <c r="A100" s="61">
        <f>'A) Base RI'!A91</f>
        <v>5535</v>
      </c>
      <c r="B100" s="13" t="str">
        <f>'A) Base RI'!B91</f>
        <v>Saint-Barthélemy</v>
      </c>
      <c r="C100" s="14">
        <f>'D) Ecrêtage'!M89</f>
        <v>21652.779733333333</v>
      </c>
      <c r="D100" s="19">
        <f>'A) Base RI'!AN91</f>
        <v>782</v>
      </c>
      <c r="E100" s="14">
        <f t="shared" si="3"/>
        <v>402479.89394852024</v>
      </c>
      <c r="F100" s="19">
        <f>'F) Population'!K92</f>
        <v>77413.2796780684</v>
      </c>
      <c r="G100" s="14">
        <f>'G) Solidarité'!I89</f>
        <v>286914.12373916071</v>
      </c>
      <c r="H100" s="19">
        <f t="shared" si="4"/>
        <v>364327.40341722913</v>
      </c>
      <c r="I100" s="74">
        <f t="shared" si="5"/>
        <v>38152.490531291114</v>
      </c>
    </row>
    <row r="101" spans="1:9" x14ac:dyDescent="0.25">
      <c r="A101" s="61">
        <f>'A) Base RI'!A92</f>
        <v>5537</v>
      </c>
      <c r="B101" s="13" t="str">
        <f>'A) Base RI'!B92</f>
        <v>Villars-le-Terroir</v>
      </c>
      <c r="C101" s="14">
        <f>'D) Ecrêtage'!M90</f>
        <v>28181.728767123288</v>
      </c>
      <c r="D101" s="19">
        <f>'A) Base RI'!AN92</f>
        <v>1033</v>
      </c>
      <c r="E101" s="14">
        <f t="shared" si="3"/>
        <v>523839.40284657449</v>
      </c>
      <c r="F101" s="19">
        <f>'F) Population'!K93</f>
        <v>110427.76659959758</v>
      </c>
      <c r="G101" s="14">
        <f>'G) Solidarité'!I90</f>
        <v>367982.29808527097</v>
      </c>
      <c r="H101" s="19">
        <f t="shared" si="4"/>
        <v>478410.06468486856</v>
      </c>
      <c r="I101" s="74">
        <f t="shared" si="5"/>
        <v>45429.338161705935</v>
      </c>
    </row>
    <row r="102" spans="1:9" x14ac:dyDescent="0.25">
      <c r="A102" s="61">
        <f>'A) Base RI'!A93</f>
        <v>5539</v>
      </c>
      <c r="B102" s="13" t="str">
        <f>'A) Base RI'!B93</f>
        <v>Vuarrens</v>
      </c>
      <c r="C102" s="14">
        <f>'D) Ecrêtage'!M91</f>
        <v>22756.172933333331</v>
      </c>
      <c r="D102" s="19">
        <f>'A) Base RI'!AN93</f>
        <v>935</v>
      </c>
      <c r="E102" s="14">
        <f t="shared" si="3"/>
        <v>422989.66606964235</v>
      </c>
      <c r="F102" s="19">
        <f>'F) Population'!K94</f>
        <v>92559.356136820919</v>
      </c>
      <c r="G102" s="14">
        <f>'G) Solidarité'!I91</f>
        <v>413127.88526277983</v>
      </c>
      <c r="H102" s="19">
        <f t="shared" si="4"/>
        <v>505687.24139960075</v>
      </c>
      <c r="I102" s="74">
        <f t="shared" si="5"/>
        <v>-82697.575329958403</v>
      </c>
    </row>
    <row r="103" spans="1:9" x14ac:dyDescent="0.25">
      <c r="A103" s="61">
        <f>'A) Base RI'!A94</f>
        <v>5540</v>
      </c>
      <c r="B103" s="13" t="str">
        <f>'A) Base RI'!B94</f>
        <v>Montilliez</v>
      </c>
      <c r="C103" s="14">
        <f>'D) Ecrêtage'!M92</f>
        <v>47199.265101351346</v>
      </c>
      <c r="D103" s="19">
        <f>'A) Base RI'!AN94</f>
        <v>1656</v>
      </c>
      <c r="E103" s="14">
        <f t="shared" si="3"/>
        <v>877335.63294857065</v>
      </c>
      <c r="F103" s="19">
        <f>'F) Population'!K95</f>
        <v>326284.10462776659</v>
      </c>
      <c r="G103" s="14">
        <f>'G) Solidarité'!I92</f>
        <v>562172.29511223151</v>
      </c>
      <c r="H103" s="19">
        <f t="shared" si="4"/>
        <v>888456.39973999816</v>
      </c>
      <c r="I103" s="74">
        <f t="shared" si="5"/>
        <v>-11120.766791427508</v>
      </c>
    </row>
    <row r="104" spans="1:9" x14ac:dyDescent="0.25">
      <c r="A104" s="61">
        <f>'A) Base RI'!A95</f>
        <v>5541</v>
      </c>
      <c r="B104" s="13" t="str">
        <f>'A) Base RI'!B95</f>
        <v>Goumoëns</v>
      </c>
      <c r="C104" s="14">
        <f>'D) Ecrêtage'!M93</f>
        <v>35607.690389610398</v>
      </c>
      <c r="D104" s="19">
        <f>'A) Base RI'!AN95</f>
        <v>1055</v>
      </c>
      <c r="E104" s="14">
        <f t="shared" si="3"/>
        <v>661872.49989430781</v>
      </c>
      <c r="F104" s="19">
        <f>'F) Population'!K96</f>
        <v>118050.30181086519</v>
      </c>
      <c r="G104" s="14">
        <f>'G) Solidarité'!I93</f>
        <v>257205.38678686143</v>
      </c>
      <c r="H104" s="19">
        <f t="shared" si="4"/>
        <v>375255.68859772664</v>
      </c>
      <c r="I104" s="74">
        <f t="shared" si="5"/>
        <v>286616.81129658117</v>
      </c>
    </row>
    <row r="105" spans="1:9" x14ac:dyDescent="0.25">
      <c r="A105" s="61">
        <f>'A) Base RI'!A96</f>
        <v>5551</v>
      </c>
      <c r="B105" s="13" t="str">
        <f>'A) Base RI'!B96</f>
        <v>Bonvillars</v>
      </c>
      <c r="C105" s="14">
        <f>'D) Ecrêtage'!M94</f>
        <v>15988.430935064936</v>
      </c>
      <c r="D105" s="19">
        <f>'A) Base RI'!AN96</f>
        <v>506</v>
      </c>
      <c r="E105" s="14">
        <f t="shared" si="3"/>
        <v>297191.49533682241</v>
      </c>
      <c r="F105" s="19">
        <f>'F) Population'!K97</f>
        <v>50090.945674044262</v>
      </c>
      <c r="G105" s="14">
        <f>'G) Solidarité'!I94</f>
        <v>76047.867997719484</v>
      </c>
      <c r="H105" s="19">
        <f t="shared" si="4"/>
        <v>126138.81367176375</v>
      </c>
      <c r="I105" s="74">
        <f t="shared" si="5"/>
        <v>171052.68166505866</v>
      </c>
    </row>
    <row r="106" spans="1:9" x14ac:dyDescent="0.25">
      <c r="A106" s="61">
        <f>'A) Base RI'!A97</f>
        <v>5552</v>
      </c>
      <c r="B106" s="13" t="str">
        <f>'A) Base RI'!B97</f>
        <v>Bullet</v>
      </c>
      <c r="C106" s="14">
        <f>'D) Ecrêtage'!M95</f>
        <v>15525.607571428574</v>
      </c>
      <c r="D106" s="19">
        <f>'A) Base RI'!AN97</f>
        <v>606</v>
      </c>
      <c r="E106" s="14">
        <f t="shared" si="3"/>
        <v>288588.5768844402</v>
      </c>
      <c r="F106" s="19">
        <f>'F) Population'!K98</f>
        <v>59990.342052313878</v>
      </c>
      <c r="G106" s="14">
        <f>'G) Solidarité'!I95</f>
        <v>218115.0787345877</v>
      </c>
      <c r="H106" s="19">
        <f t="shared" si="4"/>
        <v>278105.42078690161</v>
      </c>
      <c r="I106" s="74">
        <f t="shared" si="5"/>
        <v>10483.156097538595</v>
      </c>
    </row>
    <row r="107" spans="1:9" x14ac:dyDescent="0.25">
      <c r="A107" s="61">
        <f>'A) Base RI'!A98</f>
        <v>5553</v>
      </c>
      <c r="B107" s="13" t="str">
        <f>'A) Base RI'!B98</f>
        <v>Champagne</v>
      </c>
      <c r="C107" s="14">
        <f>'D) Ecrêtage'!M96</f>
        <v>43429.608412698406</v>
      </c>
      <c r="D107" s="19">
        <f>'A) Base RI'!AN98</f>
        <v>1048</v>
      </c>
      <c r="E107" s="14">
        <f t="shared" si="3"/>
        <v>807265.59838687896</v>
      </c>
      <c r="F107" s="19">
        <f>'F) Population'!K99</f>
        <v>115624.94969818913</v>
      </c>
      <c r="G107" s="14">
        <f>'G) Solidarité'!I96</f>
        <v>43857.12632073804</v>
      </c>
      <c r="H107" s="19">
        <f t="shared" si="4"/>
        <v>159482.07601892715</v>
      </c>
      <c r="I107" s="74">
        <f t="shared" si="5"/>
        <v>647783.52236795181</v>
      </c>
    </row>
    <row r="108" spans="1:9" x14ac:dyDescent="0.25">
      <c r="A108" s="61">
        <f>'A) Base RI'!A99</f>
        <v>5554</v>
      </c>
      <c r="B108" s="13" t="str">
        <f>'A) Base RI'!B99</f>
        <v>Concise</v>
      </c>
      <c r="C108" s="14">
        <f>'D) Ecrêtage'!M97</f>
        <v>29691.100933333331</v>
      </c>
      <c r="D108" s="19">
        <f>'A) Base RI'!AN99</f>
        <v>954</v>
      </c>
      <c r="E108" s="14">
        <f t="shared" si="3"/>
        <v>551895.47494755581</v>
      </c>
      <c r="F108" s="19">
        <f>'F) Population'!K100</f>
        <v>94440.241448692148</v>
      </c>
      <c r="G108" s="14">
        <f>'G) Solidarité'!I97</f>
        <v>276748.12834459078</v>
      </c>
      <c r="H108" s="19">
        <f t="shared" si="4"/>
        <v>371188.36979328294</v>
      </c>
      <c r="I108" s="74">
        <f t="shared" si="5"/>
        <v>180707.10515427287</v>
      </c>
    </row>
    <row r="109" spans="1:9" x14ac:dyDescent="0.25">
      <c r="A109" s="61">
        <f>'A) Base RI'!A100</f>
        <v>5555</v>
      </c>
      <c r="B109" s="13" t="str">
        <f>'A) Base RI'!B100</f>
        <v>Corcelles-près-Concise</v>
      </c>
      <c r="C109" s="14">
        <f>'D) Ecrêtage'!M98</f>
        <v>9762.6867605633779</v>
      </c>
      <c r="D109" s="19">
        <f>'A) Base RI'!AN100</f>
        <v>337</v>
      </c>
      <c r="E109" s="14">
        <f t="shared" si="3"/>
        <v>181467.93069691834</v>
      </c>
      <c r="F109" s="19">
        <f>'F) Population'!K101</f>
        <v>33360.965794768606</v>
      </c>
      <c r="G109" s="14">
        <f>'G) Solidarité'!I98</f>
        <v>102157.89285934971</v>
      </c>
      <c r="H109" s="19">
        <f t="shared" si="4"/>
        <v>135518.85865411832</v>
      </c>
      <c r="I109" s="74">
        <f t="shared" si="5"/>
        <v>45949.07204280002</v>
      </c>
    </row>
    <row r="110" spans="1:9" x14ac:dyDescent="0.25">
      <c r="A110" s="61">
        <f>'A) Base RI'!A101</f>
        <v>5556</v>
      </c>
      <c r="B110" s="13" t="str">
        <f>'A) Base RI'!B101</f>
        <v>Fiez</v>
      </c>
      <c r="C110" s="14">
        <f>'D) Ecrêtage'!M99</f>
        <v>10799.932053140095</v>
      </c>
      <c r="D110" s="19">
        <f>'A) Base RI'!AN101</f>
        <v>421</v>
      </c>
      <c r="E110" s="14">
        <f t="shared" si="3"/>
        <v>200748.15155060415</v>
      </c>
      <c r="F110" s="19">
        <f>'F) Population'!K102</f>
        <v>41676.458752515086</v>
      </c>
      <c r="G110" s="14">
        <f>'G) Solidarité'!I99</f>
        <v>146965.46075594396</v>
      </c>
      <c r="H110" s="19">
        <f t="shared" si="4"/>
        <v>188641.91950845905</v>
      </c>
      <c r="I110" s="74">
        <f t="shared" si="5"/>
        <v>12106.2320421451</v>
      </c>
    </row>
    <row r="111" spans="1:9" x14ac:dyDescent="0.25">
      <c r="A111" s="61">
        <f>'A) Base RI'!A102</f>
        <v>5557</v>
      </c>
      <c r="B111" s="13" t="str">
        <f>'A) Base RI'!B102</f>
        <v>Fontaines-sur-Grandson</v>
      </c>
      <c r="C111" s="14">
        <f>'D) Ecrêtage'!M100</f>
        <v>4200.6523188405799</v>
      </c>
      <c r="D111" s="19">
        <f>'A) Base RI'!AN102</f>
        <v>191</v>
      </c>
      <c r="E111" s="14">
        <f t="shared" si="3"/>
        <v>78081.342008890017</v>
      </c>
      <c r="F111" s="19">
        <f>'F) Population'!K103</f>
        <v>18907.847082494969</v>
      </c>
      <c r="G111" s="14">
        <f>'G) Solidarité'!I100</f>
        <v>79910.513581598352</v>
      </c>
      <c r="H111" s="19">
        <f t="shared" si="4"/>
        <v>98818.360664093314</v>
      </c>
      <c r="I111" s="74">
        <f t="shared" si="5"/>
        <v>-20737.018655203297</v>
      </c>
    </row>
    <row r="112" spans="1:9" x14ac:dyDescent="0.25">
      <c r="A112" s="61">
        <f>'A) Base RI'!A103</f>
        <v>5559</v>
      </c>
      <c r="B112" s="13" t="str">
        <f>'A) Base RI'!B103</f>
        <v>Giez</v>
      </c>
      <c r="C112" s="14">
        <f>'D) Ecrêtage'!M101</f>
        <v>17998.483636363639</v>
      </c>
      <c r="D112" s="19">
        <f>'A) Base RI'!AN103</f>
        <v>389</v>
      </c>
      <c r="E112" s="14">
        <f t="shared" si="3"/>
        <v>334554.17153881676</v>
      </c>
      <c r="F112" s="19">
        <f>'F) Population'!K104</f>
        <v>38508.651911468813</v>
      </c>
      <c r="G112" s="14">
        <f>'G) Solidarité'!I101</f>
        <v>0</v>
      </c>
      <c r="H112" s="19">
        <f t="shared" si="4"/>
        <v>38508.651911468813</v>
      </c>
      <c r="I112" s="74">
        <f t="shared" si="5"/>
        <v>296045.51962734794</v>
      </c>
    </row>
    <row r="113" spans="1:9" x14ac:dyDescent="0.25">
      <c r="A113" s="61">
        <f>'A) Base RI'!A104</f>
        <v>5560</v>
      </c>
      <c r="B113" s="13" t="str">
        <f>'A) Base RI'!B104</f>
        <v>Grandevent</v>
      </c>
      <c r="C113" s="14">
        <f>'D) Ecrêtage'!M102</f>
        <v>6396.1444117647052</v>
      </c>
      <c r="D113" s="19">
        <f>'A) Base RI'!AN104</f>
        <v>232</v>
      </c>
      <c r="E113" s="14">
        <f t="shared" si="3"/>
        <v>118890.94870177095</v>
      </c>
      <c r="F113" s="19">
        <f>'F) Population'!K105</f>
        <v>22966.599597585511</v>
      </c>
      <c r="G113" s="14">
        <f>'G) Solidarité'!I102</f>
        <v>70481.964430640335</v>
      </c>
      <c r="H113" s="19">
        <f t="shared" si="4"/>
        <v>93448.564028225839</v>
      </c>
      <c r="I113" s="74">
        <f t="shared" si="5"/>
        <v>25442.384673545108</v>
      </c>
    </row>
    <row r="114" spans="1:9" x14ac:dyDescent="0.25">
      <c r="A114" s="61">
        <f>'A) Base RI'!A105</f>
        <v>5561</v>
      </c>
      <c r="B114" s="13" t="str">
        <f>'A) Base RI'!B105</f>
        <v>Grandson</v>
      </c>
      <c r="C114" s="14">
        <f>'D) Ecrêtage'!M103</f>
        <v>106507.86840579711</v>
      </c>
      <c r="D114" s="19">
        <f>'A) Base RI'!AN105</f>
        <v>3303</v>
      </c>
      <c r="E114" s="14">
        <f t="shared" si="3"/>
        <v>1979758.5394847121</v>
      </c>
      <c r="F114" s="19">
        <f>'F) Population'!K106</f>
        <v>941927.56539235404</v>
      </c>
      <c r="G114" s="14">
        <f>'G) Solidarité'!I103</f>
        <v>740772.40756233362</v>
      </c>
      <c r="H114" s="19">
        <f t="shared" si="4"/>
        <v>1682699.9729546877</v>
      </c>
      <c r="I114" s="74">
        <f t="shared" si="5"/>
        <v>297058.5665300244</v>
      </c>
    </row>
    <row r="115" spans="1:9" x14ac:dyDescent="0.25">
      <c r="A115" s="61">
        <f>'A) Base RI'!A106</f>
        <v>5562</v>
      </c>
      <c r="B115" s="13" t="str">
        <f>'A) Base RI'!B106</f>
        <v>Mauborget</v>
      </c>
      <c r="C115" s="14">
        <f>'D) Ecrêtage'!M104</f>
        <v>3916.9319285714282</v>
      </c>
      <c r="D115" s="19">
        <f>'A) Base RI'!AN106</f>
        <v>119</v>
      </c>
      <c r="E115" s="14">
        <f t="shared" si="3"/>
        <v>72807.573282985104</v>
      </c>
      <c r="F115" s="19">
        <f>'F) Population'!K107</f>
        <v>11780.281690140844</v>
      </c>
      <c r="G115" s="14">
        <f>'G) Solidarité'!I104</f>
        <v>25915.039803831849</v>
      </c>
      <c r="H115" s="19">
        <f t="shared" si="4"/>
        <v>37695.321493972689</v>
      </c>
      <c r="I115" s="74">
        <f t="shared" si="5"/>
        <v>35112.251789012415</v>
      </c>
    </row>
    <row r="116" spans="1:9" x14ac:dyDescent="0.25">
      <c r="A116" s="61">
        <f>'A) Base RI'!A107</f>
        <v>5563</v>
      </c>
      <c r="B116" s="13" t="str">
        <f>'A) Base RI'!B107</f>
        <v>Mutrux</v>
      </c>
      <c r="C116" s="14">
        <f>'D) Ecrêtage'!M105</f>
        <v>4102.2142675159239</v>
      </c>
      <c r="D116" s="19">
        <f>'A) Base RI'!AN107</f>
        <v>153</v>
      </c>
      <c r="E116" s="14">
        <f t="shared" si="3"/>
        <v>76251.584492969108</v>
      </c>
      <c r="F116" s="19">
        <f>'F) Population'!K108</f>
        <v>15146.076458752514</v>
      </c>
      <c r="G116" s="14">
        <f>'G) Solidarité'!I105</f>
        <v>64785.345400912032</v>
      </c>
      <c r="H116" s="19">
        <f t="shared" si="4"/>
        <v>79931.421859664551</v>
      </c>
      <c r="I116" s="74">
        <f t="shared" si="5"/>
        <v>-3679.8373666954431</v>
      </c>
    </row>
    <row r="117" spans="1:9" x14ac:dyDescent="0.25">
      <c r="A117" s="61">
        <f>'A) Base RI'!A108</f>
        <v>5564</v>
      </c>
      <c r="B117" s="13" t="str">
        <f>'A) Base RI'!B108</f>
        <v>Novalles</v>
      </c>
      <c r="C117" s="14">
        <f>'D) Ecrêtage'!M106</f>
        <v>2120.1975328947365</v>
      </c>
      <c r="D117" s="19">
        <f>'A) Base RI'!AN108</f>
        <v>102</v>
      </c>
      <c r="E117" s="14">
        <f t="shared" si="3"/>
        <v>39410.03828139996</v>
      </c>
      <c r="F117" s="19">
        <f>'F) Population'!K109</f>
        <v>10097.384305835008</v>
      </c>
      <c r="G117" s="14">
        <f>'G) Solidarité'!I106</f>
        <v>54599.55112780018</v>
      </c>
      <c r="H117" s="19">
        <f t="shared" si="4"/>
        <v>64696.93543363519</v>
      </c>
      <c r="I117" s="74">
        <f t="shared" si="5"/>
        <v>-25286.897152235229</v>
      </c>
    </row>
    <row r="118" spans="1:9" x14ac:dyDescent="0.25">
      <c r="A118" s="61">
        <f>'A) Base RI'!A109</f>
        <v>5565</v>
      </c>
      <c r="B118" s="13" t="str">
        <f>'A) Base RI'!B109</f>
        <v>Onnens</v>
      </c>
      <c r="C118" s="14">
        <f>'D) Ecrêtage'!M107</f>
        <v>19222.665538461537</v>
      </c>
      <c r="D118" s="19">
        <f>'A) Base RI'!AN109</f>
        <v>493</v>
      </c>
      <c r="E118" s="14">
        <f t="shared" si="3"/>
        <v>357309.15303302003</v>
      </c>
      <c r="F118" s="19">
        <f>'F) Population'!K110</f>
        <v>48804.02414486921</v>
      </c>
      <c r="G118" s="14">
        <f>'G) Solidarité'!I107</f>
        <v>42248.450314594164</v>
      </c>
      <c r="H118" s="19">
        <f t="shared" si="4"/>
        <v>91052.474459463381</v>
      </c>
      <c r="I118" s="74">
        <f t="shared" si="5"/>
        <v>266256.67857355665</v>
      </c>
    </row>
    <row r="119" spans="1:9" x14ac:dyDescent="0.25">
      <c r="A119" s="61">
        <f>'A) Base RI'!A110</f>
        <v>5566</v>
      </c>
      <c r="B119" s="13" t="str">
        <f>'A) Base RI'!B110</f>
        <v>Provence</v>
      </c>
      <c r="C119" s="14">
        <f>'D) Ecrêtage'!M108</f>
        <v>7814.1319753086409</v>
      </c>
      <c r="D119" s="19">
        <f>'A) Base RI'!AN110</f>
        <v>385</v>
      </c>
      <c r="E119" s="14">
        <f t="shared" si="3"/>
        <v>145248.3721468958</v>
      </c>
      <c r="F119" s="19">
        <f>'F) Population'!K111</f>
        <v>38112.676056338023</v>
      </c>
      <c r="G119" s="14">
        <f>'G) Solidarité'!I108</f>
        <v>239015.02823880382</v>
      </c>
      <c r="H119" s="19">
        <f t="shared" si="4"/>
        <v>277127.70429514186</v>
      </c>
      <c r="I119" s="74">
        <f t="shared" si="5"/>
        <v>-131879.33214824606</v>
      </c>
    </row>
    <row r="120" spans="1:9" x14ac:dyDescent="0.25">
      <c r="A120" s="61">
        <f>'A) Base RI'!A111</f>
        <v>5568</v>
      </c>
      <c r="B120" s="13" t="str">
        <f>'A) Base RI'!B111</f>
        <v>Sainte-Croix</v>
      </c>
      <c r="C120" s="14">
        <f>'D) Ecrêtage'!M109</f>
        <v>93435.029714285716</v>
      </c>
      <c r="D120" s="19">
        <f>'A) Base RI'!AN111</f>
        <v>4763</v>
      </c>
      <c r="E120" s="14">
        <f t="shared" si="3"/>
        <v>1736761.8067342408</v>
      </c>
      <c r="F120" s="19">
        <f>'F) Population'!K112</f>
        <v>1664583.5010060361</v>
      </c>
      <c r="G120" s="14">
        <f>'G) Solidarité'!I109</f>
        <v>2271437.2840622789</v>
      </c>
      <c r="H120" s="19">
        <f t="shared" si="4"/>
        <v>3936020.785068315</v>
      </c>
      <c r="I120" s="74">
        <f t="shared" si="5"/>
        <v>-2199258.9783340739</v>
      </c>
    </row>
    <row r="121" spans="1:9" x14ac:dyDescent="0.25">
      <c r="A121" s="61">
        <f>'A) Base RI'!A112</f>
        <v>5571</v>
      </c>
      <c r="B121" s="13" t="str">
        <f>'A) Base RI'!B112</f>
        <v>Tévenon</v>
      </c>
      <c r="C121" s="14">
        <f>'D) Ecrêtage'!M110</f>
        <v>20766.182465753427</v>
      </c>
      <c r="D121" s="19">
        <f>'A) Base RI'!AN112</f>
        <v>811</v>
      </c>
      <c r="E121" s="14">
        <f t="shared" si="3"/>
        <v>385999.90483740973</v>
      </c>
      <c r="F121" s="19">
        <f>'F) Population'!K113</f>
        <v>80284.104627766588</v>
      </c>
      <c r="G121" s="14">
        <f>'G) Solidarité'!I110</f>
        <v>317699.43362096249</v>
      </c>
      <c r="H121" s="19">
        <f t="shared" si="4"/>
        <v>397983.53824872908</v>
      </c>
      <c r="I121" s="74">
        <f t="shared" si="5"/>
        <v>-11983.633411319344</v>
      </c>
    </row>
    <row r="122" spans="1:9" x14ac:dyDescent="0.25">
      <c r="A122" s="61">
        <f>'A) Base RI'!A113</f>
        <v>5581</v>
      </c>
      <c r="B122" s="13" t="str">
        <f>'A) Base RI'!B113</f>
        <v>Belmont-sur-Lausanne</v>
      </c>
      <c r="C122" s="14">
        <f>'D) Ecrêtage'!M111</f>
        <v>173034.35179856114</v>
      </c>
      <c r="D122" s="19">
        <f>'A) Base RI'!AN113</f>
        <v>3602</v>
      </c>
      <c r="E122" s="14">
        <f t="shared" si="3"/>
        <v>3216346.7424981133</v>
      </c>
      <c r="F122" s="19">
        <f>'F) Population'!K114</f>
        <v>1089923.5412474847</v>
      </c>
      <c r="G122" s="14">
        <f>'G) Solidarité'!I111</f>
        <v>0</v>
      </c>
      <c r="H122" s="19">
        <f t="shared" si="4"/>
        <v>1089923.5412474847</v>
      </c>
      <c r="I122" s="74">
        <f t="shared" si="5"/>
        <v>2126423.2012506286</v>
      </c>
    </row>
    <row r="123" spans="1:9" x14ac:dyDescent="0.25">
      <c r="A123" s="61">
        <f>'A) Base RI'!A114</f>
        <v>5582</v>
      </c>
      <c r="B123" s="13" t="str">
        <f>'A) Base RI'!B114</f>
        <v>Cheseaux-sur-Lausanne</v>
      </c>
      <c r="C123" s="14">
        <f>'D) Ecrêtage'!M112</f>
        <v>165346.44872483221</v>
      </c>
      <c r="D123" s="19">
        <f>'A) Base RI'!AN114</f>
        <v>4297</v>
      </c>
      <c r="E123" s="14">
        <f t="shared" si="3"/>
        <v>3073444.7016558689</v>
      </c>
      <c r="F123" s="19">
        <f>'F) Population'!K115</f>
        <v>1433927.565392354</v>
      </c>
      <c r="G123" s="14">
        <f>'G) Solidarité'!I112</f>
        <v>532271.25611858559</v>
      </c>
      <c r="H123" s="19">
        <f t="shared" si="4"/>
        <v>1966198.8215109396</v>
      </c>
      <c r="I123" s="74">
        <f t="shared" si="5"/>
        <v>1107245.8801449293</v>
      </c>
    </row>
    <row r="124" spans="1:9" x14ac:dyDescent="0.25">
      <c r="A124" s="61">
        <f>'A) Base RI'!A115</f>
        <v>5583</v>
      </c>
      <c r="B124" s="13" t="str">
        <f>'A) Base RI'!B115</f>
        <v>Crissier</v>
      </c>
      <c r="C124" s="14">
        <f>'D) Ecrêtage'!M113</f>
        <v>323925.7196923077</v>
      </c>
      <c r="D124" s="19">
        <f>'A) Base RI'!AN115</f>
        <v>7542</v>
      </c>
      <c r="E124" s="14">
        <f t="shared" si="3"/>
        <v>6021101.7206374994</v>
      </c>
      <c r="F124" s="19">
        <f>'F) Population'!K116</f>
        <v>3291747.2837022133</v>
      </c>
      <c r="G124" s="14">
        <f>'G) Solidarité'!I113</f>
        <v>144758.20630562364</v>
      </c>
      <c r="H124" s="19">
        <f t="shared" si="4"/>
        <v>3436505.4900078368</v>
      </c>
      <c r="I124" s="74">
        <f t="shared" si="5"/>
        <v>2584596.2306296625</v>
      </c>
    </row>
    <row r="125" spans="1:9" x14ac:dyDescent="0.25">
      <c r="A125" s="61">
        <f>'A) Base RI'!A116</f>
        <v>5584</v>
      </c>
      <c r="B125" s="13" t="str">
        <f>'A) Base RI'!B116</f>
        <v>Epalinges</v>
      </c>
      <c r="C125" s="14">
        <f>'D) Ecrêtage'!M114</f>
        <v>455923.60696969699</v>
      </c>
      <c r="D125" s="19">
        <f>'A) Base RI'!AN116</f>
        <v>9185</v>
      </c>
      <c r="E125" s="14">
        <f t="shared" si="3"/>
        <v>8474666.4050390534</v>
      </c>
      <c r="F125" s="19">
        <f>'F) Population'!K117</f>
        <v>4313414.4869215293</v>
      </c>
      <c r="G125" s="14">
        <f>'G) Solidarité'!I114</f>
        <v>0</v>
      </c>
      <c r="H125" s="19">
        <f t="shared" si="4"/>
        <v>4313414.4869215293</v>
      </c>
      <c r="I125" s="74">
        <f t="shared" si="5"/>
        <v>4161251.9181175241</v>
      </c>
    </row>
    <row r="126" spans="1:9" x14ac:dyDescent="0.25">
      <c r="A126" s="61">
        <f>'A) Base RI'!A117</f>
        <v>5585</v>
      </c>
      <c r="B126" s="13" t="str">
        <f>'A) Base RI'!B117</f>
        <v>Jouxtens-Mézery</v>
      </c>
      <c r="C126" s="14">
        <f>'D) Ecrêtage'!M115</f>
        <v>133687.63661736436</v>
      </c>
      <c r="D126" s="19">
        <f>'A) Base RI'!AN117</f>
        <v>1405</v>
      </c>
      <c r="E126" s="14">
        <f t="shared" si="3"/>
        <v>2484973.5909497417</v>
      </c>
      <c r="F126" s="19">
        <f>'F) Population'!K118</f>
        <v>239317.907444668</v>
      </c>
      <c r="G126" s="14">
        <f>'G) Solidarité'!I115</f>
        <v>0</v>
      </c>
      <c r="H126" s="19">
        <f t="shared" si="4"/>
        <v>239317.907444668</v>
      </c>
      <c r="I126" s="74">
        <f t="shared" si="5"/>
        <v>2245655.6835050737</v>
      </c>
    </row>
    <row r="127" spans="1:9" x14ac:dyDescent="0.25">
      <c r="A127" s="61">
        <f>'A) Base RI'!A118</f>
        <v>5586</v>
      </c>
      <c r="B127" s="13" t="str">
        <f>'A) Base RI'!B118</f>
        <v>Lausanne</v>
      </c>
      <c r="C127" s="14">
        <f>'D) Ecrêtage'!M116</f>
        <v>5897479.10464135</v>
      </c>
      <c r="D127" s="19">
        <f>'A) Base RI'!AN118</f>
        <v>134937</v>
      </c>
      <c r="E127" s="14">
        <f t="shared" si="3"/>
        <v>109621803.47429502</v>
      </c>
      <c r="F127" s="19">
        <f>'F) Population'!K119</f>
        <v>134318821.32796782</v>
      </c>
      <c r="G127" s="14">
        <f>'G) Solidarité'!I116</f>
        <v>1294586.6185394875</v>
      </c>
      <c r="H127" s="19">
        <f t="shared" si="4"/>
        <v>135613407.9465073</v>
      </c>
      <c r="I127" s="74">
        <f t="shared" si="5"/>
        <v>-25991604.472212285</v>
      </c>
    </row>
    <row r="128" spans="1:9" x14ac:dyDescent="0.25">
      <c r="A128" s="61">
        <f>'A) Base RI'!A119</f>
        <v>5587</v>
      </c>
      <c r="B128" s="13" t="str">
        <f>'A) Base RI'!B119</f>
        <v>Le Mont-sur-Lausanne</v>
      </c>
      <c r="C128" s="14">
        <f>'D) Ecrêtage'!M117</f>
        <v>380449.00348888891</v>
      </c>
      <c r="D128" s="19">
        <f>'A) Base RI'!AN119</f>
        <v>7271</v>
      </c>
      <c r="E128" s="14">
        <f t="shared" si="3"/>
        <v>7071751.3623113791</v>
      </c>
      <c r="F128" s="19">
        <f>'F) Population'!K120</f>
        <v>3130783.0985915493</v>
      </c>
      <c r="G128" s="14">
        <f>'G) Solidarité'!I117</f>
        <v>0</v>
      </c>
      <c r="H128" s="19">
        <f t="shared" si="4"/>
        <v>3130783.0985915493</v>
      </c>
      <c r="I128" s="74">
        <f t="shared" si="5"/>
        <v>3940968.2637198297</v>
      </c>
    </row>
    <row r="129" spans="1:9" x14ac:dyDescent="0.25">
      <c r="A129" s="61">
        <f>'A) Base RI'!A120</f>
        <v>5588</v>
      </c>
      <c r="B129" s="13" t="str">
        <f>'A) Base RI'!B120</f>
        <v>Paudex</v>
      </c>
      <c r="C129" s="14">
        <f>'D) Ecrêtage'!M118</f>
        <v>131472.52830411893</v>
      </c>
      <c r="D129" s="19">
        <f>'A) Base RI'!AN120</f>
        <v>1485</v>
      </c>
      <c r="E129" s="14">
        <f t="shared" si="3"/>
        <v>2443799.3597434345</v>
      </c>
      <c r="F129" s="19">
        <f>'F) Population'!K121</f>
        <v>267036.21730382292</v>
      </c>
      <c r="G129" s="14">
        <f>'G) Solidarité'!I118</f>
        <v>0</v>
      </c>
      <c r="H129" s="19">
        <f t="shared" si="4"/>
        <v>267036.21730382292</v>
      </c>
      <c r="I129" s="74">
        <f t="shared" si="5"/>
        <v>2176763.1424396117</v>
      </c>
    </row>
    <row r="130" spans="1:9" x14ac:dyDescent="0.25">
      <c r="A130" s="61">
        <f>'A) Base RI'!A121</f>
        <v>5589</v>
      </c>
      <c r="B130" s="13" t="str">
        <f>'A) Base RI'!B121</f>
        <v>Prilly</v>
      </c>
      <c r="C130" s="14">
        <f>'D) Ecrêtage'!M119</f>
        <v>462414.97306122456</v>
      </c>
      <c r="D130" s="19">
        <f>'A) Base RI'!AN121</f>
        <v>11782</v>
      </c>
      <c r="E130" s="14">
        <f t="shared" si="3"/>
        <v>8595327.3256356362</v>
      </c>
      <c r="F130" s="19">
        <f>'F) Population'!K122</f>
        <v>6498656.740442656</v>
      </c>
      <c r="G130" s="14">
        <f>'G) Solidarité'!I119</f>
        <v>1226126.2544711409</v>
      </c>
      <c r="H130" s="19">
        <f t="shared" si="4"/>
        <v>7724782.9949137969</v>
      </c>
      <c r="I130" s="74">
        <f t="shared" si="5"/>
        <v>870544.33072183933</v>
      </c>
    </row>
    <row r="131" spans="1:9" x14ac:dyDescent="0.25">
      <c r="A131" s="61">
        <f>'A) Base RI'!A122</f>
        <v>5590</v>
      </c>
      <c r="B131" s="13" t="str">
        <f>'A) Base RI'!B122</f>
        <v>Pully</v>
      </c>
      <c r="C131" s="14">
        <f>'D) Ecrêtage'!M120</f>
        <v>1264205.9412925458</v>
      </c>
      <c r="D131" s="19">
        <f>'A) Base RI'!AN122</f>
        <v>17811</v>
      </c>
      <c r="E131" s="14">
        <f t="shared" si="3"/>
        <v>23498944.682710409</v>
      </c>
      <c r="F131" s="19">
        <f>'F) Population'!K123</f>
        <v>12573767.806841046</v>
      </c>
      <c r="G131" s="14">
        <f>'G) Solidarité'!I120</f>
        <v>0</v>
      </c>
      <c r="H131" s="19">
        <f t="shared" si="4"/>
        <v>12573767.806841046</v>
      </c>
      <c r="I131" s="74">
        <f t="shared" si="5"/>
        <v>10925176.875869364</v>
      </c>
    </row>
    <row r="132" spans="1:9" x14ac:dyDescent="0.25">
      <c r="A132" s="61">
        <f>'A) Base RI'!A123</f>
        <v>5591</v>
      </c>
      <c r="B132" s="13" t="str">
        <f>'A) Base RI'!B123</f>
        <v>Renens</v>
      </c>
      <c r="C132" s="14">
        <f>'D) Ecrêtage'!M121</f>
        <v>546895.28569608741</v>
      </c>
      <c r="D132" s="19">
        <f>'A) Base RI'!AN123</f>
        <v>20362</v>
      </c>
      <c r="E132" s="14">
        <f t="shared" si="3"/>
        <v>10165639.668381806</v>
      </c>
      <c r="F132" s="19">
        <f>'F) Population'!K124</f>
        <v>15225370.623742454</v>
      </c>
      <c r="G132" s="14">
        <f>'G) Solidarité'!I121</f>
        <v>8598621.9959700275</v>
      </c>
      <c r="H132" s="19">
        <f t="shared" si="4"/>
        <v>23823992.619712479</v>
      </c>
      <c r="I132" s="74">
        <f t="shared" si="5"/>
        <v>-13658352.951330673</v>
      </c>
    </row>
    <row r="133" spans="1:9" x14ac:dyDescent="0.25">
      <c r="A133" s="61">
        <f>'A) Base RI'!A124</f>
        <v>5592</v>
      </c>
      <c r="B133" s="13" t="str">
        <f>'A) Base RI'!B124</f>
        <v>Romanel-sur-Lausanne</v>
      </c>
      <c r="C133" s="14">
        <f>'D) Ecrêtage'!M122</f>
        <v>110273.83828571429</v>
      </c>
      <c r="D133" s="19">
        <f>'A) Base RI'!AN124</f>
        <v>3351</v>
      </c>
      <c r="E133" s="14">
        <f t="shared" si="3"/>
        <v>2049760.0439820308</v>
      </c>
      <c r="F133" s="19">
        <f>'F) Population'!K125</f>
        <v>965686.11670020118</v>
      </c>
      <c r="G133" s="14">
        <f>'G) Solidarité'!I122</f>
        <v>730258.55841444735</v>
      </c>
      <c r="H133" s="19">
        <f t="shared" si="4"/>
        <v>1695944.6751146484</v>
      </c>
      <c r="I133" s="74">
        <f t="shared" si="5"/>
        <v>353815.36886738241</v>
      </c>
    </row>
    <row r="134" spans="1:9" x14ac:dyDescent="0.25">
      <c r="A134" s="61">
        <f>'A) Base RI'!A125</f>
        <v>5601</v>
      </c>
      <c r="B134" s="13" t="str">
        <f>'A) Base RI'!B125</f>
        <v>Chexbres</v>
      </c>
      <c r="C134" s="14">
        <f>'D) Ecrêtage'!M123</f>
        <v>104474.96078125002</v>
      </c>
      <c r="D134" s="19">
        <f>'A) Base RI'!AN125</f>
        <v>2218</v>
      </c>
      <c r="E134" s="14">
        <f t="shared" si="3"/>
        <v>1941971.0380548025</v>
      </c>
      <c r="F134" s="19">
        <f>'F) Population'!K126</f>
        <v>521005.23138832994</v>
      </c>
      <c r="G134" s="14">
        <f>'G) Solidarité'!I123</f>
        <v>0</v>
      </c>
      <c r="H134" s="19">
        <f t="shared" si="4"/>
        <v>521005.23138832994</v>
      </c>
      <c r="I134" s="74">
        <f t="shared" si="5"/>
        <v>1420965.8066664725</v>
      </c>
    </row>
    <row r="135" spans="1:9" x14ac:dyDescent="0.25">
      <c r="A135" s="61">
        <f>'A) Base RI'!A126</f>
        <v>5604</v>
      </c>
      <c r="B135" s="13" t="str">
        <f>'A) Base RI'!B126</f>
        <v>Forel (Lavaux)</v>
      </c>
      <c r="C135" s="14">
        <f>'D) Ecrêtage'!M124</f>
        <v>65514.699852941172</v>
      </c>
      <c r="D135" s="19">
        <f>'A) Base RI'!AN126</f>
        <v>2085</v>
      </c>
      <c r="E135" s="14">
        <f t="shared" si="3"/>
        <v>1217781.2628966151</v>
      </c>
      <c r="F135" s="19">
        <f>'F) Population'!K127</f>
        <v>474923.54124748491</v>
      </c>
      <c r="G135" s="14">
        <f>'G) Solidarité'!I124</f>
        <v>485738.07388729492</v>
      </c>
      <c r="H135" s="19">
        <f t="shared" si="4"/>
        <v>960661.61513477983</v>
      </c>
      <c r="I135" s="74">
        <f t="shared" si="5"/>
        <v>257119.64776183525</v>
      </c>
    </row>
    <row r="136" spans="1:9" x14ac:dyDescent="0.25">
      <c r="A136" s="61">
        <f>'A) Base RI'!A127</f>
        <v>5606</v>
      </c>
      <c r="B136" s="13" t="str">
        <f>'A) Base RI'!B127</f>
        <v>Lutry</v>
      </c>
      <c r="C136" s="14">
        <f>'D) Ecrêtage'!M125</f>
        <v>687879.74736869638</v>
      </c>
      <c r="D136" s="19">
        <f>'A) Base RI'!AN127</f>
        <v>9739</v>
      </c>
      <c r="E136" s="14">
        <f t="shared" si="3"/>
        <v>12786245.977650603</v>
      </c>
      <c r="F136" s="19">
        <f>'F) Population'!K128</f>
        <v>4779577.0623742454</v>
      </c>
      <c r="G136" s="14">
        <f>'G) Solidarité'!I125</f>
        <v>0</v>
      </c>
      <c r="H136" s="19">
        <f t="shared" si="4"/>
        <v>4779577.0623742454</v>
      </c>
      <c r="I136" s="74">
        <f t="shared" si="5"/>
        <v>8006668.9152763579</v>
      </c>
    </row>
    <row r="137" spans="1:9" x14ac:dyDescent="0.25">
      <c r="A137" s="61">
        <f>'A) Base RI'!A128</f>
        <v>5607</v>
      </c>
      <c r="B137" s="13" t="str">
        <f>'A) Base RI'!B128</f>
        <v>Puidoux</v>
      </c>
      <c r="C137" s="14">
        <f>'D) Ecrêtage'!M126</f>
        <v>100862.46201406649</v>
      </c>
      <c r="D137" s="19">
        <f>'A) Base RI'!AN128</f>
        <v>2858</v>
      </c>
      <c r="E137" s="14">
        <f t="shared" si="3"/>
        <v>1874822.2405973151</v>
      </c>
      <c r="F137" s="19">
        <f>'F) Population'!K129</f>
        <v>742751.71026156936</v>
      </c>
      <c r="G137" s="14">
        <f>'G) Solidarité'!I126</f>
        <v>462484.93094720918</v>
      </c>
      <c r="H137" s="19">
        <f t="shared" si="4"/>
        <v>1205236.6412087786</v>
      </c>
      <c r="I137" s="74">
        <f t="shared" si="5"/>
        <v>669585.59938853653</v>
      </c>
    </row>
    <row r="138" spans="1:9" x14ac:dyDescent="0.25">
      <c r="A138" s="61">
        <f>'A) Base RI'!A129</f>
        <v>5609</v>
      </c>
      <c r="B138" s="13" t="str">
        <f>'A) Base RI'!B129</f>
        <v>Rivaz</v>
      </c>
      <c r="C138" s="14">
        <f>'D) Ecrêtage'!M127</f>
        <v>16122.244409448818</v>
      </c>
      <c r="D138" s="19">
        <f>'A) Base RI'!AN129</f>
        <v>360</v>
      </c>
      <c r="E138" s="14">
        <f t="shared" si="3"/>
        <v>299678.80798869394</v>
      </c>
      <c r="F138" s="19">
        <f>'F) Population'!K130</f>
        <v>35637.826961770625</v>
      </c>
      <c r="G138" s="14">
        <f>'G) Solidarité'!I127</f>
        <v>0</v>
      </c>
      <c r="H138" s="19">
        <f t="shared" si="4"/>
        <v>35637.826961770625</v>
      </c>
      <c r="I138" s="74">
        <f t="shared" si="5"/>
        <v>264040.98102692328</v>
      </c>
    </row>
    <row r="139" spans="1:9" x14ac:dyDescent="0.25">
      <c r="A139" s="61">
        <f>'A) Base RI'!A130</f>
        <v>5610</v>
      </c>
      <c r="B139" s="13" t="str">
        <f>'A) Base RI'!B130</f>
        <v>St-Saphorin (Lavaux)</v>
      </c>
      <c r="C139" s="14">
        <f>'D) Ecrêtage'!M128</f>
        <v>20953.215883284913</v>
      </c>
      <c r="D139" s="19">
        <f>'A) Base RI'!AN130</f>
        <v>383</v>
      </c>
      <c r="E139" s="14">
        <f t="shared" si="3"/>
        <v>389476.46493638935</v>
      </c>
      <c r="F139" s="19">
        <f>'F) Population'!K131</f>
        <v>37914.688128772636</v>
      </c>
      <c r="G139" s="14">
        <f>'G) Solidarité'!I128</f>
        <v>0</v>
      </c>
      <c r="H139" s="19">
        <f t="shared" si="4"/>
        <v>37914.688128772636</v>
      </c>
      <c r="I139" s="74">
        <f t="shared" si="5"/>
        <v>351561.7768076167</v>
      </c>
    </row>
    <row r="140" spans="1:9" x14ac:dyDescent="0.25">
      <c r="A140" s="61">
        <f>'A) Base RI'!A131</f>
        <v>5611</v>
      </c>
      <c r="B140" s="13" t="str">
        <f>'A) Base RI'!B131</f>
        <v>Savigny</v>
      </c>
      <c r="C140" s="14">
        <f>'D) Ecrêtage'!M129</f>
        <v>130312.40671641791</v>
      </c>
      <c r="D140" s="19">
        <f>'A) Base RI'!AN131</f>
        <v>3304</v>
      </c>
      <c r="E140" s="14">
        <f t="shared" si="3"/>
        <v>2422235.1255279779</v>
      </c>
      <c r="F140" s="19">
        <f>'F) Population'!K132</f>
        <v>942422.53521126753</v>
      </c>
      <c r="G140" s="14">
        <f>'G) Solidarité'!I129</f>
        <v>274317.93692553276</v>
      </c>
      <c r="H140" s="19">
        <f t="shared" si="4"/>
        <v>1216740.4721368002</v>
      </c>
      <c r="I140" s="74">
        <f t="shared" si="5"/>
        <v>1205494.6533911778</v>
      </c>
    </row>
    <row r="141" spans="1:9" x14ac:dyDescent="0.25">
      <c r="A141" s="61">
        <f>'A) Base RI'!A132</f>
        <v>5613</v>
      </c>
      <c r="B141" s="13" t="str">
        <f>'A) Base RI'!B132</f>
        <v>Bourg-en-Lavaux</v>
      </c>
      <c r="C141" s="14">
        <f>'D) Ecrêtage'!M130</f>
        <v>293422.02834789746</v>
      </c>
      <c r="D141" s="19">
        <f>'A) Base RI'!AN132</f>
        <v>5247</v>
      </c>
      <c r="E141" s="14">
        <f t="shared" si="3"/>
        <v>5454101.8892746633</v>
      </c>
      <c r="F141" s="19">
        <f>'F) Population'!K133</f>
        <v>1928600.402414487</v>
      </c>
      <c r="G141" s="14">
        <f>'G) Solidarité'!I130</f>
        <v>0</v>
      </c>
      <c r="H141" s="19">
        <f t="shared" si="4"/>
        <v>1928600.402414487</v>
      </c>
      <c r="I141" s="74">
        <f t="shared" si="5"/>
        <v>3525501.4868601765</v>
      </c>
    </row>
    <row r="142" spans="1:9" x14ac:dyDescent="0.25">
      <c r="A142" s="61">
        <f>'A) Base RI'!A133</f>
        <v>5621</v>
      </c>
      <c r="B142" s="13" t="str">
        <f>'A) Base RI'!B133</f>
        <v>Aclens</v>
      </c>
      <c r="C142" s="14">
        <f>'D) Ecrêtage'!M131</f>
        <v>32596.490883992956</v>
      </c>
      <c r="D142" s="19">
        <f>'A) Base RI'!AN133</f>
        <v>528</v>
      </c>
      <c r="E142" s="14">
        <f t="shared" si="3"/>
        <v>605900.59824451571</v>
      </c>
      <c r="F142" s="19">
        <f>'F) Population'!K134</f>
        <v>52268.812877263576</v>
      </c>
      <c r="G142" s="14">
        <f>'G) Solidarité'!I131</f>
        <v>0</v>
      </c>
      <c r="H142" s="19">
        <f t="shared" si="4"/>
        <v>52268.812877263576</v>
      </c>
      <c r="I142" s="74">
        <f t="shared" si="5"/>
        <v>553631.78536725219</v>
      </c>
    </row>
    <row r="143" spans="1:9" x14ac:dyDescent="0.25">
      <c r="A143" s="61">
        <f>'A) Base RI'!A134</f>
        <v>5622</v>
      </c>
      <c r="B143" s="13" t="str">
        <f>'A) Base RI'!B134</f>
        <v>Bremblens</v>
      </c>
      <c r="C143" s="14">
        <f>'D) Ecrêtage'!M132</f>
        <v>28064.668505419701</v>
      </c>
      <c r="D143" s="19">
        <f>'A) Base RI'!AN134</f>
        <v>511</v>
      </c>
      <c r="E143" s="14">
        <f t="shared" si="3"/>
        <v>521663.49738333665</v>
      </c>
      <c r="F143" s="19">
        <f>'F) Population'!K135</f>
        <v>50585.915492957742</v>
      </c>
      <c r="G143" s="14">
        <f>'G) Solidarité'!I132</f>
        <v>0</v>
      </c>
      <c r="H143" s="19">
        <f t="shared" si="4"/>
        <v>50585.915492957742</v>
      </c>
      <c r="I143" s="74">
        <f t="shared" si="5"/>
        <v>471077.5818903789</v>
      </c>
    </row>
    <row r="144" spans="1:9" x14ac:dyDescent="0.25">
      <c r="A144" s="61">
        <f>'A) Base RI'!A135</f>
        <v>5623</v>
      </c>
      <c r="B144" s="13" t="str">
        <f>'A) Base RI'!B135</f>
        <v>Buchillon</v>
      </c>
      <c r="C144" s="14">
        <f>'D) Ecrêtage'!M133</f>
        <v>69073.160217996425</v>
      </c>
      <c r="D144" s="19">
        <f>'A) Base RI'!AN135</f>
        <v>624</v>
      </c>
      <c r="E144" s="14">
        <f t="shared" si="3"/>
        <v>1283925.5994661429</v>
      </c>
      <c r="F144" s="19">
        <f>'F) Population'!K136</f>
        <v>61772.233400402409</v>
      </c>
      <c r="G144" s="14">
        <f>'G) Solidarité'!I133</f>
        <v>0</v>
      </c>
      <c r="H144" s="19">
        <f t="shared" si="4"/>
        <v>61772.233400402409</v>
      </c>
      <c r="I144" s="74">
        <f t="shared" si="5"/>
        <v>1222153.3660657406</v>
      </c>
    </row>
    <row r="145" spans="1:9" x14ac:dyDescent="0.25">
      <c r="A145" s="61">
        <f>'A) Base RI'!A136</f>
        <v>5624</v>
      </c>
      <c r="B145" s="13" t="str">
        <f>'A) Base RI'!B136</f>
        <v>Bussigny</v>
      </c>
      <c r="C145" s="14">
        <f>'D) Ecrêtage'!M134</f>
        <v>312174.83774193545</v>
      </c>
      <c r="D145" s="19">
        <f>'A) Base RI'!AN136</f>
        <v>8215</v>
      </c>
      <c r="E145" s="14">
        <f t="shared" ref="E145:E208" si="6">C145*E$15</f>
        <v>5802677.3991677435</v>
      </c>
      <c r="F145" s="19">
        <f>'F) Population'!K137</f>
        <v>3691484.9094567406</v>
      </c>
      <c r="G145" s="14">
        <f>'G) Solidarité'!I134</f>
        <v>764906.24505005882</v>
      </c>
      <c r="H145" s="19">
        <f t="shared" ref="H145:H208" si="7">F145+G145</f>
        <v>4456391.1545067998</v>
      </c>
      <c r="I145" s="74">
        <f t="shared" ref="I145:I208" si="8">E145-H145</f>
        <v>1346286.2446609437</v>
      </c>
    </row>
    <row r="146" spans="1:9" x14ac:dyDescent="0.25">
      <c r="A146" s="61">
        <f>'A) Base RI'!A137</f>
        <v>5625</v>
      </c>
      <c r="B146" s="13" t="str">
        <f>'A) Base RI'!B137</f>
        <v>Bussy-Chardonney</v>
      </c>
      <c r="C146" s="14">
        <f>'D) Ecrêtage'!M135</f>
        <v>16172.617200854704</v>
      </c>
      <c r="D146" s="19">
        <f>'A) Base RI'!AN137</f>
        <v>377</v>
      </c>
      <c r="E146" s="14">
        <f t="shared" si="6"/>
        <v>300615.13283901889</v>
      </c>
      <c r="F146" s="19">
        <f>'F) Population'!K138</f>
        <v>37320.724346076458</v>
      </c>
      <c r="G146" s="14">
        <f>'G) Solidarité'!I135</f>
        <v>10888.535642899433</v>
      </c>
      <c r="H146" s="19">
        <f t="shared" si="7"/>
        <v>48209.259988975893</v>
      </c>
      <c r="I146" s="74">
        <f t="shared" si="8"/>
        <v>252405.872850043</v>
      </c>
    </row>
    <row r="147" spans="1:9" x14ac:dyDescent="0.25">
      <c r="A147" s="61">
        <f>'A) Base RI'!A138</f>
        <v>5627</v>
      </c>
      <c r="B147" s="13" t="str">
        <f>'A) Base RI'!B138</f>
        <v>Chavannes-près-Renens</v>
      </c>
      <c r="C147" s="14">
        <f>'D) Ecrêtage'!M136</f>
        <v>162511.92244725736</v>
      </c>
      <c r="D147" s="19">
        <f>'A) Base RI'!AN138</f>
        <v>7374</v>
      </c>
      <c r="E147" s="14">
        <f t="shared" si="6"/>
        <v>3020756.7858481649</v>
      </c>
      <c r="F147" s="19">
        <f>'F) Population'!K139</f>
        <v>3191961.3682092559</v>
      </c>
      <c r="G147" s="14">
        <f>'G) Solidarité'!I136</f>
        <v>4035835.2568716127</v>
      </c>
      <c r="H147" s="19">
        <f t="shared" si="7"/>
        <v>7227796.6250808686</v>
      </c>
      <c r="I147" s="74">
        <f t="shared" si="8"/>
        <v>-4207039.8392327037</v>
      </c>
    </row>
    <row r="148" spans="1:9" x14ac:dyDescent="0.25">
      <c r="A148" s="61">
        <f>'A) Base RI'!A139</f>
        <v>5628</v>
      </c>
      <c r="B148" s="13" t="str">
        <f>'A) Base RI'!B139</f>
        <v>Chigny</v>
      </c>
      <c r="C148" s="14">
        <f>'D) Ecrêtage'!M137</f>
        <v>18826.519594643647</v>
      </c>
      <c r="D148" s="19">
        <f>'A) Base RI'!AN139</f>
        <v>331</v>
      </c>
      <c r="E148" s="14">
        <f t="shared" si="6"/>
        <v>349945.62837615993</v>
      </c>
      <c r="F148" s="19">
        <f>'F) Population'!K140</f>
        <v>32767.002012072433</v>
      </c>
      <c r="G148" s="14">
        <f>'G) Solidarité'!I137</f>
        <v>0</v>
      </c>
      <c r="H148" s="19">
        <f t="shared" si="7"/>
        <v>32767.002012072433</v>
      </c>
      <c r="I148" s="74">
        <f t="shared" si="8"/>
        <v>317178.62636408751</v>
      </c>
    </row>
    <row r="149" spans="1:9" x14ac:dyDescent="0.25">
      <c r="A149" s="61">
        <f>'A) Base RI'!A140</f>
        <v>5629</v>
      </c>
      <c r="B149" s="13" t="str">
        <f>'A) Base RI'!B140</f>
        <v>Clarmont</v>
      </c>
      <c r="C149" s="14">
        <f>'D) Ecrêtage'!M138</f>
        <v>7581.8990666666659</v>
      </c>
      <c r="D149" s="19">
        <f>'A) Base RI'!AN140</f>
        <v>160</v>
      </c>
      <c r="E149" s="14">
        <f t="shared" si="6"/>
        <v>140931.64803143786</v>
      </c>
      <c r="F149" s="19">
        <f>'F) Population'!K141</f>
        <v>15839.034205231386</v>
      </c>
      <c r="G149" s="14">
        <f>'G) Solidarité'!I138</f>
        <v>0</v>
      </c>
      <c r="H149" s="19">
        <f t="shared" si="7"/>
        <v>15839.034205231386</v>
      </c>
      <c r="I149" s="74">
        <f t="shared" si="8"/>
        <v>125092.61382620648</v>
      </c>
    </row>
    <row r="150" spans="1:9" x14ac:dyDescent="0.25">
      <c r="A150" s="61">
        <f>'A) Base RI'!A141</f>
        <v>5631</v>
      </c>
      <c r="B150" s="13" t="str">
        <f>'A) Base RI'!B141</f>
        <v>Denens</v>
      </c>
      <c r="C150" s="14">
        <f>'D) Ecrêtage'!M139</f>
        <v>34218.35955882354</v>
      </c>
      <c r="D150" s="19">
        <f>'A) Base RI'!AN141</f>
        <v>714</v>
      </c>
      <c r="E150" s="14">
        <f t="shared" si="6"/>
        <v>636047.74518285249</v>
      </c>
      <c r="F150" s="19">
        <f>'F) Population'!K142</f>
        <v>70681.690140845065</v>
      </c>
      <c r="G150" s="14">
        <f>'G) Solidarité'!I139</f>
        <v>0</v>
      </c>
      <c r="H150" s="19">
        <f t="shared" si="7"/>
        <v>70681.690140845065</v>
      </c>
      <c r="I150" s="74">
        <f t="shared" si="8"/>
        <v>565366.05504200747</v>
      </c>
    </row>
    <row r="151" spans="1:9" x14ac:dyDescent="0.25">
      <c r="A151" s="61">
        <f>'A) Base RI'!A142</f>
        <v>5632</v>
      </c>
      <c r="B151" s="13" t="str">
        <f>'A) Base RI'!B142</f>
        <v>Denges</v>
      </c>
      <c r="C151" s="14">
        <f>'D) Ecrêtage'!M140</f>
        <v>70599.599193548376</v>
      </c>
      <c r="D151" s="19">
        <f>'A) Base RI'!AN142</f>
        <v>1651</v>
      </c>
      <c r="E151" s="14">
        <f t="shared" si="6"/>
        <v>1312298.9078618893</v>
      </c>
      <c r="F151" s="19">
        <f>'F) Population'!K143</f>
        <v>324551.71026156942</v>
      </c>
      <c r="G151" s="14">
        <f>'G) Solidarité'!I140</f>
        <v>33571.93778320642</v>
      </c>
      <c r="H151" s="19">
        <f t="shared" si="7"/>
        <v>358123.64804477582</v>
      </c>
      <c r="I151" s="74">
        <f t="shared" si="8"/>
        <v>954175.25981711352</v>
      </c>
    </row>
    <row r="152" spans="1:9" x14ac:dyDescent="0.25">
      <c r="A152" s="61">
        <f>'A) Base RI'!A143</f>
        <v>5633</v>
      </c>
      <c r="B152" s="13" t="str">
        <f>'A) Base RI'!B143</f>
        <v>Echandens</v>
      </c>
      <c r="C152" s="14">
        <f>'D) Ecrêtage'!M141</f>
        <v>123013.45645161292</v>
      </c>
      <c r="D152" s="19">
        <f>'A) Base RI'!AN143</f>
        <v>2631</v>
      </c>
      <c r="E152" s="14">
        <f t="shared" si="6"/>
        <v>2286562.9040075312</v>
      </c>
      <c r="F152" s="19">
        <f>'F) Population'!K144</f>
        <v>664101.00603621732</v>
      </c>
      <c r="G152" s="14">
        <f>'G) Solidarité'!I141</f>
        <v>0</v>
      </c>
      <c r="H152" s="19">
        <f t="shared" si="7"/>
        <v>664101.00603621732</v>
      </c>
      <c r="I152" s="74">
        <f t="shared" si="8"/>
        <v>1622461.8979713139</v>
      </c>
    </row>
    <row r="153" spans="1:9" x14ac:dyDescent="0.25">
      <c r="A153" s="61">
        <f>'A) Base RI'!A144</f>
        <v>5634</v>
      </c>
      <c r="B153" s="13" t="str">
        <f>'A) Base RI'!B144</f>
        <v>Echichens</v>
      </c>
      <c r="C153" s="14">
        <f>'D) Ecrêtage'!M142</f>
        <v>121660.2017647059</v>
      </c>
      <c r="D153" s="19">
        <f>'A) Base RI'!AN144</f>
        <v>2585</v>
      </c>
      <c r="E153" s="14">
        <f t="shared" si="6"/>
        <v>2261408.729366702</v>
      </c>
      <c r="F153" s="19">
        <f>'F) Population'!K145</f>
        <v>648162.97786720318</v>
      </c>
      <c r="G153" s="14">
        <f>'G) Solidarité'!I142</f>
        <v>0</v>
      </c>
      <c r="H153" s="19">
        <f t="shared" si="7"/>
        <v>648162.97786720318</v>
      </c>
      <c r="I153" s="74">
        <f t="shared" si="8"/>
        <v>1613245.7514994987</v>
      </c>
    </row>
    <row r="154" spans="1:9" x14ac:dyDescent="0.25">
      <c r="A154" s="61">
        <f>'A) Base RI'!A145</f>
        <v>5635</v>
      </c>
      <c r="B154" s="13" t="str">
        <f>'A) Base RI'!B145</f>
        <v>Ecublens</v>
      </c>
      <c r="C154" s="14">
        <f>'D) Ecrêtage'!M143</f>
        <v>470087.75038200343</v>
      </c>
      <c r="D154" s="19">
        <f>'A) Base RI'!AN145</f>
        <v>12288</v>
      </c>
      <c r="E154" s="14">
        <f t="shared" si="6"/>
        <v>8737948.2103622127</v>
      </c>
      <c r="F154" s="19">
        <f>'F) Population'!K146</f>
        <v>6967195.1710261572</v>
      </c>
      <c r="G154" s="14">
        <f>'G) Solidarité'!I143</f>
        <v>1096203.6209466048</v>
      </c>
      <c r="H154" s="19">
        <f t="shared" si="7"/>
        <v>8063398.791972762</v>
      </c>
      <c r="I154" s="74">
        <f t="shared" si="8"/>
        <v>674549.41838945076</v>
      </c>
    </row>
    <row r="155" spans="1:9" x14ac:dyDescent="0.25">
      <c r="A155" s="61">
        <f>'A) Base RI'!A146</f>
        <v>5636</v>
      </c>
      <c r="B155" s="13" t="str">
        <f>'A) Base RI'!B146</f>
        <v>Etoy</v>
      </c>
      <c r="C155" s="14">
        <f>'D) Ecrêtage'!M144</f>
        <v>158779.04229508198</v>
      </c>
      <c r="D155" s="19">
        <f>'A) Base RI'!AN146</f>
        <v>2932</v>
      </c>
      <c r="E155" s="14">
        <f t="shared" si="6"/>
        <v>2951370.3501907978</v>
      </c>
      <c r="F155" s="19">
        <f>'F) Population'!K147</f>
        <v>768391.14688128768</v>
      </c>
      <c r="G155" s="14">
        <f>'G) Solidarité'!I144</f>
        <v>0</v>
      </c>
      <c r="H155" s="19">
        <f t="shared" si="7"/>
        <v>768391.14688128768</v>
      </c>
      <c r="I155" s="74">
        <f t="shared" si="8"/>
        <v>2182979.2033095099</v>
      </c>
    </row>
    <row r="156" spans="1:9" x14ac:dyDescent="0.25">
      <c r="A156" s="61">
        <f>'A) Base RI'!A147</f>
        <v>5637</v>
      </c>
      <c r="B156" s="13" t="str">
        <f>'A) Base RI'!B147</f>
        <v>Lavigny</v>
      </c>
      <c r="C156" s="14">
        <f>'D) Ecrêtage'!M145</f>
        <v>31075.388277404931</v>
      </c>
      <c r="D156" s="19">
        <f>'A) Base RI'!AN147</f>
        <v>981</v>
      </c>
      <c r="E156" s="14">
        <f t="shared" si="6"/>
        <v>577626.48178814701</v>
      </c>
      <c r="F156" s="19">
        <f>'F) Population'!K148</f>
        <v>97113.078470824941</v>
      </c>
      <c r="G156" s="14">
        <f>'G) Solidarité'!I145</f>
        <v>268793.13675811258</v>
      </c>
      <c r="H156" s="19">
        <f t="shared" si="7"/>
        <v>365906.21522893751</v>
      </c>
      <c r="I156" s="74">
        <f t="shared" si="8"/>
        <v>211720.2665592095</v>
      </c>
    </row>
    <row r="157" spans="1:9" x14ac:dyDescent="0.25">
      <c r="A157" s="61">
        <f>'A) Base RI'!A148</f>
        <v>5638</v>
      </c>
      <c r="B157" s="13" t="str">
        <f>'A) Base RI'!B148</f>
        <v>Lonay</v>
      </c>
      <c r="C157" s="14">
        <f>'D) Ecrêtage'!M146</f>
        <v>149153.52002347697</v>
      </c>
      <c r="D157" s="19">
        <f>'A) Base RI'!AN148</f>
        <v>2536</v>
      </c>
      <c r="E157" s="14">
        <f t="shared" si="6"/>
        <v>2772452.0204988942</v>
      </c>
      <c r="F157" s="19">
        <f>'F) Population'!K149</f>
        <v>631185.51307847083</v>
      </c>
      <c r="G157" s="14">
        <f>'G) Solidarité'!I146</f>
        <v>0</v>
      </c>
      <c r="H157" s="19">
        <f t="shared" si="7"/>
        <v>631185.51307847083</v>
      </c>
      <c r="I157" s="74">
        <f t="shared" si="8"/>
        <v>2141266.5074204234</v>
      </c>
    </row>
    <row r="158" spans="1:9" x14ac:dyDescent="0.25">
      <c r="A158" s="61">
        <f>'A) Base RI'!A149</f>
        <v>5639</v>
      </c>
      <c r="B158" s="13" t="str">
        <f>'A) Base RI'!B149</f>
        <v>Lully</v>
      </c>
      <c r="C158" s="14">
        <f>'D) Ecrêtage'!M147</f>
        <v>42112.878690942372</v>
      </c>
      <c r="D158" s="19">
        <f>'A) Base RI'!AN149</f>
        <v>760</v>
      </c>
      <c r="E158" s="14">
        <f t="shared" si="6"/>
        <v>782790.34646551055</v>
      </c>
      <c r="F158" s="19">
        <f>'F) Population'!K150</f>
        <v>75235.412474849087</v>
      </c>
      <c r="G158" s="14">
        <f>'G) Solidarité'!I147</f>
        <v>0</v>
      </c>
      <c r="H158" s="19">
        <f t="shared" si="7"/>
        <v>75235.412474849087</v>
      </c>
      <c r="I158" s="74">
        <f t="shared" si="8"/>
        <v>707554.93399066152</v>
      </c>
    </row>
    <row r="159" spans="1:9" x14ac:dyDescent="0.25">
      <c r="A159" s="61">
        <f>'A) Base RI'!A150</f>
        <v>5640</v>
      </c>
      <c r="B159" s="13" t="str">
        <f>'A) Base RI'!B150</f>
        <v>Lussy-sur-Morges</v>
      </c>
      <c r="C159" s="14">
        <f>'D) Ecrêtage'!M148</f>
        <v>42867.270859356686</v>
      </c>
      <c r="D159" s="19">
        <f>'A) Base RI'!AN150</f>
        <v>646</v>
      </c>
      <c r="E159" s="14">
        <f t="shared" si="6"/>
        <v>796812.91925654886</v>
      </c>
      <c r="F159" s="19">
        <f>'F) Population'!K151</f>
        <v>63950.100603621722</v>
      </c>
      <c r="G159" s="14">
        <f>'G) Solidarité'!I148</f>
        <v>0</v>
      </c>
      <c r="H159" s="19">
        <f t="shared" si="7"/>
        <v>63950.100603621722</v>
      </c>
      <c r="I159" s="74">
        <f t="shared" si="8"/>
        <v>732862.81865292718</v>
      </c>
    </row>
    <row r="160" spans="1:9" x14ac:dyDescent="0.25">
      <c r="A160" s="61">
        <f>'A) Base RI'!A151</f>
        <v>5642</v>
      </c>
      <c r="B160" s="13" t="str">
        <f>'A) Base RI'!B151</f>
        <v>Morges</v>
      </c>
      <c r="C160" s="14">
        <f>'D) Ecrêtage'!M149</f>
        <v>715380.13065693423</v>
      </c>
      <c r="D160" s="19">
        <f>'A) Base RI'!AN151</f>
        <v>15623</v>
      </c>
      <c r="E160" s="14">
        <f t="shared" si="6"/>
        <v>13297420.592905866</v>
      </c>
      <c r="F160" s="19">
        <f>'F) Population'!K152</f>
        <v>10299480.482897384</v>
      </c>
      <c r="G160" s="14">
        <f>'G) Solidarité'!I149</f>
        <v>0</v>
      </c>
      <c r="H160" s="19">
        <f t="shared" si="7"/>
        <v>10299480.482897384</v>
      </c>
      <c r="I160" s="74">
        <f t="shared" si="8"/>
        <v>2997940.1100084819</v>
      </c>
    </row>
    <row r="161" spans="1:9" x14ac:dyDescent="0.25">
      <c r="A161" s="61">
        <f>'A) Base RI'!A152</f>
        <v>5643</v>
      </c>
      <c r="B161" s="13" t="str">
        <f>'A) Base RI'!B152</f>
        <v>Préverenges</v>
      </c>
      <c r="C161" s="14">
        <f>'D) Ecrêtage'!M150</f>
        <v>249793.53640625</v>
      </c>
      <c r="D161" s="19">
        <f>'A) Base RI'!AN152</f>
        <v>5263</v>
      </c>
      <c r="E161" s="14">
        <f t="shared" si="6"/>
        <v>4643139.4619990531</v>
      </c>
      <c r="F161" s="19">
        <f>'F) Population'!K153</f>
        <v>1938103.8229376259</v>
      </c>
      <c r="G161" s="14">
        <f>'G) Solidarité'!I150</f>
        <v>0</v>
      </c>
      <c r="H161" s="19">
        <f t="shared" si="7"/>
        <v>1938103.8229376259</v>
      </c>
      <c r="I161" s="74">
        <f t="shared" si="8"/>
        <v>2705035.6390614272</v>
      </c>
    </row>
    <row r="162" spans="1:9" x14ac:dyDescent="0.25">
      <c r="A162" s="61">
        <f>'A) Base RI'!A153</f>
        <v>5644</v>
      </c>
      <c r="B162" s="13" t="str">
        <f>'A) Base RI'!B153</f>
        <v>Reverolle</v>
      </c>
      <c r="C162" s="14">
        <f>'D) Ecrêtage'!M151</f>
        <v>15594.857631578949</v>
      </c>
      <c r="D162" s="19">
        <f>'A) Base RI'!AN153</f>
        <v>360</v>
      </c>
      <c r="E162" s="14">
        <f t="shared" si="6"/>
        <v>289875.79068370798</v>
      </c>
      <c r="F162" s="19">
        <f>'F) Population'!K154</f>
        <v>35637.826961770625</v>
      </c>
      <c r="G162" s="14">
        <f>'G) Solidarité'!I151</f>
        <v>6391.2768321730136</v>
      </c>
      <c r="H162" s="19">
        <f t="shared" si="7"/>
        <v>42029.103793943636</v>
      </c>
      <c r="I162" s="74">
        <f t="shared" si="8"/>
        <v>247846.68688976433</v>
      </c>
    </row>
    <row r="163" spans="1:9" x14ac:dyDescent="0.25">
      <c r="A163" s="61">
        <f>'A) Base RI'!A154</f>
        <v>5645</v>
      </c>
      <c r="B163" s="13" t="str">
        <f>'A) Base RI'!B154</f>
        <v>Romanel-sur-Morges</v>
      </c>
      <c r="C163" s="14">
        <f>'D) Ecrêtage'!M152</f>
        <v>25296.466659002461</v>
      </c>
      <c r="D163" s="19">
        <f>'A) Base RI'!AN154</f>
        <v>459</v>
      </c>
      <c r="E163" s="14">
        <f t="shared" si="6"/>
        <v>470208.41405013582</v>
      </c>
      <c r="F163" s="19">
        <f>'F) Population'!K155</f>
        <v>45438.229376257543</v>
      </c>
      <c r="G163" s="14">
        <f>'G) Solidarité'!I152</f>
        <v>0</v>
      </c>
      <c r="H163" s="19">
        <f t="shared" si="7"/>
        <v>45438.229376257543</v>
      </c>
      <c r="I163" s="74">
        <f t="shared" si="8"/>
        <v>424770.18467387825</v>
      </c>
    </row>
    <row r="164" spans="1:9" x14ac:dyDescent="0.25">
      <c r="A164" s="61">
        <f>'A) Base RI'!A155</f>
        <v>5646</v>
      </c>
      <c r="B164" s="13" t="str">
        <f>'A) Base RI'!B155</f>
        <v>Saint-Prex</v>
      </c>
      <c r="C164" s="14">
        <f>'D) Ecrêtage'!M153</f>
        <v>306907.65312217548</v>
      </c>
      <c r="D164" s="19">
        <f>'A) Base RI'!AN155</f>
        <v>5604</v>
      </c>
      <c r="E164" s="14">
        <f t="shared" si="6"/>
        <v>5704771.4520664234</v>
      </c>
      <c r="F164" s="19">
        <f>'F) Population'!K156</f>
        <v>2140645.4728370225</v>
      </c>
      <c r="G164" s="14">
        <f>'G) Solidarité'!I153</f>
        <v>0</v>
      </c>
      <c r="H164" s="19">
        <f t="shared" si="7"/>
        <v>2140645.4728370225</v>
      </c>
      <c r="I164" s="74">
        <f t="shared" si="8"/>
        <v>3564125.9792294009</v>
      </c>
    </row>
    <row r="165" spans="1:9" x14ac:dyDescent="0.25">
      <c r="A165" s="61">
        <f>'A) Base RI'!A156</f>
        <v>5648</v>
      </c>
      <c r="B165" s="13" t="str">
        <f>'A) Base RI'!B156</f>
        <v>Saint-Sulpice</v>
      </c>
      <c r="C165" s="14">
        <f>'D) Ecrêtage'!M154</f>
        <v>282446.6454565766</v>
      </c>
      <c r="D165" s="19">
        <f>'A) Base RI'!AN156</f>
        <v>3898</v>
      </c>
      <c r="E165" s="14">
        <f t="shared" si="6"/>
        <v>5250092.4735531844</v>
      </c>
      <c r="F165" s="19">
        <f>'F) Population'!K157</f>
        <v>1236434.6076458753</v>
      </c>
      <c r="G165" s="14">
        <f>'G) Solidarité'!I154</f>
        <v>0</v>
      </c>
      <c r="H165" s="19">
        <f t="shared" si="7"/>
        <v>1236434.6076458753</v>
      </c>
      <c r="I165" s="74">
        <f t="shared" si="8"/>
        <v>4013657.8659073091</v>
      </c>
    </row>
    <row r="166" spans="1:9" x14ac:dyDescent="0.25">
      <c r="A166" s="61">
        <f>'A) Base RI'!A157</f>
        <v>5649</v>
      </c>
      <c r="B166" s="13" t="str">
        <f>'A) Base RI'!B157</f>
        <v>Tolochenaz</v>
      </c>
      <c r="C166" s="14">
        <f>'D) Ecrêtage'!M155</f>
        <v>107438.09926130871</v>
      </c>
      <c r="D166" s="19">
        <f>'A) Base RI'!AN157</f>
        <v>1855</v>
      </c>
      <c r="E166" s="14">
        <f t="shared" si="6"/>
        <v>1997049.5857468962</v>
      </c>
      <c r="F166" s="19">
        <f>'F) Population'!K158</f>
        <v>395233.4004024145</v>
      </c>
      <c r="G166" s="14">
        <f>'G) Solidarité'!I155</f>
        <v>0</v>
      </c>
      <c r="H166" s="19">
        <f t="shared" si="7"/>
        <v>395233.4004024145</v>
      </c>
      <c r="I166" s="74">
        <f t="shared" si="8"/>
        <v>1601816.1853444818</v>
      </c>
    </row>
    <row r="167" spans="1:9" x14ac:dyDescent="0.25">
      <c r="A167" s="61">
        <f>'A) Base RI'!A158</f>
        <v>5650</v>
      </c>
      <c r="B167" s="13" t="str">
        <f>'A) Base RI'!B158</f>
        <v>Vaux-sur-Morges</v>
      </c>
      <c r="C167" s="14">
        <f>'D) Ecrêtage'!M156</f>
        <v>112157.36408583977</v>
      </c>
      <c r="D167" s="19">
        <f>'A) Base RI'!AN158</f>
        <v>203</v>
      </c>
      <c r="E167" s="14">
        <f t="shared" si="6"/>
        <v>2084770.8496901211</v>
      </c>
      <c r="F167" s="19">
        <f>'F) Population'!K159</f>
        <v>20095.774647887323</v>
      </c>
      <c r="G167" s="14">
        <f>'G) Solidarité'!I156</f>
        <v>0</v>
      </c>
      <c r="H167" s="19">
        <f t="shared" si="7"/>
        <v>20095.774647887323</v>
      </c>
      <c r="I167" s="74">
        <f t="shared" si="8"/>
        <v>2064675.0750422338</v>
      </c>
    </row>
    <row r="168" spans="1:9" x14ac:dyDescent="0.25">
      <c r="A168" s="61">
        <f>'A) Base RI'!A159</f>
        <v>5651</v>
      </c>
      <c r="B168" s="13" t="str">
        <f>'A) Base RI'!B159</f>
        <v>Villars-Sainte-Croix</v>
      </c>
      <c r="C168" s="14">
        <f>'D) Ecrêtage'!M157</f>
        <v>37823.297796610175</v>
      </c>
      <c r="D168" s="19">
        <f>'A) Base RI'!AN159</f>
        <v>709</v>
      </c>
      <c r="E168" s="14">
        <f t="shared" si="6"/>
        <v>703056.00820978021</v>
      </c>
      <c r="F168" s="19">
        <f>'F) Population'!K160</f>
        <v>70186.720321931585</v>
      </c>
      <c r="G168" s="14">
        <f>'G) Solidarité'!I157</f>
        <v>0</v>
      </c>
      <c r="H168" s="19">
        <f t="shared" si="7"/>
        <v>70186.720321931585</v>
      </c>
      <c r="I168" s="74">
        <f t="shared" si="8"/>
        <v>632869.28788784868</v>
      </c>
    </row>
    <row r="169" spans="1:9" x14ac:dyDescent="0.25">
      <c r="A169" s="61">
        <f>'A) Base RI'!A160</f>
        <v>5652</v>
      </c>
      <c r="B169" s="13" t="str">
        <f>'A) Base RI'!B160</f>
        <v>Villars-sous-Yens</v>
      </c>
      <c r="C169" s="14">
        <f>'D) Ecrêtage'!M158</f>
        <v>23640.281403508772</v>
      </c>
      <c r="D169" s="19">
        <f>'A) Base RI'!AN160</f>
        <v>564</v>
      </c>
      <c r="E169" s="14">
        <f t="shared" si="6"/>
        <v>439423.39364169212</v>
      </c>
      <c r="F169" s="19">
        <f>'F) Population'!K161</f>
        <v>55832.595573440638</v>
      </c>
      <c r="G169" s="14">
        <f>'G) Solidarité'!I158</f>
        <v>28195.998378935725</v>
      </c>
      <c r="H169" s="19">
        <f t="shared" si="7"/>
        <v>84028.593952376366</v>
      </c>
      <c r="I169" s="74">
        <f t="shared" si="8"/>
        <v>355394.79968931573</v>
      </c>
    </row>
    <row r="170" spans="1:9" x14ac:dyDescent="0.25">
      <c r="A170" s="61">
        <f>'A) Base RI'!A161</f>
        <v>5653</v>
      </c>
      <c r="B170" s="13" t="str">
        <f>'A) Base RI'!B161</f>
        <v>Vufflens-le-Château</v>
      </c>
      <c r="C170" s="14">
        <f>'D) Ecrêtage'!M159</f>
        <v>56039.298149185466</v>
      </c>
      <c r="D170" s="19">
        <f>'A) Base RI'!AN161</f>
        <v>821</v>
      </c>
      <c r="E170" s="14">
        <f t="shared" si="6"/>
        <v>1041653.3606219572</v>
      </c>
      <c r="F170" s="19">
        <f>'F) Population'!K162</f>
        <v>81274.044265593562</v>
      </c>
      <c r="G170" s="14">
        <f>'G) Solidarité'!I159</f>
        <v>0</v>
      </c>
      <c r="H170" s="19">
        <f t="shared" si="7"/>
        <v>81274.044265593562</v>
      </c>
      <c r="I170" s="74">
        <f t="shared" si="8"/>
        <v>960379.31635636371</v>
      </c>
    </row>
    <row r="171" spans="1:9" x14ac:dyDescent="0.25">
      <c r="A171" s="61">
        <f>'A) Base RI'!A162</f>
        <v>5654</v>
      </c>
      <c r="B171" s="13" t="str">
        <f>'A) Base RI'!B162</f>
        <v>Vullierens</v>
      </c>
      <c r="C171" s="14">
        <f>'D) Ecrêtage'!M160</f>
        <v>16948.890394736845</v>
      </c>
      <c r="D171" s="19">
        <f>'A) Base RI'!AN162</f>
        <v>460</v>
      </c>
      <c r="E171" s="14">
        <f t="shared" si="6"/>
        <v>315044.42813489202</v>
      </c>
      <c r="F171" s="19">
        <f>'F) Population'!K163</f>
        <v>45537.22334004024</v>
      </c>
      <c r="G171" s="14">
        <f>'G) Solidarité'!I160</f>
        <v>76562.775433054048</v>
      </c>
      <c r="H171" s="19">
        <f t="shared" si="7"/>
        <v>122099.9987730943</v>
      </c>
      <c r="I171" s="74">
        <f t="shared" si="8"/>
        <v>192944.42936179772</v>
      </c>
    </row>
    <row r="172" spans="1:9" x14ac:dyDescent="0.25">
      <c r="A172" s="61">
        <f>'A) Base RI'!A163</f>
        <v>5655</v>
      </c>
      <c r="B172" s="13" t="str">
        <f>'A) Base RI'!B163</f>
        <v>Yens</v>
      </c>
      <c r="C172" s="14">
        <f>'D) Ecrêtage'!M161</f>
        <v>68107.282191780832</v>
      </c>
      <c r="D172" s="19">
        <f>'A) Base RI'!AN163</f>
        <v>1405</v>
      </c>
      <c r="E172" s="14">
        <f t="shared" si="6"/>
        <v>1265971.9468475832</v>
      </c>
      <c r="F172" s="19">
        <f>'F) Population'!K164</f>
        <v>239317.907444668</v>
      </c>
      <c r="G172" s="14">
        <f>'G) Solidarité'!I161</f>
        <v>0</v>
      </c>
      <c r="H172" s="19">
        <f t="shared" si="7"/>
        <v>239317.907444668</v>
      </c>
      <c r="I172" s="74">
        <f t="shared" si="8"/>
        <v>1026654.0394029152</v>
      </c>
    </row>
    <row r="173" spans="1:9" x14ac:dyDescent="0.25">
      <c r="A173" s="61">
        <f>'A) Base RI'!A164</f>
        <v>5661</v>
      </c>
      <c r="B173" s="13" t="str">
        <f>'A) Base RI'!B164</f>
        <v>Boulens</v>
      </c>
      <c r="C173" s="14">
        <f>'D) Ecrêtage'!M162</f>
        <v>7277.4751898734185</v>
      </c>
      <c r="D173" s="19">
        <f>'A) Base RI'!AN164</f>
        <v>325</v>
      </c>
      <c r="E173" s="14">
        <f t="shared" si="6"/>
        <v>135273.04478713832</v>
      </c>
      <c r="F173" s="19">
        <f>'F) Population'!K165</f>
        <v>32173.038229376256</v>
      </c>
      <c r="G173" s="14">
        <f>'G) Solidarité'!I162</f>
        <v>175021.46079140858</v>
      </c>
      <c r="H173" s="19">
        <f t="shared" si="7"/>
        <v>207194.49902078483</v>
      </c>
      <c r="I173" s="74">
        <f t="shared" si="8"/>
        <v>-71921.454233646509</v>
      </c>
    </row>
    <row r="174" spans="1:9" x14ac:dyDescent="0.25">
      <c r="A174" s="61">
        <f>'A) Base RI'!A165</f>
        <v>5663</v>
      </c>
      <c r="B174" s="13" t="str">
        <f>'A) Base RI'!B165</f>
        <v>Bussy-sur-Moudon</v>
      </c>
      <c r="C174" s="14">
        <f>'D) Ecrêtage'!M163</f>
        <v>4999.1039999999994</v>
      </c>
      <c r="D174" s="19">
        <f>'A) Base RI'!AN165</f>
        <v>198</v>
      </c>
      <c r="E174" s="14">
        <f t="shared" si="6"/>
        <v>92922.88900256966</v>
      </c>
      <c r="F174" s="19">
        <f>'F) Population'!K166</f>
        <v>19600.80482897384</v>
      </c>
      <c r="G174" s="14">
        <f>'G) Solidarité'!I163</f>
        <v>94954.807538509398</v>
      </c>
      <c r="H174" s="19">
        <f t="shared" si="7"/>
        <v>114555.61236748323</v>
      </c>
      <c r="I174" s="74">
        <f t="shared" si="8"/>
        <v>-21632.723364913574</v>
      </c>
    </row>
    <row r="175" spans="1:9" x14ac:dyDescent="0.25">
      <c r="A175" s="61">
        <f>'A) Base RI'!A166</f>
        <v>5665</v>
      </c>
      <c r="B175" s="13" t="str">
        <f>'A) Base RI'!B166</f>
        <v>Chavannes-sur-Moudon</v>
      </c>
      <c r="C175" s="14">
        <f>'D) Ecrêtage'!M164</f>
        <v>4834.5158333333329</v>
      </c>
      <c r="D175" s="19">
        <f>'A) Base RI'!AN166</f>
        <v>224</v>
      </c>
      <c r="E175" s="14">
        <f t="shared" si="6"/>
        <v>89863.539178620587</v>
      </c>
      <c r="F175" s="19">
        <f>'F) Population'!K167</f>
        <v>22174.647887323943</v>
      </c>
      <c r="G175" s="14">
        <f>'G) Solidarité'!I164</f>
        <v>103938.01545615097</v>
      </c>
      <c r="H175" s="19">
        <f t="shared" si="7"/>
        <v>126112.66334347491</v>
      </c>
      <c r="I175" s="74">
        <f t="shared" si="8"/>
        <v>-36249.124164854322</v>
      </c>
    </row>
    <row r="176" spans="1:9" x14ac:dyDescent="0.25">
      <c r="A176" s="61">
        <f>'A) Base RI'!A167</f>
        <v>5669</v>
      </c>
      <c r="B176" s="13" t="str">
        <f>'A) Base RI'!B167</f>
        <v>Curtilles</v>
      </c>
      <c r="C176" s="14">
        <f>'D) Ecrêtage'!M165</f>
        <v>8707.7998611111107</v>
      </c>
      <c r="D176" s="19">
        <f>'A) Base RI'!AN167</f>
        <v>311</v>
      </c>
      <c r="E176" s="14">
        <f t="shared" si="6"/>
        <v>161859.78926436004</v>
      </c>
      <c r="F176" s="19">
        <f>'F) Population'!K168</f>
        <v>30787.122736418511</v>
      </c>
      <c r="G176" s="14">
        <f>'G) Solidarité'!I165</f>
        <v>103169.54719744803</v>
      </c>
      <c r="H176" s="19">
        <f t="shared" si="7"/>
        <v>133956.66993386653</v>
      </c>
      <c r="I176" s="74">
        <f t="shared" si="8"/>
        <v>27903.1193304935</v>
      </c>
    </row>
    <row r="177" spans="1:9" x14ac:dyDescent="0.25">
      <c r="A177" s="61">
        <f>'A) Base RI'!A168</f>
        <v>5671</v>
      </c>
      <c r="B177" s="13" t="str">
        <f>'A) Base RI'!B168</f>
        <v>Dompierre</v>
      </c>
      <c r="C177" s="14">
        <f>'D) Ecrêtage'!M166</f>
        <v>6226.6947500000006</v>
      </c>
      <c r="D177" s="19">
        <f>'A) Base RI'!AN168</f>
        <v>247</v>
      </c>
      <c r="E177" s="14">
        <f t="shared" si="6"/>
        <v>115741.23385053269</v>
      </c>
      <c r="F177" s="19">
        <f>'F) Population'!K169</f>
        <v>24451.509054325954</v>
      </c>
      <c r="G177" s="14">
        <f>'G) Solidarité'!I166</f>
        <v>118697.0530870545</v>
      </c>
      <c r="H177" s="19">
        <f t="shared" si="7"/>
        <v>143148.56214138045</v>
      </c>
      <c r="I177" s="74">
        <f t="shared" si="8"/>
        <v>-27407.328290847756</v>
      </c>
    </row>
    <row r="178" spans="1:9" x14ac:dyDescent="0.25">
      <c r="A178" s="61">
        <f>'A) Base RI'!A169</f>
        <v>5673</v>
      </c>
      <c r="B178" s="13" t="str">
        <f>'A) Base RI'!B169</f>
        <v>Hermenches</v>
      </c>
      <c r="C178" s="14">
        <f>'D) Ecrêtage'!M167</f>
        <v>8854.2944888888887</v>
      </c>
      <c r="D178" s="19">
        <f>'A) Base RI'!AN169</f>
        <v>382</v>
      </c>
      <c r="E178" s="14">
        <f t="shared" si="6"/>
        <v>164582.81803840981</v>
      </c>
      <c r="F178" s="19">
        <f>'F) Population'!K170</f>
        <v>37815.694164989938</v>
      </c>
      <c r="G178" s="14">
        <f>'G) Solidarité'!I167</f>
        <v>178692.13358063044</v>
      </c>
      <c r="H178" s="19">
        <f t="shared" si="7"/>
        <v>216507.82774562039</v>
      </c>
      <c r="I178" s="74">
        <f t="shared" si="8"/>
        <v>-51925.009707210585</v>
      </c>
    </row>
    <row r="179" spans="1:9" x14ac:dyDescent="0.25">
      <c r="A179" s="61">
        <f>'A) Base RI'!A170</f>
        <v>5674</v>
      </c>
      <c r="B179" s="13" t="str">
        <f>'A) Base RI'!B170</f>
        <v>Lovatens</v>
      </c>
      <c r="C179" s="14">
        <f>'D) Ecrêtage'!M168</f>
        <v>3347.4317333333333</v>
      </c>
      <c r="D179" s="19">
        <f>'A) Base RI'!AN170</f>
        <v>151</v>
      </c>
      <c r="E179" s="14">
        <f t="shared" si="6"/>
        <v>62221.755618649411</v>
      </c>
      <c r="F179" s="19">
        <f>'F) Population'!K171</f>
        <v>14948.088531187122</v>
      </c>
      <c r="G179" s="14">
        <f>'G) Solidarité'!I168</f>
        <v>74047.35685348534</v>
      </c>
      <c r="H179" s="19">
        <f t="shared" si="7"/>
        <v>88995.445384672465</v>
      </c>
      <c r="I179" s="74">
        <f t="shared" si="8"/>
        <v>-26773.689766023053</v>
      </c>
    </row>
    <row r="180" spans="1:9" x14ac:dyDescent="0.25">
      <c r="A180" s="61">
        <f>'A) Base RI'!A171</f>
        <v>5675</v>
      </c>
      <c r="B180" s="13" t="str">
        <f>'A) Base RI'!B171</f>
        <v>Lucens</v>
      </c>
      <c r="C180" s="14">
        <f>'D) Ecrêtage'!M169</f>
        <v>91702.321238938035</v>
      </c>
      <c r="D180" s="19">
        <f>'A) Base RI'!AN171</f>
        <v>3890</v>
      </c>
      <c r="E180" s="14">
        <f t="shared" si="6"/>
        <v>1704554.3796976071</v>
      </c>
      <c r="F180" s="19">
        <f>'F) Population'!K172</f>
        <v>1232474.8490945674</v>
      </c>
      <c r="G180" s="14">
        <f>'G) Solidarité'!I169</f>
        <v>1458967.5036829782</v>
      </c>
      <c r="H180" s="19">
        <f t="shared" si="7"/>
        <v>2691442.3527775453</v>
      </c>
      <c r="I180" s="74">
        <f t="shared" si="8"/>
        <v>-986887.97307993821</v>
      </c>
    </row>
    <row r="181" spans="1:9" x14ac:dyDescent="0.25">
      <c r="A181" s="61">
        <f>'A) Base RI'!A172</f>
        <v>5678</v>
      </c>
      <c r="B181" s="13" t="str">
        <f>'A) Base RI'!B172</f>
        <v>Moudon</v>
      </c>
      <c r="C181" s="14">
        <f>'D) Ecrêtage'!M170</f>
        <v>122060.45639999998</v>
      </c>
      <c r="D181" s="19">
        <f>'A) Base RI'!AN172</f>
        <v>5770</v>
      </c>
      <c r="E181" s="14">
        <f t="shared" si="6"/>
        <v>2268848.6260058191</v>
      </c>
      <c r="F181" s="19">
        <f>'F) Population'!K173</f>
        <v>2239243.4607645879</v>
      </c>
      <c r="G181" s="14">
        <f>'G) Solidarité'!I170</f>
        <v>2960372.585099956</v>
      </c>
      <c r="H181" s="19">
        <f t="shared" si="7"/>
        <v>5199616.0458645439</v>
      </c>
      <c r="I181" s="74">
        <f t="shared" si="8"/>
        <v>-2930767.4198587248</v>
      </c>
    </row>
    <row r="182" spans="1:9" x14ac:dyDescent="0.25">
      <c r="A182" s="61">
        <f>'A) Base RI'!A173</f>
        <v>5680</v>
      </c>
      <c r="B182" s="13" t="str">
        <f>'A) Base RI'!B173</f>
        <v>Ogens</v>
      </c>
      <c r="C182" s="14">
        <f>'D) Ecrêtage'!M171</f>
        <v>8163.3689316239324</v>
      </c>
      <c r="D182" s="19">
        <f>'A) Base RI'!AN173</f>
        <v>283</v>
      </c>
      <c r="E182" s="14">
        <f t="shared" si="6"/>
        <v>151739.95682432622</v>
      </c>
      <c r="F182" s="19">
        <f>'F) Population'!K174</f>
        <v>28015.291750503016</v>
      </c>
      <c r="G182" s="14">
        <f>'G) Solidarité'!I171</f>
        <v>104384.32009131492</v>
      </c>
      <c r="H182" s="19">
        <f t="shared" si="7"/>
        <v>132399.61184181794</v>
      </c>
      <c r="I182" s="74">
        <f t="shared" si="8"/>
        <v>19340.344982508279</v>
      </c>
    </row>
    <row r="183" spans="1:9" x14ac:dyDescent="0.25">
      <c r="A183" s="61">
        <f>'A) Base RI'!A174</f>
        <v>5683</v>
      </c>
      <c r="B183" s="13" t="str">
        <f>'A) Base RI'!B174</f>
        <v>Prévonloup</v>
      </c>
      <c r="C183" s="14">
        <f>'D) Ecrêtage'!M172</f>
        <v>3618.5018918918922</v>
      </c>
      <c r="D183" s="19">
        <f>'A) Base RI'!AN174</f>
        <v>172</v>
      </c>
      <c r="E183" s="14">
        <f t="shared" si="6"/>
        <v>67260.382991803868</v>
      </c>
      <c r="F183" s="19">
        <f>'F) Population'!K175</f>
        <v>17026.96177062374</v>
      </c>
      <c r="G183" s="14">
        <f>'G) Solidarité'!I172</f>
        <v>86345.667679860213</v>
      </c>
      <c r="H183" s="19">
        <f t="shared" si="7"/>
        <v>103372.62945048395</v>
      </c>
      <c r="I183" s="74">
        <f t="shared" si="8"/>
        <v>-36112.246458680078</v>
      </c>
    </row>
    <row r="184" spans="1:9" x14ac:dyDescent="0.25">
      <c r="A184" s="61">
        <f>'A) Base RI'!A175</f>
        <v>5684</v>
      </c>
      <c r="B184" s="13" t="str">
        <f>'A) Base RI'!B175</f>
        <v>Rossenges</v>
      </c>
      <c r="C184" s="14">
        <f>'D) Ecrêtage'!M173</f>
        <v>2611.7396666666664</v>
      </c>
      <c r="D184" s="19">
        <f>'A) Base RI'!AN175</f>
        <v>65</v>
      </c>
      <c r="E184" s="14">
        <f t="shared" si="6"/>
        <v>48546.778612582362</v>
      </c>
      <c r="F184" s="19">
        <f>'F) Population'!K176</f>
        <v>6434.6076458752514</v>
      </c>
      <c r="G184" s="14">
        <f>'G) Solidarité'!I173</f>
        <v>3639.5428349152057</v>
      </c>
      <c r="H184" s="19">
        <f t="shared" si="7"/>
        <v>10074.150480790457</v>
      </c>
      <c r="I184" s="74">
        <f t="shared" si="8"/>
        <v>38472.628131791906</v>
      </c>
    </row>
    <row r="185" spans="1:9" x14ac:dyDescent="0.25">
      <c r="A185" s="61">
        <f>'A) Base RI'!A176</f>
        <v>5688</v>
      </c>
      <c r="B185" s="13" t="str">
        <f>'A) Base RI'!B176</f>
        <v>Syens</v>
      </c>
      <c r="C185" s="14">
        <f>'D) Ecrêtage'!M174</f>
        <v>5385.636772486775</v>
      </c>
      <c r="D185" s="19">
        <f>'A) Base RI'!AN176</f>
        <v>139</v>
      </c>
      <c r="E185" s="14">
        <f t="shared" si="6"/>
        <v>100107.72490789273</v>
      </c>
      <c r="F185" s="19">
        <f>'F) Population'!K177</f>
        <v>13760.160965794768</v>
      </c>
      <c r="G185" s="14">
        <f>'G) Solidarité'!I174</f>
        <v>16889.63536176888</v>
      </c>
      <c r="H185" s="19">
        <f t="shared" si="7"/>
        <v>30649.79632756365</v>
      </c>
      <c r="I185" s="74">
        <f t="shared" si="8"/>
        <v>69457.928580329084</v>
      </c>
    </row>
    <row r="186" spans="1:9" x14ac:dyDescent="0.25">
      <c r="A186" s="61">
        <f>'A) Base RI'!A177</f>
        <v>5690</v>
      </c>
      <c r="B186" s="13" t="str">
        <f>'A) Base RI'!B177</f>
        <v>Villars-le-Comte</v>
      </c>
      <c r="C186" s="14">
        <f>'D) Ecrêtage'!M175</f>
        <v>3375.6488157894737</v>
      </c>
      <c r="D186" s="19">
        <f>'A) Base RI'!AN177</f>
        <v>150</v>
      </c>
      <c r="E186" s="14">
        <f t="shared" si="6"/>
        <v>62746.252172641543</v>
      </c>
      <c r="F186" s="19">
        <f>'F) Population'!K178</f>
        <v>14849.094567404425</v>
      </c>
      <c r="G186" s="14">
        <f>'G) Solidarité'!I175</f>
        <v>74374.312547031222</v>
      </c>
      <c r="H186" s="19">
        <f t="shared" si="7"/>
        <v>89223.407114435642</v>
      </c>
      <c r="I186" s="74">
        <f t="shared" si="8"/>
        <v>-26477.154941794099</v>
      </c>
    </row>
    <row r="187" spans="1:9" x14ac:dyDescent="0.25">
      <c r="A187" s="61">
        <f>'A) Base RI'!A178</f>
        <v>5692</v>
      </c>
      <c r="B187" s="13" t="str">
        <f>'A) Base RI'!B178</f>
        <v>Vucherens</v>
      </c>
      <c r="C187" s="14">
        <f>'D) Ecrêtage'!M176</f>
        <v>15125.888354430383</v>
      </c>
      <c r="D187" s="19">
        <f>'A) Base RI'!AN178</f>
        <v>543</v>
      </c>
      <c r="E187" s="14">
        <f t="shared" si="6"/>
        <v>281158.63255175238</v>
      </c>
      <c r="F187" s="19">
        <f>'F) Population'!K179</f>
        <v>53753.722334004022</v>
      </c>
      <c r="G187" s="14">
        <f>'G) Solidarité'!I176</f>
        <v>218790.18949406419</v>
      </c>
      <c r="H187" s="19">
        <f t="shared" si="7"/>
        <v>272543.9118280682</v>
      </c>
      <c r="I187" s="74">
        <f t="shared" si="8"/>
        <v>8614.7207236841787</v>
      </c>
    </row>
    <row r="188" spans="1:9" x14ac:dyDescent="0.25">
      <c r="A188" s="61">
        <f>'A) Base RI'!A179</f>
        <v>5693</v>
      </c>
      <c r="B188" s="13" t="str">
        <f>'A) Base RI'!B179</f>
        <v>Montanaire</v>
      </c>
      <c r="C188" s="14">
        <f>'D) Ecrêtage'!M177</f>
        <v>62987.795555555575</v>
      </c>
      <c r="D188" s="19">
        <f>'A) Base RI'!AN179</f>
        <v>2421</v>
      </c>
      <c r="E188" s="14">
        <f t="shared" si="6"/>
        <v>1170811.3963873209</v>
      </c>
      <c r="F188" s="19">
        <f>'F) Population'!K180</f>
        <v>591340.44265593565</v>
      </c>
      <c r="G188" s="14">
        <f>'G) Solidarité'!I177</f>
        <v>902049.69107623561</v>
      </c>
      <c r="H188" s="19">
        <f t="shared" si="7"/>
        <v>1493390.1337321713</v>
      </c>
      <c r="I188" s="74">
        <f t="shared" si="8"/>
        <v>-322578.73734485032</v>
      </c>
    </row>
    <row r="189" spans="1:9" x14ac:dyDescent="0.25">
      <c r="A189" s="61">
        <f>'A) Base RI'!A180</f>
        <v>5701</v>
      </c>
      <c r="B189" s="13" t="str">
        <f>'A) Base RI'!B180</f>
        <v>Arnex-sur-Nyon</v>
      </c>
      <c r="C189" s="14">
        <f>'D) Ecrêtage'!M178</f>
        <v>13660.306397009143</v>
      </c>
      <c r="D189" s="19">
        <f>'A) Base RI'!AN180</f>
        <v>208</v>
      </c>
      <c r="E189" s="14">
        <f t="shared" si="6"/>
        <v>253916.5288560456</v>
      </c>
      <c r="F189" s="19">
        <f>'F) Population'!K181</f>
        <v>20590.744466800803</v>
      </c>
      <c r="G189" s="14">
        <f>'G) Solidarité'!I178</f>
        <v>0</v>
      </c>
      <c r="H189" s="19">
        <f t="shared" si="7"/>
        <v>20590.744466800803</v>
      </c>
      <c r="I189" s="74">
        <f t="shared" si="8"/>
        <v>233325.7843892448</v>
      </c>
    </row>
    <row r="190" spans="1:9" x14ac:dyDescent="0.25">
      <c r="A190" s="61">
        <f>'A) Base RI'!A181</f>
        <v>5702</v>
      </c>
      <c r="B190" s="13" t="str">
        <f>'A) Base RI'!B181</f>
        <v>Arzier-Le Muids</v>
      </c>
      <c r="C190" s="14">
        <f>'D) Ecrêtage'!M179</f>
        <v>137174.35355135452</v>
      </c>
      <c r="D190" s="19">
        <f>'A) Base RI'!AN181</f>
        <v>2506</v>
      </c>
      <c r="E190" s="14">
        <f t="shared" si="6"/>
        <v>2549784.3671689495</v>
      </c>
      <c r="F190" s="19">
        <f>'F) Population'!K182</f>
        <v>620791.14688128768</v>
      </c>
      <c r="G190" s="14">
        <f>'G) Solidarité'!I179</f>
        <v>0</v>
      </c>
      <c r="H190" s="19">
        <f t="shared" si="7"/>
        <v>620791.14688128768</v>
      </c>
      <c r="I190" s="74">
        <f t="shared" si="8"/>
        <v>1928993.2202876618</v>
      </c>
    </row>
    <row r="191" spans="1:9" x14ac:dyDescent="0.25">
      <c r="A191" s="61">
        <f>'A) Base RI'!A182</f>
        <v>5703</v>
      </c>
      <c r="B191" s="13" t="str">
        <f>'A) Base RI'!B182</f>
        <v>Bassins</v>
      </c>
      <c r="C191" s="14">
        <f>'D) Ecrêtage'!M180</f>
        <v>51617.647746478862</v>
      </c>
      <c r="D191" s="19">
        <f>'A) Base RI'!AN182</f>
        <v>1320</v>
      </c>
      <c r="E191" s="14">
        <f t="shared" si="6"/>
        <v>959464.12639540923</v>
      </c>
      <c r="F191" s="19">
        <f>'F) Population'!K183</f>
        <v>209867.20321931588</v>
      </c>
      <c r="G191" s="14">
        <f>'G) Solidarité'!I180</f>
        <v>131975.21489735384</v>
      </c>
      <c r="H191" s="19">
        <f t="shared" si="7"/>
        <v>341842.41811666975</v>
      </c>
      <c r="I191" s="74">
        <f t="shared" si="8"/>
        <v>617621.70827873948</v>
      </c>
    </row>
    <row r="192" spans="1:9" x14ac:dyDescent="0.25">
      <c r="A192" s="61">
        <f>'A) Base RI'!A183</f>
        <v>5704</v>
      </c>
      <c r="B192" s="13" t="str">
        <f>'A) Base RI'!B183</f>
        <v>Begnins</v>
      </c>
      <c r="C192" s="14">
        <f>'D) Ecrêtage'!M181</f>
        <v>106633.49455692498</v>
      </c>
      <c r="D192" s="19">
        <f>'A) Base RI'!AN183</f>
        <v>1802</v>
      </c>
      <c r="E192" s="14">
        <f t="shared" si="6"/>
        <v>1982093.6669189634</v>
      </c>
      <c r="F192" s="19">
        <f>'F) Population'!K184</f>
        <v>376870.02012072434</v>
      </c>
      <c r="G192" s="14">
        <f>'G) Solidarité'!I181</f>
        <v>0</v>
      </c>
      <c r="H192" s="19">
        <f t="shared" si="7"/>
        <v>376870.02012072434</v>
      </c>
      <c r="I192" s="74">
        <f t="shared" si="8"/>
        <v>1605223.6467982391</v>
      </c>
    </row>
    <row r="193" spans="1:9" x14ac:dyDescent="0.25">
      <c r="A193" s="61">
        <f>'A) Base RI'!A184</f>
        <v>5705</v>
      </c>
      <c r="B193" s="13" t="str">
        <f>'A) Base RI'!B184</f>
        <v>Bogis-Bossey</v>
      </c>
      <c r="C193" s="14">
        <f>'D) Ecrêtage'!M182</f>
        <v>48425.798700716397</v>
      </c>
      <c r="D193" s="19">
        <f>'A) Base RI'!AN184</f>
        <v>830</v>
      </c>
      <c r="E193" s="14">
        <f t="shared" si="6"/>
        <v>900134.32757699222</v>
      </c>
      <c r="F193" s="19">
        <f>'F) Population'!K185</f>
        <v>82164.989939637817</v>
      </c>
      <c r="G193" s="14">
        <f>'G) Solidarité'!I182</f>
        <v>0</v>
      </c>
      <c r="H193" s="19">
        <f t="shared" si="7"/>
        <v>82164.989939637817</v>
      </c>
      <c r="I193" s="74">
        <f t="shared" si="8"/>
        <v>817969.33763735439</v>
      </c>
    </row>
    <row r="194" spans="1:9" x14ac:dyDescent="0.25">
      <c r="A194" s="61">
        <f>'A) Base RI'!A185</f>
        <v>5706</v>
      </c>
      <c r="B194" s="13" t="str">
        <f>'A) Base RI'!B185</f>
        <v>Borex</v>
      </c>
      <c r="C194" s="14">
        <f>'D) Ecrêtage'!M183</f>
        <v>60160.097854151689</v>
      </c>
      <c r="D194" s="19">
        <f>'A) Base RI'!AN185</f>
        <v>1049</v>
      </c>
      <c r="E194" s="14">
        <f t="shared" si="6"/>
        <v>1118250.4095304012</v>
      </c>
      <c r="F194" s="19">
        <f>'F) Population'!K186</f>
        <v>115971.42857142857</v>
      </c>
      <c r="G194" s="14">
        <f>'G) Solidarité'!I183</f>
        <v>0</v>
      </c>
      <c r="H194" s="19">
        <f t="shared" si="7"/>
        <v>115971.42857142857</v>
      </c>
      <c r="I194" s="74">
        <f t="shared" si="8"/>
        <v>1002278.9809589727</v>
      </c>
    </row>
    <row r="195" spans="1:9" x14ac:dyDescent="0.25">
      <c r="A195" s="61">
        <f>'A) Base RI'!A186</f>
        <v>5707</v>
      </c>
      <c r="B195" s="13" t="str">
        <f>'A) Base RI'!B186</f>
        <v>Chavannes-de-Bogis</v>
      </c>
      <c r="C195" s="14">
        <f>'D) Ecrêtage'!M184</f>
        <v>83013.30450324282</v>
      </c>
      <c r="D195" s="19">
        <f>'A) Base RI'!AN186</f>
        <v>1155</v>
      </c>
      <c r="E195" s="14">
        <f t="shared" si="6"/>
        <v>1543043.7294545881</v>
      </c>
      <c r="F195" s="19">
        <f>'F) Population'!K187</f>
        <v>152698.18913480884</v>
      </c>
      <c r="G195" s="14">
        <f>'G) Solidarité'!I184</f>
        <v>0</v>
      </c>
      <c r="H195" s="19">
        <f t="shared" si="7"/>
        <v>152698.18913480884</v>
      </c>
      <c r="I195" s="74">
        <f t="shared" si="8"/>
        <v>1390345.5403197794</v>
      </c>
    </row>
    <row r="196" spans="1:9" x14ac:dyDescent="0.25">
      <c r="A196" s="61">
        <f>'A) Base RI'!A187</f>
        <v>5708</v>
      </c>
      <c r="B196" s="13" t="str">
        <f>'A) Base RI'!B187</f>
        <v>Chavannes-des-Bois</v>
      </c>
      <c r="C196" s="14">
        <f>'D) Ecrêtage'!M185</f>
        <v>57303.315617106862</v>
      </c>
      <c r="D196" s="19">
        <f>'A) Base RI'!AN187</f>
        <v>807</v>
      </c>
      <c r="E196" s="14">
        <f t="shared" si="6"/>
        <v>1065148.8019788421</v>
      </c>
      <c r="F196" s="19">
        <f>'F) Population'!K188</f>
        <v>79888.128772635813</v>
      </c>
      <c r="G196" s="14">
        <f>'G) Solidarité'!I185</f>
        <v>0</v>
      </c>
      <c r="H196" s="19">
        <f t="shared" si="7"/>
        <v>79888.128772635813</v>
      </c>
      <c r="I196" s="74">
        <f t="shared" si="8"/>
        <v>985260.67320620629</v>
      </c>
    </row>
    <row r="197" spans="1:9" x14ac:dyDescent="0.25">
      <c r="A197" s="61">
        <f>'A) Base RI'!A188</f>
        <v>5709</v>
      </c>
      <c r="B197" s="13" t="str">
        <f>'A) Base RI'!B188</f>
        <v>Chéserex</v>
      </c>
      <c r="C197" s="14">
        <f>'D) Ecrêtage'!M186</f>
        <v>100633.87651707719</v>
      </c>
      <c r="D197" s="19">
        <f>'A) Base RI'!AN188</f>
        <v>1174</v>
      </c>
      <c r="E197" s="14">
        <f t="shared" si="6"/>
        <v>1870573.3142368447</v>
      </c>
      <c r="F197" s="19">
        <f>'F) Population'!K189</f>
        <v>159281.28772635813</v>
      </c>
      <c r="G197" s="14">
        <f>'G) Solidarité'!I186</f>
        <v>0</v>
      </c>
      <c r="H197" s="19">
        <f t="shared" si="7"/>
        <v>159281.28772635813</v>
      </c>
      <c r="I197" s="74">
        <f t="shared" si="8"/>
        <v>1711292.0265104866</v>
      </c>
    </row>
    <row r="198" spans="1:9" x14ac:dyDescent="0.25">
      <c r="A198" s="61">
        <f>'A) Base RI'!A189</f>
        <v>5710</v>
      </c>
      <c r="B198" s="13" t="str">
        <f>'A) Base RI'!B189</f>
        <v>Coinsins</v>
      </c>
      <c r="C198" s="14">
        <f>'D) Ecrêtage'!M187</f>
        <v>78275.084040994145</v>
      </c>
      <c r="D198" s="19">
        <f>'A) Base RI'!AN189</f>
        <v>435</v>
      </c>
      <c r="E198" s="14">
        <f t="shared" si="6"/>
        <v>1454970.1198470988</v>
      </c>
      <c r="F198" s="19">
        <f>'F) Population'!K190</f>
        <v>43062.374245472834</v>
      </c>
      <c r="G198" s="14">
        <f>'G) Solidarité'!I187</f>
        <v>0</v>
      </c>
      <c r="H198" s="19">
        <f t="shared" si="7"/>
        <v>43062.374245472834</v>
      </c>
      <c r="I198" s="74">
        <f t="shared" si="8"/>
        <v>1411907.7456016261</v>
      </c>
    </row>
    <row r="199" spans="1:9" x14ac:dyDescent="0.25">
      <c r="A199" s="61">
        <f>'A) Base RI'!A190</f>
        <v>5711</v>
      </c>
      <c r="B199" s="13" t="str">
        <f>'A) Base RI'!B190</f>
        <v>Commugny</v>
      </c>
      <c r="C199" s="14">
        <f>'D) Ecrêtage'!M188</f>
        <v>210519.71244284327</v>
      </c>
      <c r="D199" s="19">
        <f>'A) Base RI'!AN190</f>
        <v>2591</v>
      </c>
      <c r="E199" s="14">
        <f t="shared" si="6"/>
        <v>3913121.2057559136</v>
      </c>
      <c r="F199" s="19">
        <f>'F) Population'!K191</f>
        <v>650241.85110663984</v>
      </c>
      <c r="G199" s="14">
        <f>'G) Solidarité'!I188</f>
        <v>0</v>
      </c>
      <c r="H199" s="19">
        <f t="shared" si="7"/>
        <v>650241.85110663984</v>
      </c>
      <c r="I199" s="74">
        <f t="shared" si="8"/>
        <v>3262879.3546492737</v>
      </c>
    </row>
    <row r="200" spans="1:9" x14ac:dyDescent="0.25">
      <c r="A200" s="61">
        <f>'A) Base RI'!A191</f>
        <v>5712</v>
      </c>
      <c r="B200" s="13" t="str">
        <f>'A) Base RI'!B191</f>
        <v>Coppet</v>
      </c>
      <c r="C200" s="14">
        <f>'D) Ecrêtage'!M189</f>
        <v>264743.7101481721</v>
      </c>
      <c r="D200" s="19">
        <f>'A) Base RI'!AN191</f>
        <v>2936</v>
      </c>
      <c r="E200" s="14">
        <f t="shared" si="6"/>
        <v>4921031.9273667987</v>
      </c>
      <c r="F200" s="19">
        <f>'F) Population'!K192</f>
        <v>769777.06237424549</v>
      </c>
      <c r="G200" s="14">
        <f>'G) Solidarité'!I189</f>
        <v>0</v>
      </c>
      <c r="H200" s="19">
        <f t="shared" si="7"/>
        <v>769777.06237424549</v>
      </c>
      <c r="I200" s="74">
        <f t="shared" si="8"/>
        <v>4151254.8649925534</v>
      </c>
    </row>
    <row r="201" spans="1:9" x14ac:dyDescent="0.25">
      <c r="A201" s="61">
        <f>'A) Base RI'!A192</f>
        <v>5713</v>
      </c>
      <c r="B201" s="13" t="str">
        <f>'A) Base RI'!B192</f>
        <v>Crans-près-Céligny</v>
      </c>
      <c r="C201" s="14">
        <f>'D) Ecrêtage'!M190</f>
        <v>212144.04426696996</v>
      </c>
      <c r="D201" s="19">
        <f>'A) Base RI'!AN192</f>
        <v>2044</v>
      </c>
      <c r="E201" s="14">
        <f t="shared" si="6"/>
        <v>3943314.1374886129</v>
      </c>
      <c r="F201" s="19">
        <f>'F) Population'!K193</f>
        <v>460717.907444668</v>
      </c>
      <c r="G201" s="14">
        <f>'G) Solidarité'!I190</f>
        <v>0</v>
      </c>
      <c r="H201" s="19">
        <f t="shared" si="7"/>
        <v>460717.907444668</v>
      </c>
      <c r="I201" s="74">
        <f t="shared" si="8"/>
        <v>3482596.2300439449</v>
      </c>
    </row>
    <row r="202" spans="1:9" x14ac:dyDescent="0.25">
      <c r="A202" s="61">
        <f>'A) Base RI'!A193</f>
        <v>5714</v>
      </c>
      <c r="B202" s="13" t="str">
        <f>'A) Base RI'!B193</f>
        <v>Crassier</v>
      </c>
      <c r="C202" s="14">
        <f>'D) Ecrêtage'!M191</f>
        <v>72000.97268941706</v>
      </c>
      <c r="D202" s="19">
        <f>'A) Base RI'!AN193</f>
        <v>1141</v>
      </c>
      <c r="E202" s="14">
        <f t="shared" si="6"/>
        <v>1338347.5105330378</v>
      </c>
      <c r="F202" s="19">
        <f>'F) Population'!K194</f>
        <v>147847.48490945675</v>
      </c>
      <c r="G202" s="14">
        <f>'G) Solidarité'!I191</f>
        <v>0</v>
      </c>
      <c r="H202" s="19">
        <f t="shared" si="7"/>
        <v>147847.48490945675</v>
      </c>
      <c r="I202" s="74">
        <f t="shared" si="8"/>
        <v>1190500.0256235811</v>
      </c>
    </row>
    <row r="203" spans="1:9" x14ac:dyDescent="0.25">
      <c r="A203" s="61">
        <f>'A) Base RI'!A194</f>
        <v>5715</v>
      </c>
      <c r="B203" s="13" t="str">
        <f>'A) Base RI'!B194</f>
        <v>Duillier</v>
      </c>
      <c r="C203" s="14">
        <f>'D) Ecrêtage'!M192</f>
        <v>57401.609046070247</v>
      </c>
      <c r="D203" s="19">
        <f>'A) Base RI'!AN194</f>
        <v>998</v>
      </c>
      <c r="E203" s="14">
        <f t="shared" si="6"/>
        <v>1066975.871267508</v>
      </c>
      <c r="F203" s="19">
        <f>'F) Population'!K195</f>
        <v>98795.975855130775</v>
      </c>
      <c r="G203" s="14">
        <f>'G) Solidarité'!I192</f>
        <v>0</v>
      </c>
      <c r="H203" s="19">
        <f t="shared" si="7"/>
        <v>98795.975855130775</v>
      </c>
      <c r="I203" s="74">
        <f t="shared" si="8"/>
        <v>968179.8954123772</v>
      </c>
    </row>
    <row r="204" spans="1:9" x14ac:dyDescent="0.25">
      <c r="A204" s="61">
        <f>'A) Base RI'!A195</f>
        <v>5716</v>
      </c>
      <c r="B204" s="13" t="str">
        <f>'A) Base RI'!B195</f>
        <v>Eysins</v>
      </c>
      <c r="C204" s="14">
        <f>'D) Ecrêtage'!M193</f>
        <v>112427.98831677147</v>
      </c>
      <c r="D204" s="19">
        <f>'A) Base RI'!AN195</f>
        <v>1469</v>
      </c>
      <c r="E204" s="14">
        <f t="shared" si="6"/>
        <v>2089801.1882012368</v>
      </c>
      <c r="F204" s="19">
        <f>'F) Population'!K196</f>
        <v>261492.55533199193</v>
      </c>
      <c r="G204" s="14">
        <f>'G) Solidarité'!I193</f>
        <v>0</v>
      </c>
      <c r="H204" s="19">
        <f t="shared" si="7"/>
        <v>261492.55533199193</v>
      </c>
      <c r="I204" s="74">
        <f t="shared" si="8"/>
        <v>1828308.6328692448</v>
      </c>
    </row>
    <row r="205" spans="1:9" x14ac:dyDescent="0.25">
      <c r="A205" s="61">
        <f>'A) Base RI'!A196</f>
        <v>5717</v>
      </c>
      <c r="B205" s="13" t="str">
        <f>'A) Base RI'!B196</f>
        <v>Founex</v>
      </c>
      <c r="C205" s="14">
        <f>'D) Ecrêtage'!M194</f>
        <v>297680.06872799026</v>
      </c>
      <c r="D205" s="19">
        <f>'A) Base RI'!AN196</f>
        <v>3372</v>
      </c>
      <c r="E205" s="14">
        <f t="shared" si="6"/>
        <v>5533249.955329665</v>
      </c>
      <c r="F205" s="19">
        <f>'F) Population'!K197</f>
        <v>976080.48289738421</v>
      </c>
      <c r="G205" s="14">
        <f>'G) Solidarité'!I194</f>
        <v>0</v>
      </c>
      <c r="H205" s="19">
        <f t="shared" si="7"/>
        <v>976080.48289738421</v>
      </c>
      <c r="I205" s="74">
        <f t="shared" si="8"/>
        <v>4557169.4724322809</v>
      </c>
    </row>
    <row r="206" spans="1:9" x14ac:dyDescent="0.25">
      <c r="A206" s="61">
        <f>'A) Base RI'!A197</f>
        <v>5718</v>
      </c>
      <c r="B206" s="13" t="str">
        <f>'A) Base RI'!B197</f>
        <v>Genolier</v>
      </c>
      <c r="C206" s="14">
        <f>'D) Ecrêtage'!M195</f>
        <v>135930.25960105986</v>
      </c>
      <c r="D206" s="19">
        <f>'A) Base RI'!AN197</f>
        <v>1890</v>
      </c>
      <c r="E206" s="14">
        <f t="shared" si="6"/>
        <v>2526659.2623397643</v>
      </c>
      <c r="F206" s="19">
        <f>'F) Population'!K198</f>
        <v>407360.16096579476</v>
      </c>
      <c r="G206" s="14">
        <f>'G) Solidarité'!I195</f>
        <v>0</v>
      </c>
      <c r="H206" s="19">
        <f t="shared" si="7"/>
        <v>407360.16096579476</v>
      </c>
      <c r="I206" s="74">
        <f t="shared" si="8"/>
        <v>2119299.1013739696</v>
      </c>
    </row>
    <row r="207" spans="1:9" x14ac:dyDescent="0.25">
      <c r="A207" s="61">
        <f>'A) Base RI'!A198</f>
        <v>5719</v>
      </c>
      <c r="B207" s="13" t="str">
        <f>'A) Base RI'!B198</f>
        <v>Gingins</v>
      </c>
      <c r="C207" s="14">
        <f>'D) Ecrêtage'!M196</f>
        <v>88352.891449777657</v>
      </c>
      <c r="D207" s="19">
        <f>'A) Base RI'!AN198</f>
        <v>1204</v>
      </c>
      <c r="E207" s="14">
        <f t="shared" si="6"/>
        <v>1642295.4843995597</v>
      </c>
      <c r="F207" s="19">
        <f>'F) Population'!K199</f>
        <v>169675.65392354125</v>
      </c>
      <c r="G207" s="14">
        <f>'G) Solidarité'!I196</f>
        <v>0</v>
      </c>
      <c r="H207" s="19">
        <f t="shared" si="7"/>
        <v>169675.65392354125</v>
      </c>
      <c r="I207" s="74">
        <f t="shared" si="8"/>
        <v>1472619.8304760184</v>
      </c>
    </row>
    <row r="208" spans="1:9" x14ac:dyDescent="0.25">
      <c r="A208" s="61">
        <f>'A) Base RI'!A199</f>
        <v>5720</v>
      </c>
      <c r="B208" s="13" t="str">
        <f>'A) Base RI'!B199</f>
        <v>Givrins</v>
      </c>
      <c r="C208" s="14">
        <f>'D) Ecrêtage'!M197</f>
        <v>73498.475925076491</v>
      </c>
      <c r="D208" s="19">
        <f>'A) Base RI'!AN199</f>
        <v>971</v>
      </c>
      <c r="E208" s="14">
        <f t="shared" si="6"/>
        <v>1366182.9640359397</v>
      </c>
      <c r="F208" s="19">
        <f>'F) Population'!K200</f>
        <v>96123.138832997982</v>
      </c>
      <c r="G208" s="14">
        <f>'G) Solidarité'!I197</f>
        <v>0</v>
      </c>
      <c r="H208" s="19">
        <f t="shared" si="7"/>
        <v>96123.138832997982</v>
      </c>
      <c r="I208" s="74">
        <f t="shared" si="8"/>
        <v>1270059.8252029417</v>
      </c>
    </row>
    <row r="209" spans="1:9" x14ac:dyDescent="0.25">
      <c r="A209" s="61">
        <f>'A) Base RI'!A200</f>
        <v>5721</v>
      </c>
      <c r="B209" s="13" t="str">
        <f>'A) Base RI'!B200</f>
        <v>Gland</v>
      </c>
      <c r="C209" s="14">
        <f>'D) Ecrêtage'!M198</f>
        <v>556574.85335272714</v>
      </c>
      <c r="D209" s="19">
        <f>'A) Base RI'!AN200</f>
        <v>12663</v>
      </c>
      <c r="E209" s="14">
        <f t="shared" ref="E209:E272" si="9">C209*E$15</f>
        <v>10345562.588759298</v>
      </c>
      <c r="F209" s="19">
        <f>'F) Population'!K201</f>
        <v>7338422.5352112679</v>
      </c>
      <c r="G209" s="14">
        <f>'G) Solidarité'!I198</f>
        <v>27374.209446321034</v>
      </c>
      <c r="H209" s="19">
        <f t="shared" ref="H209:H272" si="10">F209+G209</f>
        <v>7365796.7446575891</v>
      </c>
      <c r="I209" s="74">
        <f t="shared" ref="I209:I272" si="11">E209-H209</f>
        <v>2979765.8441017084</v>
      </c>
    </row>
    <row r="210" spans="1:9" x14ac:dyDescent="0.25">
      <c r="A210" s="61">
        <f>'A) Base RI'!A201</f>
        <v>5722</v>
      </c>
      <c r="B210" s="13" t="str">
        <f>'A) Base RI'!B201</f>
        <v>Grens</v>
      </c>
      <c r="C210" s="14">
        <f>'D) Ecrêtage'!M199</f>
        <v>22380.908870006704</v>
      </c>
      <c r="D210" s="19">
        <f>'A) Base RI'!AN201</f>
        <v>380</v>
      </c>
      <c r="E210" s="14">
        <f t="shared" si="9"/>
        <v>416014.29190196085</v>
      </c>
      <c r="F210" s="19">
        <f>'F) Population'!K202</f>
        <v>37617.706237424543</v>
      </c>
      <c r="G210" s="14">
        <f>'G) Solidarité'!I199</f>
        <v>0</v>
      </c>
      <c r="H210" s="19">
        <f t="shared" si="10"/>
        <v>37617.706237424543</v>
      </c>
      <c r="I210" s="74">
        <f t="shared" si="11"/>
        <v>378396.58566453634</v>
      </c>
    </row>
    <row r="211" spans="1:9" x14ac:dyDescent="0.25">
      <c r="A211" s="61">
        <f>'A) Base RI'!A202</f>
        <v>5723</v>
      </c>
      <c r="B211" s="13" t="str">
        <f>'A) Base RI'!B202</f>
        <v>Mies</v>
      </c>
      <c r="C211" s="14">
        <f>'D) Ecrêtage'!M200</f>
        <v>208613.39926680108</v>
      </c>
      <c r="D211" s="19">
        <f>'A) Base RI'!AN202</f>
        <v>1778</v>
      </c>
      <c r="E211" s="14">
        <f t="shared" si="9"/>
        <v>3877686.8303835457</v>
      </c>
      <c r="F211" s="19">
        <f>'F) Population'!K203</f>
        <v>368554.52716297784</v>
      </c>
      <c r="G211" s="14">
        <f>'G) Solidarité'!I200</f>
        <v>0</v>
      </c>
      <c r="H211" s="19">
        <f t="shared" si="10"/>
        <v>368554.52716297784</v>
      </c>
      <c r="I211" s="74">
        <f t="shared" si="11"/>
        <v>3509132.3032205678</v>
      </c>
    </row>
    <row r="212" spans="1:9" x14ac:dyDescent="0.25">
      <c r="A212" s="61">
        <f>'A) Base RI'!A203</f>
        <v>5724</v>
      </c>
      <c r="B212" s="13" t="str">
        <f>'A) Base RI'!B203</f>
        <v>Nyon</v>
      </c>
      <c r="C212" s="14">
        <f>'D) Ecrêtage'!M201</f>
        <v>1304185.770987886</v>
      </c>
      <c r="D212" s="19">
        <f>'A) Base RI'!AN203</f>
        <v>19861</v>
      </c>
      <c r="E212" s="14">
        <f t="shared" si="9"/>
        <v>24242086.109078363</v>
      </c>
      <c r="F212" s="19">
        <f>'F) Population'!K204</f>
        <v>14704612.877263581</v>
      </c>
      <c r="G212" s="14">
        <f>'G) Solidarité'!I201</f>
        <v>0</v>
      </c>
      <c r="H212" s="19">
        <f t="shared" si="10"/>
        <v>14704612.877263581</v>
      </c>
      <c r="I212" s="74">
        <f t="shared" si="11"/>
        <v>9537473.2318147812</v>
      </c>
    </row>
    <row r="213" spans="1:9" x14ac:dyDescent="0.25">
      <c r="A213" s="61">
        <f>'A) Base RI'!A204</f>
        <v>5725</v>
      </c>
      <c r="B213" s="13" t="str">
        <f>'A) Base RI'!B204</f>
        <v>Prangins</v>
      </c>
      <c r="C213" s="14">
        <f>'D) Ecrêtage'!M202</f>
        <v>263974.0731358112</v>
      </c>
      <c r="D213" s="19">
        <f>'A) Base RI'!AN204</f>
        <v>3976</v>
      </c>
      <c r="E213" s="14">
        <f t="shared" si="9"/>
        <v>4906725.9848075155</v>
      </c>
      <c r="F213" s="19">
        <f>'F) Population'!K205</f>
        <v>1275042.2535211267</v>
      </c>
      <c r="G213" s="14">
        <f>'G) Solidarité'!I202</f>
        <v>0</v>
      </c>
      <c r="H213" s="19">
        <f t="shared" si="10"/>
        <v>1275042.2535211267</v>
      </c>
      <c r="I213" s="74">
        <f t="shared" si="11"/>
        <v>3631683.7312863888</v>
      </c>
    </row>
    <row r="214" spans="1:9" x14ac:dyDescent="0.25">
      <c r="A214" s="61">
        <f>'A) Base RI'!A205</f>
        <v>5726</v>
      </c>
      <c r="B214" s="13" t="str">
        <f>'A) Base RI'!B205</f>
        <v>La Rippe</v>
      </c>
      <c r="C214" s="14">
        <f>'D) Ecrêtage'!M203</f>
        <v>60375.551317460784</v>
      </c>
      <c r="D214" s="19">
        <f>'A) Base RI'!AN205</f>
        <v>1104</v>
      </c>
      <c r="E214" s="14">
        <f t="shared" si="9"/>
        <v>1122255.2388470729</v>
      </c>
      <c r="F214" s="19">
        <f>'F) Population'!K206</f>
        <v>135027.76659959758</v>
      </c>
      <c r="G214" s="14">
        <f>'G) Solidarité'!I203</f>
        <v>0</v>
      </c>
      <c r="H214" s="19">
        <f t="shared" si="10"/>
        <v>135027.76659959758</v>
      </c>
      <c r="I214" s="74">
        <f t="shared" si="11"/>
        <v>987227.47224747529</v>
      </c>
    </row>
    <row r="215" spans="1:9" x14ac:dyDescent="0.25">
      <c r="A215" s="61">
        <f>'A) Base RI'!A206</f>
        <v>5727</v>
      </c>
      <c r="B215" s="13" t="str">
        <f>'A) Base RI'!B206</f>
        <v>Saint-Cergue</v>
      </c>
      <c r="C215" s="14">
        <f>'D) Ecrêtage'!M204</f>
        <v>92384.571565656559</v>
      </c>
      <c r="D215" s="19">
        <f>'A) Base RI'!AN206</f>
        <v>2406</v>
      </c>
      <c r="E215" s="14">
        <f t="shared" si="9"/>
        <v>1717235.9865178757</v>
      </c>
      <c r="F215" s="19">
        <f>'F) Population'!K207</f>
        <v>586143.25955734402</v>
      </c>
      <c r="G215" s="14">
        <f>'G) Solidarité'!I204</f>
        <v>237319.04585767002</v>
      </c>
      <c r="H215" s="19">
        <f t="shared" si="10"/>
        <v>823462.30541501404</v>
      </c>
      <c r="I215" s="74">
        <f t="shared" si="11"/>
        <v>893773.68110286165</v>
      </c>
    </row>
    <row r="216" spans="1:9" x14ac:dyDescent="0.25">
      <c r="A216" s="61">
        <f>'A) Base RI'!A207</f>
        <v>5728</v>
      </c>
      <c r="B216" s="13" t="str">
        <f>'A) Base RI'!B207</f>
        <v>Signy-Avenex</v>
      </c>
      <c r="C216" s="14">
        <f>'D) Ecrêtage'!M205</f>
        <v>31844.633660866617</v>
      </c>
      <c r="D216" s="19">
        <f>'A) Base RI'!AN207</f>
        <v>481</v>
      </c>
      <c r="E216" s="14">
        <f t="shared" si="9"/>
        <v>591925.14478518604</v>
      </c>
      <c r="F216" s="19">
        <f>'F) Population'!K208</f>
        <v>47616.096579476856</v>
      </c>
      <c r="G216" s="14">
        <f>'G) Solidarité'!I205</f>
        <v>0</v>
      </c>
      <c r="H216" s="19">
        <f t="shared" si="10"/>
        <v>47616.096579476856</v>
      </c>
      <c r="I216" s="74">
        <f t="shared" si="11"/>
        <v>544309.0482057092</v>
      </c>
    </row>
    <row r="217" spans="1:9" x14ac:dyDescent="0.25">
      <c r="A217" s="61">
        <f>'A) Base RI'!A208</f>
        <v>5729</v>
      </c>
      <c r="B217" s="13" t="str">
        <f>'A) Base RI'!B208</f>
        <v>Tannay</v>
      </c>
      <c r="C217" s="14">
        <f>'D) Ecrêtage'!M206</f>
        <v>121490.26557201984</v>
      </c>
      <c r="D217" s="19">
        <f>'A) Base RI'!AN208</f>
        <v>1448</v>
      </c>
      <c r="E217" s="14">
        <f t="shared" si="9"/>
        <v>2258249.9709230918</v>
      </c>
      <c r="F217" s="19">
        <f>'F) Population'!K209</f>
        <v>254216.49899396376</v>
      </c>
      <c r="G217" s="14">
        <f>'G) Solidarité'!I206</f>
        <v>0</v>
      </c>
      <c r="H217" s="19">
        <f t="shared" si="10"/>
        <v>254216.49899396376</v>
      </c>
      <c r="I217" s="74">
        <f t="shared" si="11"/>
        <v>2004033.471929128</v>
      </c>
    </row>
    <row r="218" spans="1:9" x14ac:dyDescent="0.25">
      <c r="A218" s="61">
        <f>'A) Base RI'!A209</f>
        <v>5730</v>
      </c>
      <c r="B218" s="13" t="str">
        <f>'A) Base RI'!B209</f>
        <v>Trélex</v>
      </c>
      <c r="C218" s="14">
        <f>'D) Ecrêtage'!M207</f>
        <v>126974.54932555581</v>
      </c>
      <c r="D218" s="19">
        <f>'A) Base RI'!AN209</f>
        <v>1394</v>
      </c>
      <c r="E218" s="14">
        <f t="shared" si="9"/>
        <v>2360191.336913561</v>
      </c>
      <c r="F218" s="19">
        <f>'F) Population'!K210</f>
        <v>235506.63983903421</v>
      </c>
      <c r="G218" s="14">
        <f>'G) Solidarité'!I207</f>
        <v>0</v>
      </c>
      <c r="H218" s="19">
        <f t="shared" si="10"/>
        <v>235506.63983903421</v>
      </c>
      <c r="I218" s="74">
        <f t="shared" si="11"/>
        <v>2124684.6970745269</v>
      </c>
    </row>
    <row r="219" spans="1:9" x14ac:dyDescent="0.25">
      <c r="A219" s="61">
        <f>'A) Base RI'!A210</f>
        <v>5731</v>
      </c>
      <c r="B219" s="13" t="str">
        <f>'A) Base RI'!B210</f>
        <v>Le Vaud</v>
      </c>
      <c r="C219" s="14">
        <f>'D) Ecrêtage'!M208</f>
        <v>46449.882799999999</v>
      </c>
      <c r="D219" s="19">
        <f>'A) Base RI'!AN210</f>
        <v>1243</v>
      </c>
      <c r="E219" s="14">
        <f t="shared" si="9"/>
        <v>863406.18310936727</v>
      </c>
      <c r="F219" s="19">
        <f>'F) Population'!K211</f>
        <v>183188.32997987926</v>
      </c>
      <c r="G219" s="14">
        <f>'G) Solidarité'!I208</f>
        <v>186915.28191897526</v>
      </c>
      <c r="H219" s="19">
        <f t="shared" si="10"/>
        <v>370103.61189885449</v>
      </c>
      <c r="I219" s="74">
        <f t="shared" si="11"/>
        <v>493302.57121051277</v>
      </c>
    </row>
    <row r="220" spans="1:9" x14ac:dyDescent="0.25">
      <c r="A220" s="61">
        <f>'A) Base RI'!A211</f>
        <v>5732</v>
      </c>
      <c r="B220" s="13" t="str">
        <f>'A) Base RI'!B211</f>
        <v>Vich</v>
      </c>
      <c r="C220" s="14">
        <f>'D) Ecrêtage'!M209</f>
        <v>55139.937699210619</v>
      </c>
      <c r="D220" s="19">
        <f>'A) Base RI'!AN211</f>
        <v>882</v>
      </c>
      <c r="E220" s="14">
        <f t="shared" si="9"/>
        <v>1024936.130641082</v>
      </c>
      <c r="F220" s="19">
        <f>'F) Population'!K212</f>
        <v>87312.676056338023</v>
      </c>
      <c r="G220" s="14">
        <f>'G) Solidarité'!I209</f>
        <v>0</v>
      </c>
      <c r="H220" s="19">
        <f t="shared" si="10"/>
        <v>87312.676056338023</v>
      </c>
      <c r="I220" s="74">
        <f t="shared" si="11"/>
        <v>937623.45458474394</v>
      </c>
    </row>
    <row r="221" spans="1:9" x14ac:dyDescent="0.25">
      <c r="A221" s="61">
        <f>'A) Base RI'!A212</f>
        <v>5741</v>
      </c>
      <c r="B221" s="13" t="str">
        <f>'A) Base RI'!B212</f>
        <v>L'Abergement</v>
      </c>
      <c r="C221" s="14">
        <f>'D) Ecrêtage'!M210</f>
        <v>6994.8889917695487</v>
      </c>
      <c r="D221" s="19">
        <f>'A) Base RI'!AN212</f>
        <v>250</v>
      </c>
      <c r="E221" s="14">
        <f t="shared" si="9"/>
        <v>130020.3583217109</v>
      </c>
      <c r="F221" s="19">
        <f>'F) Population'!K213</f>
        <v>24748.490945674042</v>
      </c>
      <c r="G221" s="14">
        <f>'G) Solidarité'!I210</f>
        <v>105092.13596073911</v>
      </c>
      <c r="H221" s="19">
        <f t="shared" si="10"/>
        <v>129840.62690641315</v>
      </c>
      <c r="I221" s="74">
        <f t="shared" si="11"/>
        <v>179.73141529774875</v>
      </c>
    </row>
    <row r="222" spans="1:9" x14ac:dyDescent="0.25">
      <c r="A222" s="61">
        <f>'A) Base RI'!A213</f>
        <v>5742</v>
      </c>
      <c r="B222" s="13" t="str">
        <f>'A) Base RI'!B213</f>
        <v>Agiez</v>
      </c>
      <c r="C222" s="14">
        <f>'D) Ecrêtage'!M211</f>
        <v>9274.0430263157905</v>
      </c>
      <c r="D222" s="19">
        <f>'A) Base RI'!AN213</f>
        <v>308</v>
      </c>
      <c r="E222" s="14">
        <f t="shared" si="9"/>
        <v>172385.06555162635</v>
      </c>
      <c r="F222" s="19">
        <f>'F) Population'!K214</f>
        <v>30490.140845070422</v>
      </c>
      <c r="G222" s="14">
        <f>'G) Solidarité'!I211</f>
        <v>98907.577259898913</v>
      </c>
      <c r="H222" s="19">
        <f t="shared" si="10"/>
        <v>129397.71810496933</v>
      </c>
      <c r="I222" s="74">
        <f t="shared" si="11"/>
        <v>42987.347446657019</v>
      </c>
    </row>
    <row r="223" spans="1:9" x14ac:dyDescent="0.25">
      <c r="A223" s="61">
        <f>'A) Base RI'!A214</f>
        <v>5743</v>
      </c>
      <c r="B223" s="13" t="str">
        <f>'A) Base RI'!B214</f>
        <v>Arnex-sur-Orbe</v>
      </c>
      <c r="C223" s="14">
        <f>'D) Ecrêtage'!M212</f>
        <v>17348.834349315071</v>
      </c>
      <c r="D223" s="19">
        <f>'A) Base RI'!AN214</f>
        <v>625</v>
      </c>
      <c r="E223" s="14">
        <f t="shared" si="9"/>
        <v>322478.54986921104</v>
      </c>
      <c r="F223" s="19">
        <f>'F) Population'!K215</f>
        <v>61871.227364185106</v>
      </c>
      <c r="G223" s="14">
        <f>'G) Solidarité'!I212</f>
        <v>216328.35423698838</v>
      </c>
      <c r="H223" s="19">
        <f t="shared" si="10"/>
        <v>278199.5816011735</v>
      </c>
      <c r="I223" s="74">
        <f t="shared" si="11"/>
        <v>44278.968268037541</v>
      </c>
    </row>
    <row r="224" spans="1:9" x14ac:dyDescent="0.25">
      <c r="A224" s="61">
        <f>'A) Base RI'!A215</f>
        <v>5744</v>
      </c>
      <c r="B224" s="13" t="str">
        <f>'A) Base RI'!B215</f>
        <v>Ballaigues</v>
      </c>
      <c r="C224" s="14">
        <f>'D) Ecrêtage'!M213</f>
        <v>53212.458333333336</v>
      </c>
      <c r="D224" s="19">
        <f>'A) Base RI'!AN215</f>
        <v>1069</v>
      </c>
      <c r="E224" s="14">
        <f t="shared" si="9"/>
        <v>989108.32006339473</v>
      </c>
      <c r="F224" s="19">
        <f>'F) Population'!K216</f>
        <v>122901.0060362173</v>
      </c>
      <c r="G224" s="14">
        <f>'G) Solidarité'!I213</f>
        <v>0</v>
      </c>
      <c r="H224" s="19">
        <f t="shared" si="10"/>
        <v>122901.0060362173</v>
      </c>
      <c r="I224" s="74">
        <f t="shared" si="11"/>
        <v>866207.3140271774</v>
      </c>
    </row>
    <row r="225" spans="1:9" x14ac:dyDescent="0.25">
      <c r="A225" s="61">
        <f>'A) Base RI'!A216</f>
        <v>5745</v>
      </c>
      <c r="B225" s="13" t="str">
        <f>'A) Base RI'!B216</f>
        <v>Baulmes</v>
      </c>
      <c r="C225" s="14">
        <f>'D) Ecrêtage'!M214</f>
        <v>27522.151666666668</v>
      </c>
      <c r="D225" s="19">
        <f>'A) Base RI'!AN216</f>
        <v>1034</v>
      </c>
      <c r="E225" s="14">
        <f t="shared" si="9"/>
        <v>511579.2438872155</v>
      </c>
      <c r="F225" s="19">
        <f>'F) Population'!K217</f>
        <v>110774.24547283701</v>
      </c>
      <c r="G225" s="14">
        <f>'G) Solidarité'!I214</f>
        <v>437140.93499158585</v>
      </c>
      <c r="H225" s="19">
        <f t="shared" si="10"/>
        <v>547915.1804644228</v>
      </c>
      <c r="I225" s="74">
        <f t="shared" si="11"/>
        <v>-36335.936577207292</v>
      </c>
    </row>
    <row r="226" spans="1:9" x14ac:dyDescent="0.25">
      <c r="A226" s="61">
        <f>'A) Base RI'!A217</f>
        <v>5746</v>
      </c>
      <c r="B226" s="13" t="str">
        <f>'A) Base RI'!B217</f>
        <v>Bavois</v>
      </c>
      <c r="C226" s="14">
        <f>'D) Ecrêtage'!M215</f>
        <v>23930.083584474884</v>
      </c>
      <c r="D226" s="19">
        <f>'A) Base RI'!AN217</f>
        <v>939</v>
      </c>
      <c r="E226" s="14">
        <f t="shared" si="9"/>
        <v>444810.21013813157</v>
      </c>
      <c r="F226" s="19">
        <f>'F) Population'!K218</f>
        <v>92955.331991951709</v>
      </c>
      <c r="G226" s="14">
        <f>'G) Solidarité'!I215</f>
        <v>370249.61016773415</v>
      </c>
      <c r="H226" s="19">
        <f t="shared" si="10"/>
        <v>463204.94215968589</v>
      </c>
      <c r="I226" s="74">
        <f t="shared" si="11"/>
        <v>-18394.732021554315</v>
      </c>
    </row>
    <row r="227" spans="1:9" x14ac:dyDescent="0.25">
      <c r="A227" s="61">
        <f>'A) Base RI'!A218</f>
        <v>5747</v>
      </c>
      <c r="B227" s="13" t="str">
        <f>'A) Base RI'!B218</f>
        <v>Bofflens</v>
      </c>
      <c r="C227" s="14">
        <f>'D) Ecrêtage'!M216</f>
        <v>5183.441884057971</v>
      </c>
      <c r="D227" s="19">
        <f>'A) Base RI'!AN218</f>
        <v>187</v>
      </c>
      <c r="E227" s="14">
        <f t="shared" si="9"/>
        <v>96349.344771300908</v>
      </c>
      <c r="F227" s="19">
        <f>'F) Population'!K219</f>
        <v>18511.871227364183</v>
      </c>
      <c r="G227" s="14">
        <f>'G) Solidarité'!I216</f>
        <v>57965.337856868631</v>
      </c>
      <c r="H227" s="19">
        <f t="shared" si="10"/>
        <v>76477.209084232818</v>
      </c>
      <c r="I227" s="74">
        <f t="shared" si="11"/>
        <v>19872.13568706809</v>
      </c>
    </row>
    <row r="228" spans="1:9" x14ac:dyDescent="0.25">
      <c r="A228" s="61">
        <f>'A) Base RI'!A219</f>
        <v>5748</v>
      </c>
      <c r="B228" s="13" t="str">
        <f>'A) Base RI'!B219</f>
        <v>Bretonnières</v>
      </c>
      <c r="C228" s="14">
        <f>'D) Ecrêtage'!M217</f>
        <v>6140.8540277777784</v>
      </c>
      <c r="D228" s="19">
        <f>'A) Base RI'!AN219</f>
        <v>252</v>
      </c>
      <c r="E228" s="14">
        <f t="shared" si="9"/>
        <v>114145.63433850894</v>
      </c>
      <c r="F228" s="19">
        <f>'F) Population'!K220</f>
        <v>24946.478873239434</v>
      </c>
      <c r="G228" s="14">
        <f>'G) Solidarité'!I217</f>
        <v>102458.71359175059</v>
      </c>
      <c r="H228" s="19">
        <f t="shared" si="10"/>
        <v>127405.19246499003</v>
      </c>
      <c r="I228" s="74">
        <f t="shared" si="11"/>
        <v>-13259.55812648109</v>
      </c>
    </row>
    <row r="229" spans="1:9" x14ac:dyDescent="0.25">
      <c r="A229" s="61">
        <f>'A) Base RI'!A220</f>
        <v>5749</v>
      </c>
      <c r="B229" s="13" t="str">
        <f>'A) Base RI'!B220</f>
        <v>Chavornay</v>
      </c>
      <c r="C229" s="14">
        <f>'D) Ecrêtage'!M218</f>
        <v>124346.92667771333</v>
      </c>
      <c r="D229" s="19">
        <f>'A) Base RI'!AN220</f>
        <v>4672</v>
      </c>
      <c r="E229" s="14">
        <f t="shared" si="9"/>
        <v>2311349.326896145</v>
      </c>
      <c r="F229" s="19">
        <f>'F) Population'!K221</f>
        <v>1619541.2474849094</v>
      </c>
      <c r="G229" s="14">
        <f>'G) Solidarité'!I218</f>
        <v>1702851.2999195396</v>
      </c>
      <c r="H229" s="19">
        <f t="shared" si="10"/>
        <v>3322392.547404449</v>
      </c>
      <c r="I229" s="74">
        <f t="shared" si="11"/>
        <v>-1011043.220508304</v>
      </c>
    </row>
    <row r="230" spans="1:9" x14ac:dyDescent="0.25">
      <c r="A230" s="61">
        <f>'A) Base RI'!A221</f>
        <v>5750</v>
      </c>
      <c r="B230" s="13" t="str">
        <f>'A) Base RI'!B221</f>
        <v>Les Clées</v>
      </c>
      <c r="C230" s="14">
        <f>'D) Ecrêtage'!M219</f>
        <v>4366.1146666666664</v>
      </c>
      <c r="D230" s="19">
        <f>'A) Base RI'!AN221</f>
        <v>186</v>
      </c>
      <c r="E230" s="14">
        <f t="shared" si="9"/>
        <v>81156.941032464645</v>
      </c>
      <c r="F230" s="19">
        <f>'F) Population'!K222</f>
        <v>18412.877263581489</v>
      </c>
      <c r="G230" s="14">
        <f>'G) Solidarité'!I219</f>
        <v>97598.627771766172</v>
      </c>
      <c r="H230" s="19">
        <f t="shared" si="10"/>
        <v>116011.50503534765</v>
      </c>
      <c r="I230" s="74">
        <f t="shared" si="11"/>
        <v>-34854.564002883009</v>
      </c>
    </row>
    <row r="231" spans="1:9" x14ac:dyDescent="0.25">
      <c r="A231" s="61">
        <f>'A) Base RI'!A222</f>
        <v>5752</v>
      </c>
      <c r="B231" s="13" t="str">
        <f>'A) Base RI'!B222</f>
        <v>Croy</v>
      </c>
      <c r="C231" s="14">
        <f>'D) Ecrêtage'!M220</f>
        <v>12886.326312741312</v>
      </c>
      <c r="D231" s="19">
        <f>'A) Base RI'!AN222</f>
        <v>335</v>
      </c>
      <c r="E231" s="14">
        <f t="shared" si="9"/>
        <v>239529.85767244568</v>
      </c>
      <c r="F231" s="19">
        <f>'F) Population'!K223</f>
        <v>33162.977867203219</v>
      </c>
      <c r="G231" s="14">
        <f>'G) Solidarité'!I220</f>
        <v>41035.294547438709</v>
      </c>
      <c r="H231" s="19">
        <f t="shared" si="10"/>
        <v>74198.27241464192</v>
      </c>
      <c r="I231" s="74">
        <f t="shared" si="11"/>
        <v>165331.58525780376</v>
      </c>
    </row>
    <row r="232" spans="1:9" x14ac:dyDescent="0.25">
      <c r="A232" s="61">
        <f>'A) Base RI'!A223</f>
        <v>5754</v>
      </c>
      <c r="B232" s="13" t="str">
        <f>'A) Base RI'!B223</f>
        <v>Juriens</v>
      </c>
      <c r="C232" s="14">
        <f>'D) Ecrêtage'!M221</f>
        <v>6475.8115189873415</v>
      </c>
      <c r="D232" s="19">
        <f>'A) Base RI'!AN223</f>
        <v>302</v>
      </c>
      <c r="E232" s="14">
        <f t="shared" si="9"/>
        <v>120371.79362150154</v>
      </c>
      <c r="F232" s="19">
        <f>'F) Population'!K224</f>
        <v>29896.177062374245</v>
      </c>
      <c r="G232" s="14">
        <f>'G) Solidarité'!I221</f>
        <v>169748.98370991508</v>
      </c>
      <c r="H232" s="19">
        <f t="shared" si="10"/>
        <v>199645.16077228932</v>
      </c>
      <c r="I232" s="74">
        <f t="shared" si="11"/>
        <v>-79273.367150787788</v>
      </c>
    </row>
    <row r="233" spans="1:9" x14ac:dyDescent="0.25">
      <c r="A233" s="61">
        <f>'A) Base RI'!A224</f>
        <v>5755</v>
      </c>
      <c r="B233" s="13" t="str">
        <f>'A) Base RI'!B224</f>
        <v>Lignerolle</v>
      </c>
      <c r="C233" s="14">
        <f>'D) Ecrêtage'!M222</f>
        <v>8871.4906525573169</v>
      </c>
      <c r="D233" s="19">
        <f>'A) Base RI'!AN224</f>
        <v>394</v>
      </c>
      <c r="E233" s="14">
        <f t="shared" si="9"/>
        <v>164902.45875959331</v>
      </c>
      <c r="F233" s="19">
        <f>'F) Population'!K225</f>
        <v>39003.621730382292</v>
      </c>
      <c r="G233" s="14">
        <f>'G) Solidarité'!I222</f>
        <v>221782.01040112795</v>
      </c>
      <c r="H233" s="19">
        <f t="shared" si="10"/>
        <v>260785.63213151024</v>
      </c>
      <c r="I233" s="74">
        <f t="shared" si="11"/>
        <v>-95883.173371916928</v>
      </c>
    </row>
    <row r="234" spans="1:9" x14ac:dyDescent="0.25">
      <c r="A234" s="61">
        <f>'A) Base RI'!A225</f>
        <v>5756</v>
      </c>
      <c r="B234" s="13" t="str">
        <f>'A) Base RI'!B225</f>
        <v>Montcherand</v>
      </c>
      <c r="C234" s="14">
        <f>'D) Ecrêtage'!M223</f>
        <v>14808.245169082125</v>
      </c>
      <c r="D234" s="19">
        <f>'A) Base RI'!AN225</f>
        <v>474</v>
      </c>
      <c r="E234" s="14">
        <f t="shared" si="9"/>
        <v>275254.31000624452</v>
      </c>
      <c r="F234" s="19">
        <f>'F) Population'!K226</f>
        <v>46923.138832997982</v>
      </c>
      <c r="G234" s="14">
        <f>'G) Solidarité'!I223</f>
        <v>115321.82150969468</v>
      </c>
      <c r="H234" s="19">
        <f t="shared" si="10"/>
        <v>162244.96034269268</v>
      </c>
      <c r="I234" s="74">
        <f t="shared" si="11"/>
        <v>113009.34966355184</v>
      </c>
    </row>
    <row r="235" spans="1:9" x14ac:dyDescent="0.25">
      <c r="A235" s="61">
        <f>'A) Base RI'!A226</f>
        <v>5757</v>
      </c>
      <c r="B235" s="13" t="str">
        <f>'A) Base RI'!B226</f>
        <v>Orbe</v>
      </c>
      <c r="C235" s="14">
        <f>'D) Ecrêtage'!M224</f>
        <v>210430.38166666671</v>
      </c>
      <c r="D235" s="19">
        <f>'A) Base RI'!AN226</f>
        <v>6767</v>
      </c>
      <c r="E235" s="14">
        <f t="shared" si="9"/>
        <v>3911460.7334394408</v>
      </c>
      <c r="F235" s="19">
        <f>'F) Population'!K227</f>
        <v>2831425.352112676</v>
      </c>
      <c r="G235" s="14">
        <f>'G) Solidarité'!I224</f>
        <v>1812805.4266050197</v>
      </c>
      <c r="H235" s="19">
        <f t="shared" si="10"/>
        <v>4644230.7787176957</v>
      </c>
      <c r="I235" s="74">
        <f t="shared" si="11"/>
        <v>-732770.0452782549</v>
      </c>
    </row>
    <row r="236" spans="1:9" x14ac:dyDescent="0.25">
      <c r="A236" s="61">
        <f>'A) Base RI'!A227</f>
        <v>5758</v>
      </c>
      <c r="B236" s="13" t="str">
        <f>'A) Base RI'!B227</f>
        <v>La Praz</v>
      </c>
      <c r="C236" s="14">
        <f>'D) Ecrêtage'!M225</f>
        <v>3864.2083668005353</v>
      </c>
      <c r="D236" s="19">
        <f>'A) Base RI'!AN227</f>
        <v>160</v>
      </c>
      <c r="E236" s="14">
        <f t="shared" si="9"/>
        <v>71827.552527614389</v>
      </c>
      <c r="F236" s="19">
        <f>'F) Population'!K228</f>
        <v>15839.034205231386</v>
      </c>
      <c r="G236" s="14">
        <f>'G) Solidarité'!I225</f>
        <v>87400.757802526408</v>
      </c>
      <c r="H236" s="19">
        <f t="shared" si="10"/>
        <v>103239.79200775779</v>
      </c>
      <c r="I236" s="74">
        <f t="shared" si="11"/>
        <v>-31412.239480143398</v>
      </c>
    </row>
    <row r="237" spans="1:9" x14ac:dyDescent="0.25">
      <c r="A237" s="61">
        <f>'A) Base RI'!A228</f>
        <v>5759</v>
      </c>
      <c r="B237" s="13" t="str">
        <f>'A) Base RI'!B228</f>
        <v>Premier</v>
      </c>
      <c r="C237" s="14">
        <f>'D) Ecrêtage'!M226</f>
        <v>4558.7250617283944</v>
      </c>
      <c r="D237" s="19">
        <f>'A) Base RI'!AN228</f>
        <v>185</v>
      </c>
      <c r="E237" s="14">
        <f t="shared" si="9"/>
        <v>84737.165480898213</v>
      </c>
      <c r="F237" s="19">
        <f>'F) Population'!K229</f>
        <v>18313.883299798792</v>
      </c>
      <c r="G237" s="14">
        <f>'G) Solidarité'!I226</f>
        <v>93878.357813759343</v>
      </c>
      <c r="H237" s="19">
        <f t="shared" si="10"/>
        <v>112192.24111355814</v>
      </c>
      <c r="I237" s="74">
        <f t="shared" si="11"/>
        <v>-27455.075632659922</v>
      </c>
    </row>
    <row r="238" spans="1:9" x14ac:dyDescent="0.25">
      <c r="A238" s="61">
        <f>'A) Base RI'!A229</f>
        <v>5760</v>
      </c>
      <c r="B238" s="13" t="str">
        <f>'A) Base RI'!B229</f>
        <v>Rances</v>
      </c>
      <c r="C238" s="14">
        <f>'D) Ecrêtage'!M227</f>
        <v>11470.274871794873</v>
      </c>
      <c r="D238" s="19">
        <f>'A) Base RI'!AN229</f>
        <v>460</v>
      </c>
      <c r="E238" s="14">
        <f t="shared" si="9"/>
        <v>213208.42269749919</v>
      </c>
      <c r="F238" s="19">
        <f>'F) Population'!K230</f>
        <v>45537.22334004024</v>
      </c>
      <c r="G238" s="14">
        <f>'G) Solidarité'!I227</f>
        <v>213188.91089260558</v>
      </c>
      <c r="H238" s="19">
        <f t="shared" si="10"/>
        <v>258726.13423264583</v>
      </c>
      <c r="I238" s="74">
        <f t="shared" si="11"/>
        <v>-45517.711535146635</v>
      </c>
    </row>
    <row r="239" spans="1:9" x14ac:dyDescent="0.25">
      <c r="A239" s="61">
        <f>'A) Base RI'!A230</f>
        <v>5761</v>
      </c>
      <c r="B239" s="13" t="str">
        <f>'A) Base RI'!B230</f>
        <v>Romainmôtier-Envy</v>
      </c>
      <c r="C239" s="14">
        <f>'D) Ecrêtage'!M228</f>
        <v>11347.35572368421</v>
      </c>
      <c r="D239" s="19">
        <f>'A) Base RI'!AN230</f>
        <v>525</v>
      </c>
      <c r="E239" s="14">
        <f t="shared" si="9"/>
        <v>210923.61278832797</v>
      </c>
      <c r="F239" s="19">
        <f>'F) Population'!K231</f>
        <v>51971.830985915491</v>
      </c>
      <c r="G239" s="14">
        <f>'G) Solidarité'!I228</f>
        <v>271045.7437908799</v>
      </c>
      <c r="H239" s="19">
        <f t="shared" si="10"/>
        <v>323017.5747767954</v>
      </c>
      <c r="I239" s="74">
        <f t="shared" si="11"/>
        <v>-112093.96198846743</v>
      </c>
    </row>
    <row r="240" spans="1:9" x14ac:dyDescent="0.25">
      <c r="A240" s="61">
        <f>'A) Base RI'!A231</f>
        <v>5762</v>
      </c>
      <c r="B240" s="13" t="str">
        <f>'A) Base RI'!B231</f>
        <v>Sergey</v>
      </c>
      <c r="C240" s="14">
        <f>'D) Ecrêtage'!M229</f>
        <v>3104.8092592592593</v>
      </c>
      <c r="D240" s="19">
        <f>'A) Base RI'!AN231</f>
        <v>144</v>
      </c>
      <c r="E240" s="14">
        <f t="shared" si="9"/>
        <v>57711.91120894839</v>
      </c>
      <c r="F240" s="19">
        <f>'F) Population'!K232</f>
        <v>14255.130784708248</v>
      </c>
      <c r="G240" s="14">
        <f>'G) Solidarité'!I229</f>
        <v>84646.355384357201</v>
      </c>
      <c r="H240" s="19">
        <f t="shared" si="10"/>
        <v>98901.486169065451</v>
      </c>
      <c r="I240" s="74">
        <f t="shared" si="11"/>
        <v>-41189.574960117061</v>
      </c>
    </row>
    <row r="241" spans="1:9" x14ac:dyDescent="0.25">
      <c r="A241" s="61">
        <f>'A) Base RI'!A232</f>
        <v>5763</v>
      </c>
      <c r="B241" s="13" t="str">
        <f>'A) Base RI'!B232</f>
        <v>Valeyres-sous-Rances</v>
      </c>
      <c r="C241" s="14">
        <f>'D) Ecrêtage'!M230</f>
        <v>16129.151764705883</v>
      </c>
      <c r="D241" s="19">
        <f>'A) Base RI'!AN232</f>
        <v>600</v>
      </c>
      <c r="E241" s="14">
        <f t="shared" si="9"/>
        <v>299807.20127794211</v>
      </c>
      <c r="F241" s="19">
        <f>'F) Population'!K233</f>
        <v>59396.3782696177</v>
      </c>
      <c r="G241" s="14">
        <f>'G) Solidarité'!I230</f>
        <v>189867.53074833663</v>
      </c>
      <c r="H241" s="19">
        <f t="shared" si="10"/>
        <v>249263.90901795434</v>
      </c>
      <c r="I241" s="74">
        <f t="shared" si="11"/>
        <v>50543.292259987764</v>
      </c>
    </row>
    <row r="242" spans="1:9" x14ac:dyDescent="0.25">
      <c r="A242" s="61">
        <f>'A) Base RI'!A233</f>
        <v>5764</v>
      </c>
      <c r="B242" s="13" t="str">
        <f>'A) Base RI'!B233</f>
        <v>Vallorbe</v>
      </c>
      <c r="C242" s="14">
        <f>'D) Ecrêtage'!M231</f>
        <v>84393.993513513502</v>
      </c>
      <c r="D242" s="19">
        <f>'A) Base RI'!AN233</f>
        <v>3650</v>
      </c>
      <c r="E242" s="14">
        <f t="shared" si="9"/>
        <v>1568707.8507948224</v>
      </c>
      <c r="F242" s="19">
        <f>'F) Population'!K234</f>
        <v>1113682.092555332</v>
      </c>
      <c r="G242" s="14">
        <f>'G) Solidarité'!I231</f>
        <v>1666712.9657140498</v>
      </c>
      <c r="H242" s="19">
        <f t="shared" si="10"/>
        <v>2780395.0582693815</v>
      </c>
      <c r="I242" s="74">
        <f t="shared" si="11"/>
        <v>-1211687.2074745591</v>
      </c>
    </row>
    <row r="243" spans="1:9" x14ac:dyDescent="0.25">
      <c r="A243" s="61">
        <f>'A) Base RI'!A234</f>
        <v>5765</v>
      </c>
      <c r="B243" s="13" t="str">
        <f>'A) Base RI'!B234</f>
        <v>Vaulion</v>
      </c>
      <c r="C243" s="14">
        <f>'D) Ecrêtage'!M232</f>
        <v>9305.5603703703709</v>
      </c>
      <c r="D243" s="19">
        <f>'A) Base RI'!AN234</f>
        <v>491</v>
      </c>
      <c r="E243" s="14">
        <f t="shared" si="9"/>
        <v>172970.90706707383</v>
      </c>
      <c r="F243" s="19">
        <f>'F) Population'!K235</f>
        <v>48606.036217303823</v>
      </c>
      <c r="G243" s="14">
        <f>'G) Solidarité'!I232</f>
        <v>322040.80745382211</v>
      </c>
      <c r="H243" s="19">
        <f t="shared" si="10"/>
        <v>370646.84367112594</v>
      </c>
      <c r="I243" s="74">
        <f t="shared" si="11"/>
        <v>-197675.93660405211</v>
      </c>
    </row>
    <row r="244" spans="1:9" x14ac:dyDescent="0.25">
      <c r="A244" s="61">
        <f>'A) Base RI'!A235</f>
        <v>5766</v>
      </c>
      <c r="B244" s="13" t="str">
        <f>'A) Base RI'!B235</f>
        <v>Vuiteboeuf</v>
      </c>
      <c r="C244" s="14">
        <f>'D) Ecrêtage'!M233</f>
        <v>11614.965899814471</v>
      </c>
      <c r="D244" s="19">
        <f>'A) Base RI'!AN235</f>
        <v>538</v>
      </c>
      <c r="E244" s="14">
        <f t="shared" si="9"/>
        <v>215897.9263238156</v>
      </c>
      <c r="F244" s="19">
        <f>'F) Population'!K236</f>
        <v>53258.752515090542</v>
      </c>
      <c r="G244" s="14">
        <f>'G) Solidarité'!I233</f>
        <v>285430.10940005223</v>
      </c>
      <c r="H244" s="19">
        <f t="shared" si="10"/>
        <v>338688.86191514274</v>
      </c>
      <c r="I244" s="74">
        <f t="shared" si="11"/>
        <v>-122790.93559132714</v>
      </c>
    </row>
    <row r="245" spans="1:9" x14ac:dyDescent="0.25">
      <c r="A245" s="61">
        <f>'A) Base RI'!A236</f>
        <v>5785</v>
      </c>
      <c r="B245" s="13" t="str">
        <f>'A) Base RI'!B236</f>
        <v>Corcelles-le-Jorat</v>
      </c>
      <c r="C245" s="14">
        <f>'D) Ecrêtage'!M234</f>
        <v>12293.058354430379</v>
      </c>
      <c r="D245" s="19">
        <f>'A) Base RI'!AN236</f>
        <v>421</v>
      </c>
      <c r="E245" s="14">
        <f t="shared" si="9"/>
        <v>228502.246996831</v>
      </c>
      <c r="F245" s="19">
        <f>'F) Population'!K237</f>
        <v>41676.458752515086</v>
      </c>
      <c r="G245" s="14">
        <f>'G) Solidarité'!I234</f>
        <v>155595.8101682206</v>
      </c>
      <c r="H245" s="19">
        <f t="shared" si="10"/>
        <v>197272.26892073569</v>
      </c>
      <c r="I245" s="74">
        <f t="shared" si="11"/>
        <v>31229.978076095314</v>
      </c>
    </row>
    <row r="246" spans="1:9" x14ac:dyDescent="0.25">
      <c r="A246" s="61">
        <f>'A) Base RI'!A237</f>
        <v>5788</v>
      </c>
      <c r="B246" s="13" t="str">
        <f>'A) Base RI'!B237</f>
        <v>Essertes</v>
      </c>
      <c r="C246" s="14">
        <f>'D) Ecrêtage'!M235</f>
        <v>10412.319857142857</v>
      </c>
      <c r="D246" s="19">
        <f>'A) Base RI'!AN237</f>
        <v>330</v>
      </c>
      <c r="E246" s="14">
        <f t="shared" si="9"/>
        <v>193543.25141956194</v>
      </c>
      <c r="F246" s="19">
        <f>'F) Population'!K238</f>
        <v>32668.008048289736</v>
      </c>
      <c r="G246" s="14">
        <f>'G) Solidarité'!I235</f>
        <v>80628.695582402463</v>
      </c>
      <c r="H246" s="19">
        <f t="shared" si="10"/>
        <v>113296.70363069219</v>
      </c>
      <c r="I246" s="74">
        <f t="shared" si="11"/>
        <v>80246.54778886975</v>
      </c>
    </row>
    <row r="247" spans="1:9" x14ac:dyDescent="0.25">
      <c r="A247" s="61">
        <f>'A) Base RI'!A238</f>
        <v>5790</v>
      </c>
      <c r="B247" s="13" t="str">
        <f>'A) Base RI'!B238</f>
        <v>Maracon</v>
      </c>
      <c r="C247" s="14">
        <f>'D) Ecrêtage'!M236</f>
        <v>12107.709078947366</v>
      </c>
      <c r="D247" s="19">
        <f>'A) Base RI'!AN238</f>
        <v>444</v>
      </c>
      <c r="E247" s="14">
        <f t="shared" si="9"/>
        <v>225056.99157657675</v>
      </c>
      <c r="F247" s="19">
        <f>'F) Population'!K239</f>
        <v>43953.319919517096</v>
      </c>
      <c r="G247" s="14">
        <f>'G) Solidarité'!I236</f>
        <v>171552.26526196511</v>
      </c>
      <c r="H247" s="19">
        <f t="shared" si="10"/>
        <v>215505.58518148219</v>
      </c>
      <c r="I247" s="74">
        <f t="shared" si="11"/>
        <v>9551.4063950945565</v>
      </c>
    </row>
    <row r="248" spans="1:9" x14ac:dyDescent="0.25">
      <c r="A248" s="61">
        <f>'A) Base RI'!A239</f>
        <v>5792</v>
      </c>
      <c r="B248" s="13" t="str">
        <f>'A) Base RI'!B239</f>
        <v>Montpreveyres</v>
      </c>
      <c r="C248" s="14">
        <f>'D) Ecrêtage'!M237</f>
        <v>19088.494155844161</v>
      </c>
      <c r="D248" s="19">
        <f>'A) Base RI'!AN239</f>
        <v>628</v>
      </c>
      <c r="E248" s="14">
        <f t="shared" si="9"/>
        <v>354815.18761556206</v>
      </c>
      <c r="F248" s="19">
        <f>'F) Population'!K240</f>
        <v>62168.209255533198</v>
      </c>
      <c r="G248" s="14">
        <f>'G) Solidarité'!I237</f>
        <v>202788.55657494804</v>
      </c>
      <c r="H248" s="19">
        <f t="shared" si="10"/>
        <v>264956.76583048125</v>
      </c>
      <c r="I248" s="74">
        <f t="shared" si="11"/>
        <v>89858.421785080805</v>
      </c>
    </row>
    <row r="249" spans="1:9" x14ac:dyDescent="0.25">
      <c r="A249" s="61">
        <f>'A) Base RI'!A240</f>
        <v>5798</v>
      </c>
      <c r="B249" s="13" t="str">
        <f>'A) Base RI'!B240</f>
        <v>Ropraz</v>
      </c>
      <c r="C249" s="14">
        <f>'D) Ecrêtage'!M238</f>
        <v>9558.3067096774193</v>
      </c>
      <c r="D249" s="19">
        <f>'A) Base RI'!AN240</f>
        <v>405</v>
      </c>
      <c r="E249" s="14">
        <f t="shared" si="9"/>
        <v>177668.93295996077</v>
      </c>
      <c r="F249" s="19">
        <f>'F) Population'!K241</f>
        <v>40092.555331991949</v>
      </c>
      <c r="G249" s="14">
        <f>'G) Solidarité'!I238</f>
        <v>198209.9254934561</v>
      </c>
      <c r="H249" s="19">
        <f t="shared" si="10"/>
        <v>238302.48082544806</v>
      </c>
      <c r="I249" s="74">
        <f t="shared" si="11"/>
        <v>-60633.547865487286</v>
      </c>
    </row>
    <row r="250" spans="1:9" x14ac:dyDescent="0.25">
      <c r="A250" s="61">
        <f>'A) Base RI'!A241</f>
        <v>5799</v>
      </c>
      <c r="B250" s="13" t="str">
        <f>'A) Base RI'!B241</f>
        <v>Servion</v>
      </c>
      <c r="C250" s="14">
        <f>'D) Ecrêtage'!M239</f>
        <v>51366.477681159435</v>
      </c>
      <c r="D250" s="19">
        <f>'A) Base RI'!AN241</f>
        <v>1908</v>
      </c>
      <c r="E250" s="14">
        <f t="shared" si="9"/>
        <v>954795.40013957513</v>
      </c>
      <c r="F250" s="19">
        <f>'F) Population'!K242</f>
        <v>413596.7806841046</v>
      </c>
      <c r="G250" s="14">
        <f>'G) Solidarité'!I239</f>
        <v>620232.94737828604</v>
      </c>
      <c r="H250" s="19">
        <f t="shared" si="10"/>
        <v>1033829.7280623906</v>
      </c>
      <c r="I250" s="74">
        <f t="shared" si="11"/>
        <v>-79034.327922815457</v>
      </c>
    </row>
    <row r="251" spans="1:9" x14ac:dyDescent="0.25">
      <c r="A251" s="61">
        <f>'A) Base RI'!A242</f>
        <v>5803</v>
      </c>
      <c r="B251" s="13" t="str">
        <f>'A) Base RI'!B242</f>
        <v>Vulliens</v>
      </c>
      <c r="C251" s="14">
        <f>'D) Ecrêtage'!M240</f>
        <v>12589.149382716048</v>
      </c>
      <c r="D251" s="19">
        <f>'A) Base RI'!AN242</f>
        <v>462</v>
      </c>
      <c r="E251" s="14">
        <f t="shared" si="9"/>
        <v>234005.96001341278</v>
      </c>
      <c r="F251" s="19">
        <f>'F) Population'!K243</f>
        <v>45735.211267605628</v>
      </c>
      <c r="G251" s="14">
        <f>'G) Solidarité'!I240</f>
        <v>203013.06146674801</v>
      </c>
      <c r="H251" s="19">
        <f t="shared" si="10"/>
        <v>248748.27273435364</v>
      </c>
      <c r="I251" s="74">
        <f t="shared" si="11"/>
        <v>-14742.312720940856</v>
      </c>
    </row>
    <row r="252" spans="1:9" x14ac:dyDescent="0.25">
      <c r="A252" s="61">
        <f>'A) Base RI'!A243</f>
        <v>5804</v>
      </c>
      <c r="B252" s="13" t="str">
        <f>'A) Base RI'!B243</f>
        <v>Jorat-Menthue</v>
      </c>
      <c r="C252" s="14">
        <f>'D) Ecrêtage'!M241</f>
        <v>41163.666944444441</v>
      </c>
      <c r="D252" s="19">
        <f>'A) Base RI'!AN243</f>
        <v>1518</v>
      </c>
      <c r="E252" s="14">
        <f t="shared" si="9"/>
        <v>765146.48513360741</v>
      </c>
      <c r="F252" s="19">
        <f>'F) Population'!K244</f>
        <v>278470.02012072434</v>
      </c>
      <c r="G252" s="14">
        <f>'G) Solidarité'!I241</f>
        <v>531183.10406741372</v>
      </c>
      <c r="H252" s="19">
        <f t="shared" si="10"/>
        <v>809653.12418813806</v>
      </c>
      <c r="I252" s="74">
        <f t="shared" si="11"/>
        <v>-44506.639054530649</v>
      </c>
    </row>
    <row r="253" spans="1:9" x14ac:dyDescent="0.25">
      <c r="A253" s="61">
        <f>'A) Base RI'!A244</f>
        <v>5805</v>
      </c>
      <c r="B253" s="13" t="str">
        <f>'A) Base RI'!B244</f>
        <v>Oron</v>
      </c>
      <c r="C253" s="14">
        <f>'D) Ecrêtage'!M242</f>
        <v>146504.50986824767</v>
      </c>
      <c r="D253" s="19">
        <f>'A) Base RI'!AN244</f>
        <v>5297</v>
      </c>
      <c r="E253" s="14">
        <f t="shared" si="9"/>
        <v>2723212.4614457013</v>
      </c>
      <c r="F253" s="19">
        <f>'F) Population'!K245</f>
        <v>1958298.5915492959</v>
      </c>
      <c r="G253" s="14">
        <f>'G) Solidarité'!I242</f>
        <v>1648047.6422958032</v>
      </c>
      <c r="H253" s="19">
        <f t="shared" si="10"/>
        <v>3606346.2338450989</v>
      </c>
      <c r="I253" s="74">
        <f t="shared" si="11"/>
        <v>-883133.77239939757</v>
      </c>
    </row>
    <row r="254" spans="1:9" x14ac:dyDescent="0.25">
      <c r="A254" s="61">
        <f>'A) Base RI'!A245</f>
        <v>5806</v>
      </c>
      <c r="B254" s="13" t="str">
        <f>'A) Base RI'!B245</f>
        <v>Jorat-Mézières</v>
      </c>
      <c r="C254" s="14">
        <f>'D) Ecrêtage'!M243</f>
        <v>83059.358118759847</v>
      </c>
      <c r="D254" s="19">
        <f>'A) Base RI'!AN245</f>
        <v>2755</v>
      </c>
      <c r="E254" s="14">
        <f t="shared" si="9"/>
        <v>1543899.7698575996</v>
      </c>
      <c r="F254" s="19">
        <f>'F) Population'!K246</f>
        <v>707064.38631790737</v>
      </c>
      <c r="G254" s="14">
        <f>'G) Solidarité'!I243</f>
        <v>885089.21828048793</v>
      </c>
      <c r="H254" s="19">
        <f t="shared" si="10"/>
        <v>1592153.6045983953</v>
      </c>
      <c r="I254" s="74">
        <f t="shared" si="11"/>
        <v>-48253.834740795661</v>
      </c>
    </row>
    <row r="255" spans="1:9" x14ac:dyDescent="0.25">
      <c r="A255" s="61">
        <f>'A) Base RI'!A246</f>
        <v>5812</v>
      </c>
      <c r="B255" s="13" t="str">
        <f>'A) Base RI'!B246</f>
        <v>Champtauroz</v>
      </c>
      <c r="C255" s="14">
        <f>'D) Ecrêtage'!M244</f>
        <v>2420.1879870129869</v>
      </c>
      <c r="D255" s="19">
        <f>'A) Base RI'!AN246</f>
        <v>133</v>
      </c>
      <c r="E255" s="14">
        <f t="shared" si="9"/>
        <v>44986.233469549807</v>
      </c>
      <c r="F255" s="19">
        <f>'F) Population'!K247</f>
        <v>13166.197183098591</v>
      </c>
      <c r="G255" s="14">
        <f>'G) Solidarité'!I244</f>
        <v>81198.73454953717</v>
      </c>
      <c r="H255" s="19">
        <f t="shared" si="10"/>
        <v>94364.931732635756</v>
      </c>
      <c r="I255" s="74">
        <f t="shared" si="11"/>
        <v>-49378.698263085949</v>
      </c>
    </row>
    <row r="256" spans="1:9" x14ac:dyDescent="0.25">
      <c r="A256" s="61">
        <f>'A) Base RI'!A247</f>
        <v>5813</v>
      </c>
      <c r="B256" s="13" t="str">
        <f>'A) Base RI'!B247</f>
        <v>Chevroux</v>
      </c>
      <c r="C256" s="14">
        <f>'D) Ecrêtage'!M245</f>
        <v>11590.298571428571</v>
      </c>
      <c r="D256" s="19">
        <f>'A) Base RI'!AN247</f>
        <v>430</v>
      </c>
      <c r="E256" s="14">
        <f t="shared" si="9"/>
        <v>215439.4122745794</v>
      </c>
      <c r="F256" s="19">
        <f>'F) Population'!K248</f>
        <v>42567.404426559355</v>
      </c>
      <c r="G256" s="14">
        <f>'G) Solidarité'!I245</f>
        <v>143588.20706367042</v>
      </c>
      <c r="H256" s="19">
        <f t="shared" si="10"/>
        <v>186155.61149022978</v>
      </c>
      <c r="I256" s="74">
        <f t="shared" si="11"/>
        <v>29283.800784349616</v>
      </c>
    </row>
    <row r="257" spans="1:9" x14ac:dyDescent="0.25">
      <c r="A257" s="61">
        <f>'A) Base RI'!A248</f>
        <v>5816</v>
      </c>
      <c r="B257" s="13" t="str">
        <f>'A) Base RI'!B248</f>
        <v>Corcelles-près-Payerne</v>
      </c>
      <c r="C257" s="14">
        <f>'D) Ecrêtage'!M246</f>
        <v>52953.608154761903</v>
      </c>
      <c r="D257" s="19">
        <f>'A) Base RI'!AN248</f>
        <v>2229</v>
      </c>
      <c r="E257" s="14">
        <f t="shared" si="9"/>
        <v>984296.83656321384</v>
      </c>
      <c r="F257" s="19">
        <f>'F) Population'!K249</f>
        <v>524816.4989939637</v>
      </c>
      <c r="G257" s="14">
        <f>'G) Solidarité'!I246</f>
        <v>934383.26157587382</v>
      </c>
      <c r="H257" s="19">
        <f t="shared" si="10"/>
        <v>1459199.7605698374</v>
      </c>
      <c r="I257" s="74">
        <f t="shared" si="11"/>
        <v>-474902.92400662357</v>
      </c>
    </row>
    <row r="258" spans="1:9" x14ac:dyDescent="0.25">
      <c r="A258" s="61">
        <f>'A) Base RI'!A249</f>
        <v>5817</v>
      </c>
      <c r="B258" s="13" t="str">
        <f>'A) Base RI'!B249</f>
        <v>Grandcour</v>
      </c>
      <c r="C258" s="14">
        <f>'D) Ecrêtage'!M247</f>
        <v>20895.78968553459</v>
      </c>
      <c r="D258" s="19">
        <f>'A) Base RI'!AN249</f>
        <v>856</v>
      </c>
      <c r="E258" s="14">
        <f t="shared" si="9"/>
        <v>388409.03201253084</v>
      </c>
      <c r="F258" s="19">
        <f>'F) Population'!K250</f>
        <v>84738.83299798792</v>
      </c>
      <c r="G258" s="14">
        <f>'G) Solidarité'!I247</f>
        <v>423403.6002025347</v>
      </c>
      <c r="H258" s="19">
        <f t="shared" si="10"/>
        <v>508142.43320052262</v>
      </c>
      <c r="I258" s="74">
        <f t="shared" si="11"/>
        <v>-119733.40118799178</v>
      </c>
    </row>
    <row r="259" spans="1:9" x14ac:dyDescent="0.25">
      <c r="A259" s="61">
        <f>'A) Base RI'!A250</f>
        <v>5819</v>
      </c>
      <c r="B259" s="13" t="str">
        <f>'A) Base RI'!B250</f>
        <v>Henniez</v>
      </c>
      <c r="C259" s="14">
        <f>'D) Ecrêtage'!M248</f>
        <v>13106.979402985076</v>
      </c>
      <c r="D259" s="19">
        <f>'A) Base RI'!AN250</f>
        <v>339</v>
      </c>
      <c r="E259" s="14">
        <f t="shared" si="9"/>
        <v>243631.33718013251</v>
      </c>
      <c r="F259" s="19">
        <f>'F) Population'!K251</f>
        <v>33558.953722334001</v>
      </c>
      <c r="G259" s="14">
        <f>'G) Solidarité'!I248</f>
        <v>32848.544210131273</v>
      </c>
      <c r="H259" s="19">
        <f t="shared" si="10"/>
        <v>66407.497932465281</v>
      </c>
      <c r="I259" s="74">
        <f t="shared" si="11"/>
        <v>177223.83924766723</v>
      </c>
    </row>
    <row r="260" spans="1:9" x14ac:dyDescent="0.25">
      <c r="A260" s="61">
        <f>'A) Base RI'!A251</f>
        <v>5821</v>
      </c>
      <c r="B260" s="13" t="str">
        <f>'A) Base RI'!B251</f>
        <v>Missy</v>
      </c>
      <c r="C260" s="14">
        <f>'D) Ecrêtage'!M249</f>
        <v>7313.8070833333331</v>
      </c>
      <c r="D260" s="19">
        <f>'A) Base RI'!AN251</f>
        <v>350</v>
      </c>
      <c r="E260" s="14">
        <f t="shared" si="9"/>
        <v>135948.37870762264</v>
      </c>
      <c r="F260" s="19">
        <f>'F) Population'!K252</f>
        <v>34647.887323943658</v>
      </c>
      <c r="G260" s="14">
        <f>'G) Solidarité'!I249</f>
        <v>167353.07598529762</v>
      </c>
      <c r="H260" s="19">
        <f t="shared" si="10"/>
        <v>202000.96330924128</v>
      </c>
      <c r="I260" s="74">
        <f t="shared" si="11"/>
        <v>-66052.584601618641</v>
      </c>
    </row>
    <row r="261" spans="1:9" x14ac:dyDescent="0.25">
      <c r="A261" s="61">
        <f>'A) Base RI'!A252</f>
        <v>5822</v>
      </c>
      <c r="B261" s="13" t="str">
        <f>'A) Base RI'!B252</f>
        <v>Payerne</v>
      </c>
      <c r="C261" s="14">
        <f>'D) Ecrêtage'!M250</f>
        <v>224445.50853333328</v>
      </c>
      <c r="D261" s="19">
        <f>'A) Base RI'!AN252</f>
        <v>9302</v>
      </c>
      <c r="E261" s="14">
        <f t="shared" si="9"/>
        <v>4171972.6328094457</v>
      </c>
      <c r="F261" s="19">
        <f>'F) Population'!K253</f>
        <v>4411863.9839034202</v>
      </c>
      <c r="G261" s="14">
        <f>'G) Solidarité'!I250</f>
        <v>4153642.1505798055</v>
      </c>
      <c r="H261" s="19">
        <f t="shared" si="10"/>
        <v>8565506.1344832256</v>
      </c>
      <c r="I261" s="74">
        <f t="shared" si="11"/>
        <v>-4393533.5016737804</v>
      </c>
    </row>
    <row r="262" spans="1:9" x14ac:dyDescent="0.25">
      <c r="A262" s="61">
        <f>'A) Base RI'!A253</f>
        <v>5827</v>
      </c>
      <c r="B262" s="13" t="str">
        <f>'A) Base RI'!B253</f>
        <v>Trey</v>
      </c>
      <c r="C262" s="14">
        <f>'D) Ecrêtage'!M251</f>
        <v>6544.3336250000011</v>
      </c>
      <c r="D262" s="19">
        <f>'A) Base RI'!AN253</f>
        <v>255</v>
      </c>
      <c r="E262" s="14">
        <f t="shared" si="9"/>
        <v>121645.4762756805</v>
      </c>
      <c r="F262" s="19">
        <f>'F) Population'!K254</f>
        <v>25243.460764587522</v>
      </c>
      <c r="G262" s="14">
        <f>'G) Solidarité'!I251</f>
        <v>119590.25827946063</v>
      </c>
      <c r="H262" s="19">
        <f t="shared" si="10"/>
        <v>144833.71904404816</v>
      </c>
      <c r="I262" s="74">
        <f t="shared" si="11"/>
        <v>-23188.242768367665</v>
      </c>
    </row>
    <row r="263" spans="1:9" x14ac:dyDescent="0.25">
      <c r="A263" s="61">
        <f>'A) Base RI'!A254</f>
        <v>5828</v>
      </c>
      <c r="B263" s="13" t="str">
        <f>'A) Base RI'!B254</f>
        <v>Treytorrens (Payerne)</v>
      </c>
      <c r="C263" s="14">
        <f>'D) Ecrêtage'!M252</f>
        <v>2136.5168650793653</v>
      </c>
      <c r="D263" s="19">
        <f>'A) Base RI'!AN254</f>
        <v>124</v>
      </c>
      <c r="E263" s="14">
        <f t="shared" si="9"/>
        <v>39713.380538970181</v>
      </c>
      <c r="F263" s="19">
        <f>'F) Population'!K255</f>
        <v>12275.251509054326</v>
      </c>
      <c r="G263" s="14">
        <f>'G) Solidarité'!I252</f>
        <v>93458.243845992722</v>
      </c>
      <c r="H263" s="19">
        <f t="shared" si="10"/>
        <v>105733.49535504705</v>
      </c>
      <c r="I263" s="74">
        <f t="shared" si="11"/>
        <v>-66020.114816076879</v>
      </c>
    </row>
    <row r="264" spans="1:9" x14ac:dyDescent="0.25">
      <c r="A264" s="61">
        <f>'A) Base RI'!A255</f>
        <v>5830</v>
      </c>
      <c r="B264" s="13" t="str">
        <f>'A) Base RI'!B255</f>
        <v>Villarzel</v>
      </c>
      <c r="C264" s="14">
        <f>'D) Ecrêtage'!M253</f>
        <v>10236.981518987341</v>
      </c>
      <c r="D264" s="19">
        <f>'A) Base RI'!AN255</f>
        <v>415</v>
      </c>
      <c r="E264" s="14">
        <f t="shared" si="9"/>
        <v>190284.07838889083</v>
      </c>
      <c r="F264" s="19">
        <f>'F) Population'!K256</f>
        <v>41082.494969818908</v>
      </c>
      <c r="G264" s="14">
        <f>'G) Solidarité'!I253</f>
        <v>200056.41670817471</v>
      </c>
      <c r="H264" s="19">
        <f t="shared" si="10"/>
        <v>241138.91167799363</v>
      </c>
      <c r="I264" s="74">
        <f t="shared" si="11"/>
        <v>-50854.833289102797</v>
      </c>
    </row>
    <row r="265" spans="1:9" x14ac:dyDescent="0.25">
      <c r="A265" s="61">
        <f>'A) Base RI'!A256</f>
        <v>5831</v>
      </c>
      <c r="B265" s="13" t="str">
        <f>'A) Base RI'!B256</f>
        <v>Valbroye</v>
      </c>
      <c r="C265" s="14">
        <f>'D) Ecrêtage'!M254</f>
        <v>78037.716438356161</v>
      </c>
      <c r="D265" s="19">
        <f>'A) Base RI'!AN256</f>
        <v>2960</v>
      </c>
      <c r="E265" s="14">
        <f t="shared" si="9"/>
        <v>1450557.9525081648</v>
      </c>
      <c r="F265" s="19">
        <f>'F) Population'!K257</f>
        <v>778092.55533199187</v>
      </c>
      <c r="G265" s="14">
        <f>'G) Solidarité'!I254</f>
        <v>1111971.3661778457</v>
      </c>
      <c r="H265" s="19">
        <f t="shared" si="10"/>
        <v>1890063.9215098377</v>
      </c>
      <c r="I265" s="74">
        <f t="shared" si="11"/>
        <v>-439505.96900167293</v>
      </c>
    </row>
    <row r="266" spans="1:9" x14ac:dyDescent="0.25">
      <c r="A266" s="61">
        <f>'A) Base RI'!A257</f>
        <v>5841</v>
      </c>
      <c r="B266" s="13" t="str">
        <f>'A) Base RI'!B257</f>
        <v>Château-d'Oex</v>
      </c>
      <c r="C266" s="14">
        <f>'D) Ecrêtage'!M255</f>
        <v>107525.73574297188</v>
      </c>
      <c r="D266" s="19">
        <f>'A) Base RI'!AN257</f>
        <v>3408</v>
      </c>
      <c r="E266" s="14">
        <f t="shared" si="9"/>
        <v>1998678.564671552</v>
      </c>
      <c r="F266" s="19">
        <f>'F) Population'!K258</f>
        <v>993899.39637826954</v>
      </c>
      <c r="G266" s="14">
        <f>'G) Solidarité'!I255</f>
        <v>1170812.9765465816</v>
      </c>
      <c r="H266" s="19">
        <f t="shared" si="10"/>
        <v>2164712.3729248513</v>
      </c>
      <c r="I266" s="74">
        <f t="shared" si="11"/>
        <v>-166033.80825329921</v>
      </c>
    </row>
    <row r="267" spans="1:9" x14ac:dyDescent="0.25">
      <c r="A267" s="61">
        <f>'A) Base RI'!A258</f>
        <v>5842</v>
      </c>
      <c r="B267" s="13" t="str">
        <f>'A) Base RI'!B258</f>
        <v>Rossinière</v>
      </c>
      <c r="C267" s="14">
        <f>'D) Ecrêtage'!M256</f>
        <v>16554.125349794238</v>
      </c>
      <c r="D267" s="19">
        <f>'A) Base RI'!AN258</f>
        <v>565</v>
      </c>
      <c r="E267" s="14">
        <f t="shared" si="9"/>
        <v>307706.57150032383</v>
      </c>
      <c r="F267" s="19">
        <f>'F) Population'!K259</f>
        <v>55931.589537223335</v>
      </c>
      <c r="G267" s="14">
        <f>'G) Solidarité'!I256</f>
        <v>218053.78775799659</v>
      </c>
      <c r="H267" s="19">
        <f t="shared" si="10"/>
        <v>273985.37729521992</v>
      </c>
      <c r="I267" s="74">
        <f t="shared" si="11"/>
        <v>33721.194205103908</v>
      </c>
    </row>
    <row r="268" spans="1:9" x14ac:dyDescent="0.25">
      <c r="A268" s="61">
        <f>'A) Base RI'!A259</f>
        <v>5843</v>
      </c>
      <c r="B268" s="13" t="str">
        <f>'A) Base RI'!B259</f>
        <v>Rougemont</v>
      </c>
      <c r="C268" s="14">
        <f>'D) Ecrêtage'!M257</f>
        <v>79049.148416639975</v>
      </c>
      <c r="D268" s="19">
        <f>'A) Base RI'!AN259</f>
        <v>881</v>
      </c>
      <c r="E268" s="14">
        <f t="shared" si="9"/>
        <v>1469358.3578311419</v>
      </c>
      <c r="F268" s="19">
        <f>'F) Population'!K260</f>
        <v>87213.682092555333</v>
      </c>
      <c r="G268" s="14">
        <f>'G) Solidarité'!I257</f>
        <v>0</v>
      </c>
      <c r="H268" s="19">
        <f t="shared" si="10"/>
        <v>87213.682092555333</v>
      </c>
      <c r="I268" s="74">
        <f t="shared" si="11"/>
        <v>1382144.6757385866</v>
      </c>
    </row>
    <row r="269" spans="1:9" x14ac:dyDescent="0.25">
      <c r="A269" s="61">
        <f>'A) Base RI'!A260</f>
        <v>5851</v>
      </c>
      <c r="B269" s="13" t="str">
        <f>'A) Base RI'!B260</f>
        <v>Allaman</v>
      </c>
      <c r="C269" s="14">
        <f>'D) Ecrêtage'!M258</f>
        <v>25169.262174508789</v>
      </c>
      <c r="D269" s="19">
        <f>'A) Base RI'!AN260</f>
        <v>393</v>
      </c>
      <c r="E269" s="14">
        <f t="shared" si="9"/>
        <v>467843.94869929802</v>
      </c>
      <c r="F269" s="19">
        <f>'F) Population'!K261</f>
        <v>38904.627766599595</v>
      </c>
      <c r="G269" s="14">
        <f>'G) Solidarité'!I258</f>
        <v>0</v>
      </c>
      <c r="H269" s="19">
        <f t="shared" si="10"/>
        <v>38904.627766599595</v>
      </c>
      <c r="I269" s="74">
        <f t="shared" si="11"/>
        <v>428939.32093269844</v>
      </c>
    </row>
    <row r="270" spans="1:9" x14ac:dyDescent="0.25">
      <c r="A270" s="61">
        <f>'A) Base RI'!A261</f>
        <v>5852</v>
      </c>
      <c r="B270" s="13" t="str">
        <f>'A) Base RI'!B261</f>
        <v>Bursinel</v>
      </c>
      <c r="C270" s="14">
        <f>'D) Ecrêtage'!M259</f>
        <v>30316.650271285871</v>
      </c>
      <c r="D270" s="19">
        <f>'A) Base RI'!AN261</f>
        <v>477</v>
      </c>
      <c r="E270" s="14">
        <f t="shared" si="9"/>
        <v>563523.1289623942</v>
      </c>
      <c r="F270" s="19">
        <f>'F) Population'!K262</f>
        <v>47220.120724346074</v>
      </c>
      <c r="G270" s="14">
        <f>'G) Solidarité'!I259</f>
        <v>0</v>
      </c>
      <c r="H270" s="19">
        <f t="shared" si="10"/>
        <v>47220.120724346074</v>
      </c>
      <c r="I270" s="74">
        <f t="shared" si="11"/>
        <v>516303.00823804812</v>
      </c>
    </row>
    <row r="271" spans="1:9" x14ac:dyDescent="0.25">
      <c r="A271" s="61">
        <f>'A) Base RI'!A262</f>
        <v>5853</v>
      </c>
      <c r="B271" s="13" t="str">
        <f>'A) Base RI'!B262</f>
        <v>Bursins</v>
      </c>
      <c r="C271" s="14">
        <f>'D) Ecrêtage'!M260</f>
        <v>37118.734366197183</v>
      </c>
      <c r="D271" s="19">
        <f>'A) Base RI'!AN262</f>
        <v>772</v>
      </c>
      <c r="E271" s="14">
        <f t="shared" si="9"/>
        <v>689959.64745402557</v>
      </c>
      <c r="F271" s="19">
        <f>'F) Population'!K263</f>
        <v>76423.340040241441</v>
      </c>
      <c r="G271" s="14">
        <f>'G) Solidarité'!I260</f>
        <v>0</v>
      </c>
      <c r="H271" s="19">
        <f t="shared" si="10"/>
        <v>76423.340040241441</v>
      </c>
      <c r="I271" s="74">
        <f t="shared" si="11"/>
        <v>613536.30741378409</v>
      </c>
    </row>
    <row r="272" spans="1:9" x14ac:dyDescent="0.25">
      <c r="A272" s="61">
        <f>'A) Base RI'!A263</f>
        <v>5854</v>
      </c>
      <c r="B272" s="13" t="str">
        <f>'A) Base RI'!B263</f>
        <v>Burtigny</v>
      </c>
      <c r="C272" s="14">
        <f>'D) Ecrêtage'!M261</f>
        <v>10244.164041666669</v>
      </c>
      <c r="D272" s="19">
        <f>'A) Base RI'!AN263</f>
        <v>352</v>
      </c>
      <c r="E272" s="14">
        <f t="shared" si="9"/>
        <v>190417.58646507602</v>
      </c>
      <c r="F272" s="19">
        <f>'F) Population'!K264</f>
        <v>34845.875251509053</v>
      </c>
      <c r="G272" s="14">
        <f>'G) Solidarité'!I261</f>
        <v>134277.00452718994</v>
      </c>
      <c r="H272" s="19">
        <f t="shared" si="10"/>
        <v>169122.87977869899</v>
      </c>
      <c r="I272" s="74">
        <f t="shared" si="11"/>
        <v>21294.706686377031</v>
      </c>
    </row>
    <row r="273" spans="1:9" x14ac:dyDescent="0.25">
      <c r="A273" s="61">
        <f>'A) Base RI'!A264</f>
        <v>5855</v>
      </c>
      <c r="B273" s="13" t="str">
        <f>'A) Base RI'!B264</f>
        <v>Dully</v>
      </c>
      <c r="C273" s="14">
        <f>'D) Ecrêtage'!M262</f>
        <v>56253.958979149436</v>
      </c>
      <c r="D273" s="19">
        <f>'A) Base RI'!AN264</f>
        <v>636</v>
      </c>
      <c r="E273" s="14">
        <f t="shared" ref="E273:E324" si="12">C273*E$15</f>
        <v>1045643.4565423345</v>
      </c>
      <c r="F273" s="19">
        <f>'F) Population'!K265</f>
        <v>62960.160965794763</v>
      </c>
      <c r="G273" s="14">
        <f>'G) Solidarité'!I262</f>
        <v>0</v>
      </c>
      <c r="H273" s="19">
        <f t="shared" ref="H273:H324" si="13">F273+G273</f>
        <v>62960.160965794763</v>
      </c>
      <c r="I273" s="74">
        <f t="shared" ref="I273:I324" si="14">E273-H273</f>
        <v>982683.29557653971</v>
      </c>
    </row>
    <row r="274" spans="1:9" x14ac:dyDescent="0.25">
      <c r="A274" s="61">
        <f>'A) Base RI'!A265</f>
        <v>5856</v>
      </c>
      <c r="B274" s="13" t="str">
        <f>'A) Base RI'!B265</f>
        <v>Essertines-sur-Rolle</v>
      </c>
      <c r="C274" s="14">
        <f>'D) Ecrêtage'!M263</f>
        <v>28766.256402714938</v>
      </c>
      <c r="D274" s="19">
        <f>'A) Base RI'!AN265</f>
        <v>700</v>
      </c>
      <c r="E274" s="14">
        <f t="shared" si="12"/>
        <v>534704.54920100467</v>
      </c>
      <c r="F274" s="19">
        <f>'F) Population'!K266</f>
        <v>69295.774647887316</v>
      </c>
      <c r="G274" s="14">
        <f>'G) Solidarité'!I263</f>
        <v>38579.214009061565</v>
      </c>
      <c r="H274" s="19">
        <f t="shared" si="13"/>
        <v>107874.98865694887</v>
      </c>
      <c r="I274" s="74">
        <f t="shared" si="14"/>
        <v>426829.56054405577</v>
      </c>
    </row>
    <row r="275" spans="1:9" x14ac:dyDescent="0.25">
      <c r="A275" s="61">
        <f>'A) Base RI'!A266</f>
        <v>5857</v>
      </c>
      <c r="B275" s="13" t="str">
        <f>'A) Base RI'!B266</f>
        <v>Gilly</v>
      </c>
      <c r="C275" s="14">
        <f>'D) Ecrêtage'!M264</f>
        <v>55694.918787878785</v>
      </c>
      <c r="D275" s="19">
        <f>'A) Base RI'!AN266</f>
        <v>1131</v>
      </c>
      <c r="E275" s="14">
        <f t="shared" si="12"/>
        <v>1035252.0684773097</v>
      </c>
      <c r="F275" s="19">
        <f>'F) Population'!K267</f>
        <v>144382.69617706237</v>
      </c>
      <c r="G275" s="14">
        <f>'G) Solidarité'!I264</f>
        <v>0</v>
      </c>
      <c r="H275" s="19">
        <f t="shared" si="13"/>
        <v>144382.69617706237</v>
      </c>
      <c r="I275" s="74">
        <f t="shared" si="14"/>
        <v>890869.37230024731</v>
      </c>
    </row>
    <row r="276" spans="1:9" x14ac:dyDescent="0.25">
      <c r="A276" s="61">
        <f>'A) Base RI'!A267</f>
        <v>5858</v>
      </c>
      <c r="B276" s="13" t="str">
        <f>'A) Base RI'!B267</f>
        <v>Luins</v>
      </c>
      <c r="C276" s="14">
        <f>'D) Ecrêtage'!M265</f>
        <v>33594.571611111111</v>
      </c>
      <c r="D276" s="19">
        <f>'A) Base RI'!AN267</f>
        <v>633</v>
      </c>
      <c r="E276" s="14">
        <f t="shared" si="12"/>
        <v>624452.83172907704</v>
      </c>
      <c r="F276" s="19">
        <f>'F) Population'!K268</f>
        <v>62663.179074446678</v>
      </c>
      <c r="G276" s="14">
        <f>'G) Solidarité'!I265</f>
        <v>0</v>
      </c>
      <c r="H276" s="19">
        <f t="shared" si="13"/>
        <v>62663.179074446678</v>
      </c>
      <c r="I276" s="74">
        <f t="shared" si="14"/>
        <v>561789.65265463036</v>
      </c>
    </row>
    <row r="277" spans="1:9" x14ac:dyDescent="0.25">
      <c r="A277" s="61">
        <f>'A) Base RI'!A268</f>
        <v>5859</v>
      </c>
      <c r="B277" s="13" t="str">
        <f>'A) Base RI'!B268</f>
        <v>Mont-sur-Rolle</v>
      </c>
      <c r="C277" s="14">
        <f>'D) Ecrêtage'!M266</f>
        <v>146179.99827943172</v>
      </c>
      <c r="D277" s="19">
        <f>'A) Base RI'!AN268</f>
        <v>2594</v>
      </c>
      <c r="E277" s="14">
        <f t="shared" si="12"/>
        <v>2717180.469643252</v>
      </c>
      <c r="F277" s="19">
        <f>'F) Population'!K269</f>
        <v>651281.28772635816</v>
      </c>
      <c r="G277" s="14">
        <f>'G) Solidarité'!I266</f>
        <v>0</v>
      </c>
      <c r="H277" s="19">
        <f t="shared" si="13"/>
        <v>651281.28772635816</v>
      </c>
      <c r="I277" s="74">
        <f t="shared" si="14"/>
        <v>2065899.1819168939</v>
      </c>
    </row>
    <row r="278" spans="1:9" x14ac:dyDescent="0.25">
      <c r="A278" s="61">
        <f>'A) Base RI'!A269</f>
        <v>5860</v>
      </c>
      <c r="B278" s="13" t="str">
        <f>'A) Base RI'!B269</f>
        <v>Perroy</v>
      </c>
      <c r="C278" s="14">
        <f>'D) Ecrêtage'!M267</f>
        <v>86272.578588259305</v>
      </c>
      <c r="D278" s="19">
        <f>'A) Base RI'!AN269</f>
        <v>1464</v>
      </c>
      <c r="E278" s="14">
        <f t="shared" si="12"/>
        <v>1603626.8187503777</v>
      </c>
      <c r="F278" s="19">
        <f>'F) Population'!K270</f>
        <v>259760.16096579476</v>
      </c>
      <c r="G278" s="14">
        <f>'G) Solidarité'!I267</f>
        <v>0</v>
      </c>
      <c r="H278" s="19">
        <f t="shared" si="13"/>
        <v>259760.16096579476</v>
      </c>
      <c r="I278" s="74">
        <f t="shared" si="14"/>
        <v>1343866.657784583</v>
      </c>
    </row>
    <row r="279" spans="1:9" x14ac:dyDescent="0.25">
      <c r="A279" s="61">
        <f>'A) Base RI'!A270</f>
        <v>5861</v>
      </c>
      <c r="B279" s="13" t="str">
        <f>'A) Base RI'!B270</f>
        <v>Rolle</v>
      </c>
      <c r="C279" s="14">
        <f>'D) Ecrêtage'!M268</f>
        <v>488902.60055099864</v>
      </c>
      <c r="D279" s="19">
        <f>'A) Base RI'!AN270</f>
        <v>6047</v>
      </c>
      <c r="E279" s="14">
        <f t="shared" si="12"/>
        <v>9087676.9285192117</v>
      </c>
      <c r="F279" s="19">
        <f>'F) Population'!K271</f>
        <v>2403771.4285714286</v>
      </c>
      <c r="G279" s="14">
        <f>'G) Solidarité'!I268</f>
        <v>0</v>
      </c>
      <c r="H279" s="19">
        <f t="shared" si="13"/>
        <v>2403771.4285714286</v>
      </c>
      <c r="I279" s="74">
        <f t="shared" si="14"/>
        <v>6683905.4999477826</v>
      </c>
    </row>
    <row r="280" spans="1:9" x14ac:dyDescent="0.25">
      <c r="A280" s="61">
        <f>'A) Base RI'!A271</f>
        <v>5862</v>
      </c>
      <c r="B280" s="13" t="str">
        <f>'A) Base RI'!B271</f>
        <v>Tartegnin</v>
      </c>
      <c r="C280" s="14">
        <f>'D) Ecrêtage'!M269</f>
        <v>9990.8663492063497</v>
      </c>
      <c r="D280" s="19">
        <f>'A) Base RI'!AN271</f>
        <v>230</v>
      </c>
      <c r="E280" s="14">
        <f t="shared" si="12"/>
        <v>185709.31207008497</v>
      </c>
      <c r="F280" s="19">
        <f>'F) Population'!K272</f>
        <v>22768.61167002012</v>
      </c>
      <c r="G280" s="14">
        <f>'G) Solidarité'!I269</f>
        <v>4217.0287273178283</v>
      </c>
      <c r="H280" s="19">
        <f t="shared" si="13"/>
        <v>26985.640397337949</v>
      </c>
      <c r="I280" s="74">
        <f t="shared" si="14"/>
        <v>158723.671672747</v>
      </c>
    </row>
    <row r="281" spans="1:9" x14ac:dyDescent="0.25">
      <c r="A281" s="61">
        <f>'A) Base RI'!A272</f>
        <v>5863</v>
      </c>
      <c r="B281" s="13" t="str">
        <f>'A) Base RI'!B272</f>
        <v>Vinzel</v>
      </c>
      <c r="C281" s="14">
        <f>'D) Ecrêtage'!M270</f>
        <v>23987.326029124335</v>
      </c>
      <c r="D281" s="19">
        <f>'A) Base RI'!AN272</f>
        <v>349</v>
      </c>
      <c r="E281" s="14">
        <f t="shared" si="12"/>
        <v>445874.2274761179</v>
      </c>
      <c r="F281" s="19">
        <f>'F) Population'!K273</f>
        <v>34548.893360160961</v>
      </c>
      <c r="G281" s="14">
        <f>'G) Solidarité'!I270</f>
        <v>0</v>
      </c>
      <c r="H281" s="19">
        <f t="shared" si="13"/>
        <v>34548.893360160961</v>
      </c>
      <c r="I281" s="74">
        <f t="shared" si="14"/>
        <v>411325.33411595691</v>
      </c>
    </row>
    <row r="282" spans="1:9" x14ac:dyDescent="0.25">
      <c r="A282" s="61">
        <f>'A) Base RI'!A273</f>
        <v>5871</v>
      </c>
      <c r="B282" s="13" t="str">
        <f>'A) Base RI'!B273</f>
        <v>L'Abbaye</v>
      </c>
      <c r="C282" s="14">
        <f>'D) Ecrêtage'!M271</f>
        <v>49270.614706263776</v>
      </c>
      <c r="D282" s="19">
        <f>'A) Base RI'!AN273</f>
        <v>1423</v>
      </c>
      <c r="E282" s="14">
        <f t="shared" si="12"/>
        <v>915837.69040182512</v>
      </c>
      <c r="F282" s="19">
        <f>'F) Population'!K274</f>
        <v>245554.52716297784</v>
      </c>
      <c r="G282" s="14">
        <f>'G) Solidarité'!I271</f>
        <v>318538.69685348246</v>
      </c>
      <c r="H282" s="19">
        <f t="shared" si="13"/>
        <v>564093.22401646036</v>
      </c>
      <c r="I282" s="74">
        <f t="shared" si="14"/>
        <v>351744.46638536477</v>
      </c>
    </row>
    <row r="283" spans="1:9" x14ac:dyDescent="0.25">
      <c r="A283" s="61">
        <f>'A) Base RI'!A274</f>
        <v>5872</v>
      </c>
      <c r="B283" s="13" t="str">
        <f>'A) Base RI'!B274</f>
        <v>Le Chenit</v>
      </c>
      <c r="C283" s="14">
        <f>'D) Ecrêtage'!M272</f>
        <v>298295.92842205171</v>
      </c>
      <c r="D283" s="19">
        <f>'A) Base RI'!AN274</f>
        <v>4614</v>
      </c>
      <c r="E283" s="14">
        <f t="shared" si="12"/>
        <v>5544697.4991279999</v>
      </c>
      <c r="F283" s="19">
        <f>'F) Population'!K275</f>
        <v>1590832.9979879274</v>
      </c>
      <c r="G283" s="14">
        <f>'G) Solidarité'!I272</f>
        <v>0</v>
      </c>
      <c r="H283" s="19">
        <f t="shared" si="13"/>
        <v>1590832.9979879274</v>
      </c>
      <c r="I283" s="74">
        <f t="shared" si="14"/>
        <v>3953864.5011400725</v>
      </c>
    </row>
    <row r="284" spans="1:9" x14ac:dyDescent="0.25">
      <c r="A284" s="61">
        <f>'A) Base RI'!A275</f>
        <v>5873</v>
      </c>
      <c r="B284" s="13" t="str">
        <f>'A) Base RI'!B275</f>
        <v>Le Lieu</v>
      </c>
      <c r="C284" s="14">
        <f>'D) Ecrêtage'!M273</f>
        <v>35906.558461538458</v>
      </c>
      <c r="D284" s="19">
        <f>'A) Base RI'!AN275</f>
        <v>859</v>
      </c>
      <c r="E284" s="14">
        <f t="shared" si="12"/>
        <v>667427.83234471956</v>
      </c>
      <c r="F284" s="19">
        <f>'F) Population'!K276</f>
        <v>85035.814889336005</v>
      </c>
      <c r="G284" s="14">
        <f>'G) Solidarité'!I273</f>
        <v>33071.687513242287</v>
      </c>
      <c r="H284" s="19">
        <f t="shared" si="13"/>
        <v>118107.50240257829</v>
      </c>
      <c r="I284" s="74">
        <f t="shared" si="14"/>
        <v>549320.32994214131</v>
      </c>
    </row>
    <row r="285" spans="1:9" x14ac:dyDescent="0.25">
      <c r="A285" s="61">
        <f>'A) Base RI'!A276</f>
        <v>5881</v>
      </c>
      <c r="B285" s="13" t="str">
        <f>'A) Base RI'!B276</f>
        <v>Blonay</v>
      </c>
      <c r="C285" s="14">
        <f>'D) Ecrêtage'!M274</f>
        <v>346571.01644929632</v>
      </c>
      <c r="D285" s="19">
        <f>'A) Base RI'!AN276</f>
        <v>6132</v>
      </c>
      <c r="E285" s="14">
        <f t="shared" si="12"/>
        <v>6442030.4304582803</v>
      </c>
      <c r="F285" s="19">
        <f>'F) Population'!K277</f>
        <v>2454258.3501006039</v>
      </c>
      <c r="G285" s="14">
        <f>'G) Solidarité'!I274</f>
        <v>0</v>
      </c>
      <c r="H285" s="19">
        <f t="shared" si="13"/>
        <v>2454258.3501006039</v>
      </c>
      <c r="I285" s="74">
        <f t="shared" si="14"/>
        <v>3987772.0803576764</v>
      </c>
    </row>
    <row r="286" spans="1:9" x14ac:dyDescent="0.25">
      <c r="A286" s="61">
        <f>'A) Base RI'!A277</f>
        <v>5882</v>
      </c>
      <c r="B286" s="13" t="str">
        <f>'A) Base RI'!B277</f>
        <v>Chardonne</v>
      </c>
      <c r="C286" s="14">
        <f>'D) Ecrêtage'!M275</f>
        <v>161622.89090586835</v>
      </c>
      <c r="D286" s="19">
        <f>'A) Base RI'!AN277</f>
        <v>2889</v>
      </c>
      <c r="E286" s="14">
        <f t="shared" si="12"/>
        <v>3004231.5486776093</v>
      </c>
      <c r="F286" s="19">
        <f>'F) Population'!K278</f>
        <v>753492.55533199187</v>
      </c>
      <c r="G286" s="14">
        <f>'G) Solidarité'!I275</f>
        <v>0</v>
      </c>
      <c r="H286" s="19">
        <f t="shared" si="13"/>
        <v>753492.55533199187</v>
      </c>
      <c r="I286" s="74">
        <f t="shared" si="14"/>
        <v>2250738.9933456173</v>
      </c>
    </row>
    <row r="287" spans="1:9" x14ac:dyDescent="0.25">
      <c r="A287" s="61">
        <f>'A) Base RI'!A278</f>
        <v>5883</v>
      </c>
      <c r="B287" s="13" t="str">
        <f>'A) Base RI'!B278</f>
        <v>Corseaux</v>
      </c>
      <c r="C287" s="14">
        <f>'D) Ecrêtage'!M276</f>
        <v>138337.12769454491</v>
      </c>
      <c r="D287" s="19">
        <f>'A) Base RI'!AN278</f>
        <v>2172</v>
      </c>
      <c r="E287" s="14">
        <f t="shared" si="12"/>
        <v>2571397.9068438071</v>
      </c>
      <c r="F287" s="19">
        <f>'F) Population'!K279</f>
        <v>505067.20321931585</v>
      </c>
      <c r="G287" s="14">
        <f>'G) Solidarité'!I276</f>
        <v>0</v>
      </c>
      <c r="H287" s="19">
        <f t="shared" si="13"/>
        <v>505067.20321931585</v>
      </c>
      <c r="I287" s="74">
        <f t="shared" si="14"/>
        <v>2066330.7036244911</v>
      </c>
    </row>
    <row r="288" spans="1:9" x14ac:dyDescent="0.25">
      <c r="A288" s="61">
        <f>'A) Base RI'!A279</f>
        <v>5884</v>
      </c>
      <c r="B288" s="13" t="str">
        <f>'A) Base RI'!B279</f>
        <v>Corsier-sur-Vevey</v>
      </c>
      <c r="C288" s="14">
        <f>'D) Ecrêtage'!M277</f>
        <v>132379.93277777778</v>
      </c>
      <c r="D288" s="19">
        <f>'A) Base RI'!AN279</f>
        <v>3427</v>
      </c>
      <c r="E288" s="14">
        <f t="shared" si="12"/>
        <v>2460666.1113025611</v>
      </c>
      <c r="F288" s="19">
        <f>'F) Population'!K280</f>
        <v>1003303.8229376257</v>
      </c>
      <c r="G288" s="14">
        <f>'G) Solidarité'!I277</f>
        <v>324317.89660369762</v>
      </c>
      <c r="H288" s="19">
        <f t="shared" si="13"/>
        <v>1327621.7195413234</v>
      </c>
      <c r="I288" s="74">
        <f t="shared" si="14"/>
        <v>1133044.3917612378</v>
      </c>
    </row>
    <row r="289" spans="1:9" x14ac:dyDescent="0.25">
      <c r="A289" s="61">
        <f>'A) Base RI'!A280</f>
        <v>5885</v>
      </c>
      <c r="B289" s="13" t="str">
        <f>'A) Base RI'!B280</f>
        <v>Jongny</v>
      </c>
      <c r="C289" s="14">
        <f>'D) Ecrêtage'!M278</f>
        <v>122286.47437647045</v>
      </c>
      <c r="D289" s="19">
        <f>'A) Base RI'!AN280</f>
        <v>1493</v>
      </c>
      <c r="E289" s="14">
        <f t="shared" si="12"/>
        <v>2273049.8275291622</v>
      </c>
      <c r="F289" s="19">
        <f>'F) Population'!K281</f>
        <v>269808.04828973842</v>
      </c>
      <c r="G289" s="14">
        <f>'G) Solidarité'!I278</f>
        <v>0</v>
      </c>
      <c r="H289" s="19">
        <f t="shared" si="13"/>
        <v>269808.04828973842</v>
      </c>
      <c r="I289" s="74">
        <f t="shared" si="14"/>
        <v>2003241.7792394238</v>
      </c>
    </row>
    <row r="290" spans="1:9" x14ac:dyDescent="0.25">
      <c r="A290" s="61">
        <f>'A) Base RI'!A281</f>
        <v>5886</v>
      </c>
      <c r="B290" s="13" t="str">
        <f>'A) Base RI'!B281</f>
        <v>Montreux</v>
      </c>
      <c r="C290" s="14">
        <f>'D) Ecrêtage'!M279</f>
        <v>1113145.3400000003</v>
      </c>
      <c r="D290" s="19">
        <f>'A) Base RI'!AN281</f>
        <v>26283</v>
      </c>
      <c r="E290" s="14">
        <f t="shared" si="12"/>
        <v>20691044.009596061</v>
      </c>
      <c r="F290" s="19">
        <f>'F) Population'!K282</f>
        <v>21379874.84909457</v>
      </c>
      <c r="G290" s="14">
        <f>'G) Solidarité'!I279</f>
        <v>768208.83040968759</v>
      </c>
      <c r="H290" s="19">
        <f t="shared" si="13"/>
        <v>22148083.679504257</v>
      </c>
      <c r="I290" s="74">
        <f t="shared" si="14"/>
        <v>-1457039.6699081957</v>
      </c>
    </row>
    <row r="291" spans="1:9" x14ac:dyDescent="0.25">
      <c r="A291" s="61">
        <f>'A) Base RI'!A282</f>
        <v>5888</v>
      </c>
      <c r="B291" s="13" t="str">
        <f>'A) Base RI'!B282</f>
        <v>Saint-Légier-La Chiésaz</v>
      </c>
      <c r="C291" s="14">
        <f>'D) Ecrêtage'!M280</f>
        <v>304726.92463337898</v>
      </c>
      <c r="D291" s="19">
        <f>'A) Base RI'!AN282</f>
        <v>5071</v>
      </c>
      <c r="E291" s="14">
        <f t="shared" si="12"/>
        <v>5664236.2698999438</v>
      </c>
      <c r="F291" s="19">
        <f>'F) Population'!K283</f>
        <v>1824062.7766599599</v>
      </c>
      <c r="G291" s="14">
        <f>'G) Solidarité'!I280</f>
        <v>0</v>
      </c>
      <c r="H291" s="19">
        <f t="shared" si="13"/>
        <v>1824062.7766599599</v>
      </c>
      <c r="I291" s="74">
        <f t="shared" si="14"/>
        <v>3840173.4932399839</v>
      </c>
    </row>
    <row r="292" spans="1:9" x14ac:dyDescent="0.25">
      <c r="A292" s="61">
        <f>'A) Base RI'!A283</f>
        <v>5889</v>
      </c>
      <c r="B292" s="13" t="str">
        <f>'A) Base RI'!B283</f>
        <v>La Tour-de-Peilz</v>
      </c>
      <c r="C292" s="14">
        <f>'D) Ecrêtage'!M281</f>
        <v>590141.45856770838</v>
      </c>
      <c r="D292" s="19">
        <f>'A) Base RI'!AN283</f>
        <v>11421</v>
      </c>
      <c r="E292" s="14">
        <f t="shared" si="12"/>
        <v>10969495.58366894</v>
      </c>
      <c r="F292" s="19">
        <f>'F) Population'!K284</f>
        <v>6194893.7625754531</v>
      </c>
      <c r="G292" s="14">
        <f>'G) Solidarité'!I281</f>
        <v>0</v>
      </c>
      <c r="H292" s="19">
        <f t="shared" si="13"/>
        <v>6194893.7625754531</v>
      </c>
      <c r="I292" s="74">
        <f t="shared" si="14"/>
        <v>4774601.8210934866</v>
      </c>
    </row>
    <row r="293" spans="1:9" x14ac:dyDescent="0.25">
      <c r="A293" s="61">
        <f>'A) Base RI'!A284</f>
        <v>5890</v>
      </c>
      <c r="B293" s="13" t="str">
        <f>'A) Base RI'!B284</f>
        <v>Vevey</v>
      </c>
      <c r="C293" s="14">
        <f>'D) Ecrêtage'!M282</f>
        <v>922155.6933561645</v>
      </c>
      <c r="D293" s="19">
        <f>'A) Base RI'!AN284</f>
        <v>19217</v>
      </c>
      <c r="E293" s="14">
        <f t="shared" si="12"/>
        <v>17140945.88486708</v>
      </c>
      <c r="F293" s="19">
        <f>'F) Population'!K285</f>
        <v>14035215.694164991</v>
      </c>
      <c r="G293" s="14">
        <f>'G) Solidarité'!I282</f>
        <v>0</v>
      </c>
      <c r="H293" s="19">
        <f t="shared" si="13"/>
        <v>14035215.694164991</v>
      </c>
      <c r="I293" s="74">
        <f t="shared" si="14"/>
        <v>3105730.1907020882</v>
      </c>
    </row>
    <row r="294" spans="1:9" x14ac:dyDescent="0.25">
      <c r="A294" s="61">
        <f>'A) Base RI'!A285</f>
        <v>5891</v>
      </c>
      <c r="B294" s="13" t="str">
        <f>'A) Base RI'!B285</f>
        <v>Veytaux</v>
      </c>
      <c r="C294" s="14">
        <f>'D) Ecrêtage'!M283</f>
        <v>37259.444879227056</v>
      </c>
      <c r="D294" s="19">
        <f>'A) Base RI'!AN285</f>
        <v>854</v>
      </c>
      <c r="E294" s="14">
        <f t="shared" si="12"/>
        <v>692575.16163092002</v>
      </c>
      <c r="F294" s="19">
        <f>'F) Population'!K286</f>
        <v>84540.845070422525</v>
      </c>
      <c r="G294" s="14">
        <f>'G) Solidarité'!I283</f>
        <v>7480.6902973912665</v>
      </c>
      <c r="H294" s="19">
        <f t="shared" si="13"/>
        <v>92021.535367813791</v>
      </c>
      <c r="I294" s="74">
        <f t="shared" si="14"/>
        <v>600553.62626310624</v>
      </c>
    </row>
    <row r="295" spans="1:9" x14ac:dyDescent="0.25">
      <c r="A295" s="61">
        <f>'A) Base RI'!A286</f>
        <v>5902</v>
      </c>
      <c r="B295" s="13" t="str">
        <f>'A) Base RI'!B286</f>
        <v>Belmont-sur-Yverdon</v>
      </c>
      <c r="C295" s="14">
        <f>'D) Ecrêtage'!M284</f>
        <v>8642.2247368421067</v>
      </c>
      <c r="D295" s="19">
        <f>'A) Base RI'!AN286</f>
        <v>369</v>
      </c>
      <c r="E295" s="14">
        <f t="shared" si="12"/>
        <v>160640.88483793114</v>
      </c>
      <c r="F295" s="19">
        <f>'F) Population'!K287</f>
        <v>36528.772635814887</v>
      </c>
      <c r="G295" s="14">
        <f>'G) Solidarité'!I284</f>
        <v>175194.62725477273</v>
      </c>
      <c r="H295" s="19">
        <f t="shared" si="13"/>
        <v>211723.39989058761</v>
      </c>
      <c r="I295" s="74">
        <f t="shared" si="14"/>
        <v>-51082.515052656468</v>
      </c>
    </row>
    <row r="296" spans="1:9" x14ac:dyDescent="0.25">
      <c r="A296" s="61">
        <f>'A) Base RI'!A287</f>
        <v>5903</v>
      </c>
      <c r="B296" s="13" t="str">
        <f>'A) Base RI'!B287</f>
        <v>Bioley-Magnoux</v>
      </c>
      <c r="C296" s="14">
        <f>'D) Ecrêtage'!M285</f>
        <v>6046.5271621621623</v>
      </c>
      <c r="D296" s="19">
        <f>'A) Base RI'!AN287</f>
        <v>201</v>
      </c>
      <c r="E296" s="14">
        <f t="shared" si="12"/>
        <v>112392.29516741744</v>
      </c>
      <c r="F296" s="19">
        <f>'F) Population'!K288</f>
        <v>19897.786720321928</v>
      </c>
      <c r="G296" s="14">
        <f>'G) Solidarité'!I285</f>
        <v>61318.210554835219</v>
      </c>
      <c r="H296" s="19">
        <f t="shared" si="13"/>
        <v>81215.997275157148</v>
      </c>
      <c r="I296" s="74">
        <f t="shared" si="14"/>
        <v>31176.297892260292</v>
      </c>
    </row>
    <row r="297" spans="1:9" x14ac:dyDescent="0.25">
      <c r="A297" s="61">
        <f>'A) Base RI'!A288</f>
        <v>5904</v>
      </c>
      <c r="B297" s="13" t="str">
        <f>'A) Base RI'!B288</f>
        <v>Chamblon</v>
      </c>
      <c r="C297" s="14">
        <f>'D) Ecrêtage'!M286</f>
        <v>20170.434545454544</v>
      </c>
      <c r="D297" s="19">
        <f>'A) Base RI'!AN288</f>
        <v>568</v>
      </c>
      <c r="E297" s="14">
        <f t="shared" si="12"/>
        <v>374926.19685465022</v>
      </c>
      <c r="F297" s="19">
        <f>'F) Population'!K289</f>
        <v>56228.571428571428</v>
      </c>
      <c r="G297" s="14">
        <f>'G) Solidarité'!I286</f>
        <v>84422.178800607289</v>
      </c>
      <c r="H297" s="19">
        <f t="shared" si="13"/>
        <v>140650.75022917872</v>
      </c>
      <c r="I297" s="74">
        <f t="shared" si="14"/>
        <v>234275.44662547149</v>
      </c>
    </row>
    <row r="298" spans="1:9" x14ac:dyDescent="0.25">
      <c r="A298" s="61">
        <f>'A) Base RI'!A289</f>
        <v>5905</v>
      </c>
      <c r="B298" s="13" t="str">
        <f>'A) Base RI'!B289</f>
        <v>Champvent</v>
      </c>
      <c r="C298" s="14">
        <f>'D) Ecrêtage'!M287</f>
        <v>18220.765633802814</v>
      </c>
      <c r="D298" s="19">
        <f>'A) Base RI'!AN289</f>
        <v>617</v>
      </c>
      <c r="E298" s="14">
        <f t="shared" si="12"/>
        <v>338685.92902482022</v>
      </c>
      <c r="F298" s="19">
        <f>'F) Population'!K290</f>
        <v>61079.275653923534</v>
      </c>
      <c r="G298" s="14">
        <f>'G) Solidarité'!I287</f>
        <v>180088.15601831704</v>
      </c>
      <c r="H298" s="19">
        <f t="shared" si="13"/>
        <v>241167.43167224058</v>
      </c>
      <c r="I298" s="74">
        <f t="shared" si="14"/>
        <v>97518.497352579638</v>
      </c>
    </row>
    <row r="299" spans="1:9" x14ac:dyDescent="0.25">
      <c r="A299" s="61">
        <f>'A) Base RI'!A290</f>
        <v>5907</v>
      </c>
      <c r="B299" s="13" t="str">
        <f>'A) Base RI'!B290</f>
        <v>Chavannes-le-Chêne</v>
      </c>
      <c r="C299" s="14">
        <f>'D) Ecrêtage'!M288</f>
        <v>6951.74782051282</v>
      </c>
      <c r="D299" s="19">
        <f>'A) Base RI'!AN290</f>
        <v>278</v>
      </c>
      <c r="E299" s="14">
        <f t="shared" si="12"/>
        <v>129218.45416686038</v>
      </c>
      <c r="F299" s="19">
        <f>'F) Population'!K291</f>
        <v>27520.321931589537</v>
      </c>
      <c r="G299" s="14">
        <f>'G) Solidarité'!I288</f>
        <v>128363.361452518</v>
      </c>
      <c r="H299" s="19">
        <f t="shared" si="13"/>
        <v>155883.68338410754</v>
      </c>
      <c r="I299" s="74">
        <f t="shared" si="14"/>
        <v>-26665.229217247164</v>
      </c>
    </row>
    <row r="300" spans="1:9" x14ac:dyDescent="0.25">
      <c r="A300" s="61">
        <f>'A) Base RI'!A291</f>
        <v>5908</v>
      </c>
      <c r="B300" s="13" t="str">
        <f>'A) Base RI'!B291</f>
        <v>Chêne-Pâquier</v>
      </c>
      <c r="C300" s="14">
        <f>'D) Ecrêtage'!M289</f>
        <v>2899.0017721518989</v>
      </c>
      <c r="D300" s="19">
        <f>'A) Base RI'!AN291</f>
        <v>125</v>
      </c>
      <c r="E300" s="14">
        <f t="shared" si="12"/>
        <v>53886.380417755594</v>
      </c>
      <c r="F300" s="19">
        <f>'F) Population'!K292</f>
        <v>12374.245472837021</v>
      </c>
      <c r="G300" s="14">
        <f>'G) Solidarité'!I289</f>
        <v>64834.901376713518</v>
      </c>
      <c r="H300" s="19">
        <f t="shared" si="13"/>
        <v>77209.14684955054</v>
      </c>
      <c r="I300" s="74">
        <f t="shared" si="14"/>
        <v>-23322.766431794946</v>
      </c>
    </row>
    <row r="301" spans="1:9" x14ac:dyDescent="0.25">
      <c r="A301" s="61">
        <f>'A) Base RI'!A292</f>
        <v>5909</v>
      </c>
      <c r="B301" s="13" t="str">
        <f>'A) Base RI'!B292</f>
        <v>Cheseaux-Noréaz</v>
      </c>
      <c r="C301" s="14">
        <f>'D) Ecrêtage'!M290</f>
        <v>22661.846714285719</v>
      </c>
      <c r="D301" s="19">
        <f>'A) Base RI'!AN292</f>
        <v>664</v>
      </c>
      <c r="E301" s="14">
        <f t="shared" si="12"/>
        <v>421236.33891689795</v>
      </c>
      <c r="F301" s="19">
        <f>'F) Population'!K293</f>
        <v>65731.991951710253</v>
      </c>
      <c r="G301" s="14">
        <f>'G) Solidarité'!I290</f>
        <v>128896.38713958803</v>
      </c>
      <c r="H301" s="19">
        <f t="shared" si="13"/>
        <v>194628.37909129827</v>
      </c>
      <c r="I301" s="74">
        <f t="shared" si="14"/>
        <v>226607.95982559968</v>
      </c>
    </row>
    <row r="302" spans="1:9" x14ac:dyDescent="0.25">
      <c r="A302" s="61">
        <f>'A) Base RI'!A293</f>
        <v>5910</v>
      </c>
      <c r="B302" s="13" t="str">
        <f>'A) Base RI'!B293</f>
        <v>Cronay</v>
      </c>
      <c r="C302" s="14">
        <f>'D) Ecrêtage'!M291</f>
        <v>10409.753209876544</v>
      </c>
      <c r="D302" s="19">
        <f>'A) Base RI'!AN293</f>
        <v>364</v>
      </c>
      <c r="E302" s="14">
        <f t="shared" si="12"/>
        <v>193495.54281437263</v>
      </c>
      <c r="F302" s="19">
        <f>'F) Population'!K294</f>
        <v>36033.802816901407</v>
      </c>
      <c r="G302" s="14">
        <f>'G) Solidarité'!I291</f>
        <v>147138.89313151324</v>
      </c>
      <c r="H302" s="19">
        <f t="shared" si="13"/>
        <v>183172.69594841465</v>
      </c>
      <c r="I302" s="74">
        <f t="shared" si="14"/>
        <v>10322.846865957981</v>
      </c>
    </row>
    <row r="303" spans="1:9" x14ac:dyDescent="0.25">
      <c r="A303" s="61">
        <f>'A) Base RI'!A294</f>
        <v>5911</v>
      </c>
      <c r="B303" s="13" t="str">
        <f>'A) Base RI'!B294</f>
        <v>Cuarny</v>
      </c>
      <c r="C303" s="14">
        <f>'D) Ecrêtage'!M292</f>
        <v>6783.6280246913584</v>
      </c>
      <c r="D303" s="19">
        <f>'A) Base RI'!AN294</f>
        <v>216</v>
      </c>
      <c r="E303" s="14">
        <f t="shared" si="12"/>
        <v>126093.45874242985</v>
      </c>
      <c r="F303" s="19">
        <f>'F) Population'!K295</f>
        <v>21382.696177062371</v>
      </c>
      <c r="G303" s="14">
        <f>'G) Solidarité'!I292</f>
        <v>71492.110557411739</v>
      </c>
      <c r="H303" s="19">
        <f t="shared" si="13"/>
        <v>92874.806734474114</v>
      </c>
      <c r="I303" s="74">
        <f t="shared" si="14"/>
        <v>33218.652007955738</v>
      </c>
    </row>
    <row r="304" spans="1:9" x14ac:dyDescent="0.25">
      <c r="A304" s="61">
        <f>'A) Base RI'!A295</f>
        <v>5912</v>
      </c>
      <c r="B304" s="13" t="str">
        <f>'A) Base RI'!B295</f>
        <v>Démoret</v>
      </c>
      <c r="C304" s="14">
        <f>'D) Ecrêtage'!M293</f>
        <v>3146.6025925925924</v>
      </c>
      <c r="D304" s="19">
        <f>'A) Base RI'!AN295</f>
        <v>123</v>
      </c>
      <c r="E304" s="14">
        <f t="shared" si="12"/>
        <v>58488.76187546397</v>
      </c>
      <c r="F304" s="19">
        <f>'F) Population'!K296</f>
        <v>12176.257545271628</v>
      </c>
      <c r="G304" s="14">
        <f>'G) Solidarité'!I293</f>
        <v>59398.722755701048</v>
      </c>
      <c r="H304" s="19">
        <f t="shared" si="13"/>
        <v>71574.980300972675</v>
      </c>
      <c r="I304" s="74">
        <f t="shared" si="14"/>
        <v>-13086.218425508705</v>
      </c>
    </row>
    <row r="305" spans="1:9" x14ac:dyDescent="0.25">
      <c r="A305" s="61">
        <f>'A) Base RI'!A296</f>
        <v>5913</v>
      </c>
      <c r="B305" s="13" t="str">
        <f>'A) Base RI'!B296</f>
        <v>Donneloye</v>
      </c>
      <c r="C305" s="14">
        <f>'D) Ecrêtage'!M294</f>
        <v>23116.238767123283</v>
      </c>
      <c r="D305" s="19">
        <f>'A) Base RI'!AN296</f>
        <v>765</v>
      </c>
      <c r="E305" s="14">
        <f t="shared" si="12"/>
        <v>429682.53693347744</v>
      </c>
      <c r="F305" s="19">
        <f>'F) Population'!K297</f>
        <v>75730.382293762566</v>
      </c>
      <c r="G305" s="14">
        <f>'G) Solidarité'!I294</f>
        <v>224920.68202184187</v>
      </c>
      <c r="H305" s="19">
        <f t="shared" si="13"/>
        <v>300651.06431560445</v>
      </c>
      <c r="I305" s="74">
        <f t="shared" si="14"/>
        <v>129031.47261787299</v>
      </c>
    </row>
    <row r="306" spans="1:9" x14ac:dyDescent="0.25">
      <c r="A306" s="61">
        <f>'A) Base RI'!A297</f>
        <v>5914</v>
      </c>
      <c r="B306" s="13" t="str">
        <f>'A) Base RI'!B297</f>
        <v>Ependes</v>
      </c>
      <c r="C306" s="14">
        <f>'D) Ecrêtage'!M295</f>
        <v>8750.2923999999985</v>
      </c>
      <c r="D306" s="19">
        <f>'A) Base RI'!AN297</f>
        <v>345</v>
      </c>
      <c r="E306" s="14">
        <f t="shared" si="12"/>
        <v>162649.63669994241</v>
      </c>
      <c r="F306" s="19">
        <f>'F) Population'!K298</f>
        <v>34152.917505030178</v>
      </c>
      <c r="G306" s="14">
        <f>'G) Solidarité'!I295</f>
        <v>144527.68736333819</v>
      </c>
      <c r="H306" s="19">
        <f t="shared" si="13"/>
        <v>178680.60486836836</v>
      </c>
      <c r="I306" s="74">
        <f t="shared" si="14"/>
        <v>-16030.968168425956</v>
      </c>
    </row>
    <row r="307" spans="1:9" x14ac:dyDescent="0.25">
      <c r="A307" s="61">
        <f>'A) Base RI'!A298</f>
        <v>5919</v>
      </c>
      <c r="B307" s="13" t="str">
        <f>'A) Base RI'!B298</f>
        <v>Mathod</v>
      </c>
      <c r="C307" s="14">
        <f>'D) Ecrêtage'!M296</f>
        <v>16260.723851351351</v>
      </c>
      <c r="D307" s="19">
        <f>'A) Base RI'!AN298</f>
        <v>581</v>
      </c>
      <c r="E307" s="14">
        <f t="shared" si="12"/>
        <v>302252.85121905024</v>
      </c>
      <c r="F307" s="19">
        <f>'F) Population'!K299</f>
        <v>57515.492957746472</v>
      </c>
      <c r="G307" s="14">
        <f>'G) Solidarité'!I296</f>
        <v>203744.64451769044</v>
      </c>
      <c r="H307" s="19">
        <f t="shared" si="13"/>
        <v>261260.1374754369</v>
      </c>
      <c r="I307" s="74">
        <f t="shared" si="14"/>
        <v>40992.713743613334</v>
      </c>
    </row>
    <row r="308" spans="1:9" x14ac:dyDescent="0.25">
      <c r="A308" s="61">
        <f>'A) Base RI'!A299</f>
        <v>5921</v>
      </c>
      <c r="B308" s="13" t="str">
        <f>'A) Base RI'!B299</f>
        <v>Molondin</v>
      </c>
      <c r="C308" s="14">
        <f>'D) Ecrêtage'!M297</f>
        <v>4932.1140740740739</v>
      </c>
      <c r="D308" s="19">
        <f>'A) Base RI'!AN299</f>
        <v>224</v>
      </c>
      <c r="E308" s="14">
        <f t="shared" si="12"/>
        <v>91677.686372037235</v>
      </c>
      <c r="F308" s="19">
        <f>'F) Population'!K300</f>
        <v>22174.647887323943</v>
      </c>
      <c r="G308" s="14">
        <f>'G) Solidarité'!I297</f>
        <v>129000.24586218325</v>
      </c>
      <c r="H308" s="19">
        <f t="shared" si="13"/>
        <v>151174.8937495072</v>
      </c>
      <c r="I308" s="74">
        <f t="shared" si="14"/>
        <v>-59497.207377469967</v>
      </c>
    </row>
    <row r="309" spans="1:9" x14ac:dyDescent="0.25">
      <c r="A309" s="61">
        <f>'A) Base RI'!A300</f>
        <v>5922</v>
      </c>
      <c r="B309" s="13" t="str">
        <f>'A) Base RI'!B300</f>
        <v>Montagny-près-Yverdon</v>
      </c>
      <c r="C309" s="14">
        <f>'D) Ecrêtage'!M298</f>
        <v>50302.260950596246</v>
      </c>
      <c r="D309" s="19">
        <f>'A) Base RI'!AN300</f>
        <v>713</v>
      </c>
      <c r="E309" s="14">
        <f t="shared" si="12"/>
        <v>935013.83665763901</v>
      </c>
      <c r="F309" s="19">
        <f>'F) Population'!K301</f>
        <v>70582.696177062375</v>
      </c>
      <c r="G309" s="14">
        <f>'G) Solidarité'!I298</f>
        <v>0</v>
      </c>
      <c r="H309" s="19">
        <f t="shared" si="13"/>
        <v>70582.696177062375</v>
      </c>
      <c r="I309" s="74">
        <f t="shared" si="14"/>
        <v>864431.14048057667</v>
      </c>
    </row>
    <row r="310" spans="1:9" x14ac:dyDescent="0.25">
      <c r="A310" s="61">
        <f>'A) Base RI'!A301</f>
        <v>5923</v>
      </c>
      <c r="B310" s="13" t="str">
        <f>'A) Base RI'!B301</f>
        <v>Oppens</v>
      </c>
      <c r="C310" s="14">
        <f>'D) Ecrêtage'!M299</f>
        <v>4902.1274074074072</v>
      </c>
      <c r="D310" s="19">
        <f>'A) Base RI'!AN301</f>
        <v>182</v>
      </c>
      <c r="E310" s="14">
        <f t="shared" si="12"/>
        <v>91120.296948207746</v>
      </c>
      <c r="F310" s="19">
        <f>'F) Population'!K302</f>
        <v>18016.901408450703</v>
      </c>
      <c r="G310" s="14">
        <f>'G) Solidarité'!I299</f>
        <v>81468.070293823184</v>
      </c>
      <c r="H310" s="19">
        <f t="shared" si="13"/>
        <v>99484.971702273891</v>
      </c>
      <c r="I310" s="74">
        <f t="shared" si="14"/>
        <v>-8364.6747540661454</v>
      </c>
    </row>
    <row r="311" spans="1:9" x14ac:dyDescent="0.25">
      <c r="A311" s="61">
        <f>'A) Base RI'!A302</f>
        <v>5924</v>
      </c>
      <c r="B311" s="13" t="str">
        <f>'A) Base RI'!B302</f>
        <v>Orges</v>
      </c>
      <c r="C311" s="14">
        <f>'D) Ecrêtage'!M300</f>
        <v>9002.8555405405405</v>
      </c>
      <c r="D311" s="19">
        <f>'A) Base RI'!AN302</f>
        <v>275</v>
      </c>
      <c r="E311" s="14">
        <f t="shared" si="12"/>
        <v>167344.25731087371</v>
      </c>
      <c r="F311" s="19">
        <f>'F) Population'!K303</f>
        <v>27223.340040241448</v>
      </c>
      <c r="G311" s="14">
        <f>'G) Solidarité'!I300</f>
        <v>67991.882340741431</v>
      </c>
      <c r="H311" s="19">
        <f t="shared" si="13"/>
        <v>95215.222380982887</v>
      </c>
      <c r="I311" s="74">
        <f t="shared" si="14"/>
        <v>72129.034929890826</v>
      </c>
    </row>
    <row r="312" spans="1:9" x14ac:dyDescent="0.25">
      <c r="A312" s="61">
        <f>'A) Base RI'!A303</f>
        <v>5925</v>
      </c>
      <c r="B312" s="13" t="str">
        <f>'A) Base RI'!B303</f>
        <v>Orzens</v>
      </c>
      <c r="C312" s="14">
        <f>'D) Ecrêtage'!M301</f>
        <v>5053.7527848101263</v>
      </c>
      <c r="D312" s="19">
        <f>'A) Base RI'!AN303</f>
        <v>211</v>
      </c>
      <c r="E312" s="14">
        <f t="shared" si="12"/>
        <v>93938.695628124304</v>
      </c>
      <c r="F312" s="19">
        <f>'F) Population'!K304</f>
        <v>20887.726358148891</v>
      </c>
      <c r="G312" s="14">
        <f>'G) Solidarité'!I301</f>
        <v>105464.66208879958</v>
      </c>
      <c r="H312" s="19">
        <f t="shared" si="13"/>
        <v>126352.38844694848</v>
      </c>
      <c r="I312" s="74">
        <f t="shared" si="14"/>
        <v>-32413.692818824173</v>
      </c>
    </row>
    <row r="313" spans="1:9" x14ac:dyDescent="0.25">
      <c r="A313" s="61">
        <f>'A) Base RI'!A304</f>
        <v>5926</v>
      </c>
      <c r="B313" s="13" t="str">
        <f>'A) Base RI'!B304</f>
        <v>Pomy</v>
      </c>
      <c r="C313" s="14">
        <f>'D) Ecrêtage'!M302</f>
        <v>21029.126197183101</v>
      </c>
      <c r="D313" s="19">
        <f>'A) Base RI'!AN304</f>
        <v>730</v>
      </c>
      <c r="E313" s="14">
        <f t="shared" si="12"/>
        <v>390887.47892459837</v>
      </c>
      <c r="F313" s="19">
        <f>'F) Population'!K305</f>
        <v>72265.593561368209</v>
      </c>
      <c r="G313" s="14">
        <f>'G) Solidarité'!I302</f>
        <v>223667.63240832946</v>
      </c>
      <c r="H313" s="19">
        <f t="shared" si="13"/>
        <v>295933.2259696977</v>
      </c>
      <c r="I313" s="74">
        <f t="shared" si="14"/>
        <v>94954.252954900672</v>
      </c>
    </row>
    <row r="314" spans="1:9" x14ac:dyDescent="0.25">
      <c r="A314" s="61">
        <f>'A) Base RI'!A305</f>
        <v>5928</v>
      </c>
      <c r="B314" s="13" t="str">
        <f>'A) Base RI'!B305</f>
        <v>Rovray</v>
      </c>
      <c r="C314" s="14">
        <f>'D) Ecrêtage'!M303</f>
        <v>4897.1457333333328</v>
      </c>
      <c r="D314" s="19">
        <f>'A) Base RI'!AN305</f>
        <v>176</v>
      </c>
      <c r="E314" s="14">
        <f t="shared" si="12"/>
        <v>91027.698045077865</v>
      </c>
      <c r="F314" s="19">
        <f>'F) Population'!K306</f>
        <v>17422.937625754526</v>
      </c>
      <c r="G314" s="14">
        <f>'G) Solidarité'!I303</f>
        <v>64039.751841061683</v>
      </c>
      <c r="H314" s="19">
        <f t="shared" si="13"/>
        <v>81462.689466816213</v>
      </c>
      <c r="I314" s="74">
        <f t="shared" si="14"/>
        <v>9565.0085782616516</v>
      </c>
    </row>
    <row r="315" spans="1:9" x14ac:dyDescent="0.25">
      <c r="A315" s="61">
        <f>'A) Base RI'!A306</f>
        <v>5929</v>
      </c>
      <c r="B315" s="13" t="str">
        <f>'A) Base RI'!B306</f>
        <v>Suchy</v>
      </c>
      <c r="C315" s="14">
        <f>'D) Ecrêtage'!M304</f>
        <v>16083.913284313729</v>
      </c>
      <c r="D315" s="19">
        <f>'A) Base RI'!AN306</f>
        <v>542</v>
      </c>
      <c r="E315" s="14">
        <f t="shared" si="12"/>
        <v>298966.31253225385</v>
      </c>
      <c r="F315" s="19">
        <f>'F) Population'!K307</f>
        <v>53654.728370221324</v>
      </c>
      <c r="G315" s="14">
        <f>'G) Solidarité'!I304</f>
        <v>143677.01169859921</v>
      </c>
      <c r="H315" s="19">
        <f t="shared" si="13"/>
        <v>197331.74006882054</v>
      </c>
      <c r="I315" s="74">
        <f t="shared" si="14"/>
        <v>101634.57246343332</v>
      </c>
    </row>
    <row r="316" spans="1:9" x14ac:dyDescent="0.25">
      <c r="A316" s="61">
        <f>'A) Base RI'!A307</f>
        <v>5930</v>
      </c>
      <c r="B316" s="13" t="str">
        <f>'A) Base RI'!B307</f>
        <v>Suscévaz</v>
      </c>
      <c r="C316" s="14">
        <f>'D) Ecrêtage'!M305</f>
        <v>5208.083787878787</v>
      </c>
      <c r="D316" s="19">
        <f>'A) Base RI'!AN307</f>
        <v>199</v>
      </c>
      <c r="E316" s="14">
        <f t="shared" si="12"/>
        <v>96807.386231041222</v>
      </c>
      <c r="F316" s="19">
        <f>'F) Population'!K308</f>
        <v>19699.798792756537</v>
      </c>
      <c r="G316" s="14">
        <f>'G) Solidarité'!I305</f>
        <v>61772.507298498131</v>
      </c>
      <c r="H316" s="19">
        <f t="shared" si="13"/>
        <v>81472.306091254664</v>
      </c>
      <c r="I316" s="74">
        <f t="shared" si="14"/>
        <v>15335.080139786558</v>
      </c>
    </row>
    <row r="317" spans="1:9" x14ac:dyDescent="0.25">
      <c r="A317" s="61">
        <f>'A) Base RI'!A308</f>
        <v>5931</v>
      </c>
      <c r="B317" s="13" t="str">
        <f>'A) Base RI'!B308</f>
        <v>Treycovagnes</v>
      </c>
      <c r="C317" s="14">
        <f>'D) Ecrêtage'!M306</f>
        <v>13922.074155844155</v>
      </c>
      <c r="D317" s="19">
        <f>'A) Base RI'!AN308</f>
        <v>462</v>
      </c>
      <c r="E317" s="14">
        <f t="shared" si="12"/>
        <v>258782.24407194776</v>
      </c>
      <c r="F317" s="19">
        <f>'F) Population'!K309</f>
        <v>45735.211267605628</v>
      </c>
      <c r="G317" s="14">
        <f>'G) Solidarité'!I306</f>
        <v>152031.7296709728</v>
      </c>
      <c r="H317" s="19">
        <f t="shared" si="13"/>
        <v>197766.94093857842</v>
      </c>
      <c r="I317" s="74">
        <f t="shared" si="14"/>
        <v>61015.303133369336</v>
      </c>
    </row>
    <row r="318" spans="1:9" x14ac:dyDescent="0.25">
      <c r="A318" s="61">
        <f>'A) Base RI'!A309</f>
        <v>5932</v>
      </c>
      <c r="B318" s="13" t="str">
        <f>'A) Base RI'!B309</f>
        <v>Ursins</v>
      </c>
      <c r="C318" s="14">
        <f>'D) Ecrêtage'!M307</f>
        <v>5429.3069230769233</v>
      </c>
      <c r="D318" s="19">
        <f>'A) Base RI'!AN309</f>
        <v>207</v>
      </c>
      <c r="E318" s="14">
        <f t="shared" si="12"/>
        <v>100919.46168232548</v>
      </c>
      <c r="F318" s="19">
        <f>'F) Population'!K310</f>
        <v>20491.750503018106</v>
      </c>
      <c r="G318" s="14">
        <f>'G) Solidarité'!I307</f>
        <v>89458.981305312656</v>
      </c>
      <c r="H318" s="19">
        <f t="shared" si="13"/>
        <v>109950.73180833076</v>
      </c>
      <c r="I318" s="74">
        <f t="shared" si="14"/>
        <v>-9031.2701260052854</v>
      </c>
    </row>
    <row r="319" spans="1:9" x14ac:dyDescent="0.25">
      <c r="A319" s="61">
        <f>'A) Base RI'!A310</f>
        <v>5933</v>
      </c>
      <c r="B319" s="13" t="str">
        <f>'A) Base RI'!B310</f>
        <v>Valeyres-sous-Montagny</v>
      </c>
      <c r="C319" s="14">
        <f>'D) Ecrêtage'!M308</f>
        <v>17165.971111111114</v>
      </c>
      <c r="D319" s="19">
        <f>'A) Base RI'!AN310</f>
        <v>661</v>
      </c>
      <c r="E319" s="14">
        <f t="shared" si="12"/>
        <v>319079.5046830583</v>
      </c>
      <c r="F319" s="19">
        <f>'F) Population'!K311</f>
        <v>65435.010060362169</v>
      </c>
      <c r="G319" s="14">
        <f>'G) Solidarité'!I308</f>
        <v>246932.64005224925</v>
      </c>
      <c r="H319" s="19">
        <f t="shared" si="13"/>
        <v>312367.65011261142</v>
      </c>
      <c r="I319" s="74">
        <f t="shared" si="14"/>
        <v>6711.8545704468852</v>
      </c>
    </row>
    <row r="320" spans="1:9" x14ac:dyDescent="0.25">
      <c r="A320" s="61">
        <f>'A) Base RI'!A311</f>
        <v>5934</v>
      </c>
      <c r="B320" s="13" t="str">
        <f>'A) Base RI'!B311</f>
        <v>Valeyres-sous-Ursins</v>
      </c>
      <c r="C320" s="14">
        <f>'D) Ecrêtage'!M309</f>
        <v>6602.430506329114</v>
      </c>
      <c r="D320" s="19">
        <f>'A) Base RI'!AN311</f>
        <v>245</v>
      </c>
      <c r="E320" s="14">
        <f t="shared" si="12"/>
        <v>122725.37580470424</v>
      </c>
      <c r="F320" s="19">
        <f>'F) Population'!K312</f>
        <v>24253.521126760563</v>
      </c>
      <c r="G320" s="14">
        <f>'G) Solidarité'!I309</f>
        <v>104234.98872072448</v>
      </c>
      <c r="H320" s="19">
        <f t="shared" si="13"/>
        <v>128488.50984748504</v>
      </c>
      <c r="I320" s="74">
        <f t="shared" si="14"/>
        <v>-5763.1340427808027</v>
      </c>
    </row>
    <row r="321" spans="1:9" x14ac:dyDescent="0.25">
      <c r="A321" s="61">
        <f>'A) Base RI'!A312</f>
        <v>5935</v>
      </c>
      <c r="B321" s="13" t="str">
        <f>'A) Base RI'!B312</f>
        <v>Villars-Epeney</v>
      </c>
      <c r="C321" s="14">
        <f>'D) Ecrêtage'!M310</f>
        <v>6088.5334683902975</v>
      </c>
      <c r="D321" s="19">
        <f>'A) Base RI'!AN312</f>
        <v>90</v>
      </c>
      <c r="E321" s="14">
        <f t="shared" si="12"/>
        <v>113173.10455466862</v>
      </c>
      <c r="F321" s="19">
        <f>'F) Population'!K313</f>
        <v>8909.4567404426562</v>
      </c>
      <c r="G321" s="14">
        <f>'G) Solidarité'!I310</f>
        <v>0</v>
      </c>
      <c r="H321" s="19">
        <f t="shared" si="13"/>
        <v>8909.4567404426562</v>
      </c>
      <c r="I321" s="74">
        <f t="shared" si="14"/>
        <v>104263.64781422596</v>
      </c>
    </row>
    <row r="322" spans="1:9" x14ac:dyDescent="0.25">
      <c r="A322" s="61">
        <f>'A) Base RI'!A313</f>
        <v>5937</v>
      </c>
      <c r="B322" s="13" t="str">
        <f>'A) Base RI'!B313</f>
        <v>Vugelles-La Mothe</v>
      </c>
      <c r="C322" s="14">
        <f>'D) Ecrêtage'!M311</f>
        <v>2128.9780612244899</v>
      </c>
      <c r="D322" s="19">
        <f>'A) Base RI'!AN313</f>
        <v>135</v>
      </c>
      <c r="E322" s="14">
        <f t="shared" si="12"/>
        <v>39573.249940803245</v>
      </c>
      <c r="F322" s="19">
        <f>'F) Population'!K314</f>
        <v>13364.185110663982</v>
      </c>
      <c r="G322" s="14">
        <f>'G) Solidarité'!I311</f>
        <v>74498.782199610199</v>
      </c>
      <c r="H322" s="19">
        <f t="shared" si="13"/>
        <v>87862.96731027418</v>
      </c>
      <c r="I322" s="74">
        <f t="shared" si="14"/>
        <v>-48289.717369470934</v>
      </c>
    </row>
    <row r="323" spans="1:9" x14ac:dyDescent="0.25">
      <c r="A323" s="61">
        <f>'A) Base RI'!A314</f>
        <v>5938</v>
      </c>
      <c r="B323" s="13" t="str">
        <f>'A) Base RI'!B314</f>
        <v>Yverdon-les-Bains</v>
      </c>
      <c r="C323" s="14">
        <f>'D) Ecrêtage'!M312</f>
        <v>771340.02758169943</v>
      </c>
      <c r="D323" s="19">
        <f>'A) Base RI'!AN314</f>
        <v>29308</v>
      </c>
      <c r="E323" s="14">
        <f t="shared" si="12"/>
        <v>14337598.050813362</v>
      </c>
      <c r="F323" s="19">
        <f>'F) Population'!K315</f>
        <v>24524170.623742454</v>
      </c>
      <c r="G323" s="14">
        <f>'G) Solidarité'!I312</f>
        <v>12122239.816887746</v>
      </c>
      <c r="H323" s="19">
        <f t="shared" si="13"/>
        <v>36646410.440630198</v>
      </c>
      <c r="I323" s="74">
        <f t="shared" si="14"/>
        <v>-22308812.389816836</v>
      </c>
    </row>
    <row r="324" spans="1:9" x14ac:dyDescent="0.25">
      <c r="A324" s="61">
        <f>'A) Base RI'!A315</f>
        <v>5939</v>
      </c>
      <c r="B324" s="13" t="str">
        <f>'A) Base RI'!B315</f>
        <v>Yvonand</v>
      </c>
      <c r="C324" s="14">
        <f>'D) Ecrêtage'!M313</f>
        <v>88221.551917808203</v>
      </c>
      <c r="D324" s="19">
        <f>'A) Base RI'!AN315</f>
        <v>3152</v>
      </c>
      <c r="E324" s="14">
        <f t="shared" si="12"/>
        <v>1639854.1571635494</v>
      </c>
      <c r="F324" s="19">
        <f>'F) Population'!K316</f>
        <v>867187.12273641839</v>
      </c>
      <c r="G324" s="14">
        <f>'G) Solidarité'!I313</f>
        <v>1075562.2649475064</v>
      </c>
      <c r="H324" s="19">
        <f t="shared" si="13"/>
        <v>1942749.3876839248</v>
      </c>
      <c r="I324" s="74">
        <f t="shared" si="14"/>
        <v>-302895.23052037531</v>
      </c>
    </row>
    <row r="325" spans="1:9" x14ac:dyDescent="0.25">
      <c r="A325" s="40"/>
      <c r="B325" s="158">
        <f>COUNTA(B16:B324)</f>
        <v>309</v>
      </c>
      <c r="C325" s="15">
        <f>SUM(C16:C324)</f>
        <v>33840443.986265205</v>
      </c>
      <c r="D325" s="15">
        <f>SUM(D16:D324)</f>
        <v>767496</v>
      </c>
      <c r="E325" s="15">
        <f>SUM(E16:E324)</f>
        <v>629023085.00351155</v>
      </c>
      <c r="F325" s="15">
        <f>SUM(F16:F324)</f>
        <v>394558954.52716333</v>
      </c>
      <c r="G325" s="15">
        <f>SUM(G16:G324)</f>
        <v>101795944.53128798</v>
      </c>
      <c r="H325" s="15">
        <f>F325+G325</f>
        <v>496354899.05845129</v>
      </c>
      <c r="I325" s="47">
        <f>E325-H325</f>
        <v>132668185.94506025</v>
      </c>
    </row>
    <row r="326" spans="1:9" x14ac:dyDescent="0.25">
      <c r="C326" s="98"/>
      <c r="D326" s="98"/>
      <c r="E326" s="46"/>
      <c r="H326" s="46"/>
    </row>
    <row r="327" spans="1:9" x14ac:dyDescent="0.25">
      <c r="C327" s="7"/>
      <c r="D327" s="7"/>
      <c r="E327" s="8"/>
      <c r="F327" s="8"/>
      <c r="G327" s="8"/>
      <c r="H327" s="8"/>
      <c r="I327" s="8"/>
    </row>
    <row r="328" spans="1:9" x14ac:dyDescent="0.25">
      <c r="G328" s="17"/>
    </row>
    <row r="330" spans="1:9" x14ac:dyDescent="0.25">
      <c r="F330" s="17"/>
    </row>
    <row r="331" spans="1:9" x14ac:dyDescent="0.25">
      <c r="F331" s="17"/>
    </row>
    <row r="333" spans="1:9" x14ac:dyDescent="0.25">
      <c r="F333" s="142"/>
      <c r="G333" s="142"/>
      <c r="H333" s="142"/>
      <c r="I333" s="142"/>
    </row>
    <row r="334" spans="1:9" x14ac:dyDescent="0.25">
      <c r="E334" s="142"/>
      <c r="F334" s="142"/>
      <c r="G334" s="142"/>
      <c r="H334" s="142"/>
      <c r="I334" s="142"/>
    </row>
    <row r="335" spans="1:9" x14ac:dyDescent="0.25">
      <c r="E335" s="155"/>
      <c r="F335" s="155"/>
      <c r="G335" s="155"/>
      <c r="H335" s="155"/>
      <c r="I335" s="155"/>
    </row>
    <row r="342" spans="3:3" x14ac:dyDescent="0.25">
      <c r="C342" s="60"/>
    </row>
    <row r="343" spans="3:3" x14ac:dyDescent="0.25">
      <c r="C343" s="60"/>
    </row>
    <row r="344" spans="3:3" x14ac:dyDescent="0.25">
      <c r="C344" s="60"/>
    </row>
  </sheetData>
  <sheetProtection password="CBF3" sheet="1" objects="1" scenarios="1"/>
  <mergeCells count="4">
    <mergeCell ref="D14:D15"/>
    <mergeCell ref="C14:C15"/>
    <mergeCell ref="B14:B15"/>
    <mergeCell ref="A14:A15"/>
  </mergeCells>
  <phoneticPr fontId="7" type="noConversion"/>
  <pageMargins left="0.25" right="0.25" top="0.75" bottom="0.75" header="0.3" footer="0.3"/>
  <pageSetup paperSize="9" orientation="landscape" horizontalDpi="4294967292" vertic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rgb="FF00B050"/>
  </sheetPr>
  <dimension ref="A1:Q319"/>
  <sheetViews>
    <sheetView topLeftCell="A181" workbookViewId="0">
      <selection activeCell="M5" sqref="M5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2.125" style="18" bestFit="1" customWidth="1"/>
    <col min="4" max="5" width="13" style="18" bestFit="1" customWidth="1"/>
    <col min="6" max="6" width="12.125" style="18" bestFit="1" customWidth="1"/>
    <col min="7" max="8" width="13" style="18" bestFit="1" customWidth="1"/>
    <col min="9" max="9" width="13.125" style="18" bestFit="1" customWidth="1"/>
    <col min="10" max="10" width="12.125" style="18" customWidth="1"/>
    <col min="11" max="11" width="10" style="18" customWidth="1"/>
    <col min="12" max="12" width="11.375" style="18" customWidth="1"/>
    <col min="13" max="13" width="10.75" style="18" customWidth="1"/>
    <col min="14" max="14" width="12.5" style="18" customWidth="1"/>
    <col min="15" max="15" width="12.875" style="18" customWidth="1"/>
    <col min="16" max="16" width="10" style="18" customWidth="1"/>
    <col min="17" max="17" width="2.5" style="18" customWidth="1"/>
    <col min="18" max="16384" width="10.75" style="18"/>
  </cols>
  <sheetData>
    <row r="1" spans="1:17" s="54" customFormat="1" ht="20.25" customHeight="1" x14ac:dyDescent="0.25">
      <c r="A1" s="65" t="s">
        <v>167</v>
      </c>
      <c r="B1" s="53"/>
      <c r="C1" s="92"/>
      <c r="D1" s="92"/>
      <c r="E1" s="92"/>
      <c r="F1" s="92"/>
      <c r="G1" s="92"/>
      <c r="H1" s="92"/>
      <c r="I1" s="92"/>
      <c r="J1" s="92"/>
      <c r="K1" s="77"/>
      <c r="M1" s="77"/>
      <c r="Q1" s="18"/>
    </row>
    <row r="3" spans="1:17" ht="60" customHeight="1" x14ac:dyDescent="0.25">
      <c r="A3" s="424" t="s">
        <v>50</v>
      </c>
      <c r="B3" s="424" t="s">
        <v>119</v>
      </c>
      <c r="C3" s="424" t="s">
        <v>471</v>
      </c>
      <c r="D3" s="424" t="s">
        <v>363</v>
      </c>
      <c r="E3" s="424" t="s">
        <v>364</v>
      </c>
      <c r="F3" s="438" t="s">
        <v>365</v>
      </c>
      <c r="G3" s="424" t="s">
        <v>336</v>
      </c>
      <c r="H3" s="446" t="s">
        <v>48</v>
      </c>
      <c r="I3" s="83" t="s">
        <v>337</v>
      </c>
      <c r="J3" s="83" t="s">
        <v>242</v>
      </c>
      <c r="K3" s="436" t="s">
        <v>243</v>
      </c>
      <c r="L3" s="424" t="s">
        <v>49</v>
      </c>
      <c r="M3" s="83" t="s">
        <v>244</v>
      </c>
      <c r="N3" s="83" t="s">
        <v>242</v>
      </c>
      <c r="O3" s="169" t="s">
        <v>402</v>
      </c>
      <c r="P3" s="83" t="s">
        <v>603</v>
      </c>
    </row>
    <row r="4" spans="1:17" x14ac:dyDescent="0.25">
      <c r="A4" s="426"/>
      <c r="B4" s="426"/>
      <c r="C4" s="426"/>
      <c r="D4" s="426"/>
      <c r="E4" s="426"/>
      <c r="F4" s="448"/>
      <c r="G4" s="426"/>
      <c r="H4" s="447"/>
      <c r="I4" s="84">
        <f>Paramètres!B41</f>
        <v>8</v>
      </c>
      <c r="J4" s="171">
        <f>+Paramètres!C41</f>
        <v>0.71809340232287211</v>
      </c>
      <c r="K4" s="445"/>
      <c r="L4" s="425"/>
      <c r="M4" s="84">
        <f>Paramètres!B42</f>
        <v>1</v>
      </c>
      <c r="N4" s="321">
        <f>+Paramètres!C42</f>
        <v>0.71809340232287211</v>
      </c>
      <c r="O4" s="170" t="s">
        <v>507</v>
      </c>
      <c r="P4" s="136" t="s">
        <v>508</v>
      </c>
    </row>
    <row r="5" spans="1:17" x14ac:dyDescent="0.25">
      <c r="A5" s="137">
        <f>'A) Base RI'!A7</f>
        <v>5401</v>
      </c>
      <c r="B5" s="58" t="str">
        <f>'A) Base RI'!B7</f>
        <v>Aigle</v>
      </c>
      <c r="C5" s="41">
        <f>'D) Ecrêtage'!M5</f>
        <v>260845.44622222218</v>
      </c>
      <c r="D5" s="116">
        <v>3929507</v>
      </c>
      <c r="E5" s="69">
        <v>1108022</v>
      </c>
      <c r="F5" s="93">
        <v>17733</v>
      </c>
      <c r="G5" s="93">
        <f>D5+E5+F5</f>
        <v>5055262</v>
      </c>
      <c r="H5" s="69">
        <f>C5*I$4</f>
        <v>2086763.5697777774</v>
      </c>
      <c r="I5" s="41">
        <f>IF(G5&gt;H5,G5-H5,0)</f>
        <v>2968498.4302222226</v>
      </c>
      <c r="J5" s="4">
        <f>-I5*J$4</f>
        <v>-2131659.137548381</v>
      </c>
      <c r="K5" s="94">
        <v>301349</v>
      </c>
      <c r="L5" s="69">
        <f>C5*M$4</f>
        <v>260845.44622222218</v>
      </c>
      <c r="M5" s="94">
        <f>IF(K5&gt;L5,K5-L5,0)</f>
        <v>40503.553777777823</v>
      </c>
      <c r="N5" s="172">
        <f>-M5*N$4</f>
        <v>-29085.334738451897</v>
      </c>
      <c r="O5" s="173">
        <f>N5+J5</f>
        <v>-2160744.472286833</v>
      </c>
      <c r="P5" s="347">
        <f>O5/'D) Ecrêtage'!C5</f>
        <v>-8.2836196820013832</v>
      </c>
      <c r="Q5" s="164"/>
    </row>
    <row r="6" spans="1:17" x14ac:dyDescent="0.25">
      <c r="A6" s="165">
        <f>'A) Base RI'!A8</f>
        <v>5402</v>
      </c>
      <c r="B6" s="42" t="str">
        <f>'A) Base RI'!B8</f>
        <v>Bex</v>
      </c>
      <c r="C6" s="41">
        <f>'D) Ecrêtage'!M6</f>
        <v>175890.90239436619</v>
      </c>
      <c r="D6" s="41">
        <v>3078359</v>
      </c>
      <c r="E6" s="14">
        <v>560941</v>
      </c>
      <c r="F6" s="52">
        <v>275909</v>
      </c>
      <c r="G6" s="52">
        <f t="shared" ref="G6:G60" si="0">D6+E6+F6</f>
        <v>3915209</v>
      </c>
      <c r="H6" s="14">
        <f t="shared" ref="H6:H69" si="1">C6*I$4</f>
        <v>1407127.2191549295</v>
      </c>
      <c r="I6" s="41">
        <f t="shared" ref="I6:I60" si="2">IF(G6&gt;H6,G6-H6,0)</f>
        <v>2508081.7808450703</v>
      </c>
      <c r="J6" s="4">
        <f t="shared" ref="J6:J69" si="3">-I6*J$4</f>
        <v>-1801036.9793110446</v>
      </c>
      <c r="K6" s="19">
        <v>220626</v>
      </c>
      <c r="L6" s="14">
        <f t="shared" ref="L6:L69" si="4">C6*M$4</f>
        <v>175890.90239436619</v>
      </c>
      <c r="M6" s="19">
        <f t="shared" ref="M6:M60" si="5">IF(K6&gt;L6,K6-L6,0)</f>
        <v>44735.097605633811</v>
      </c>
      <c r="N6" s="4">
        <f t="shared" ref="N6:N69" si="6">-M6*N$4</f>
        <v>-32123.978442875352</v>
      </c>
      <c r="O6" s="174">
        <f t="shared" ref="O6:O60" si="7">N6+J6</f>
        <v>-1833160.95775392</v>
      </c>
      <c r="P6" s="347">
        <f>O6/'D) Ecrêtage'!C6</f>
        <v>-10.422147665396459</v>
      </c>
      <c r="Q6" s="164"/>
    </row>
    <row r="7" spans="1:17" x14ac:dyDescent="0.25">
      <c r="A7" s="165">
        <f>'A) Base RI'!A9</f>
        <v>5403</v>
      </c>
      <c r="B7" s="42" t="str">
        <f>'A) Base RI'!B9</f>
        <v>Chessel</v>
      </c>
      <c r="C7" s="41">
        <f>'D) Ecrêtage'!M7</f>
        <v>8284.5784210526326</v>
      </c>
      <c r="D7" s="41">
        <v>104915</v>
      </c>
      <c r="E7" s="14">
        <v>13476</v>
      </c>
      <c r="F7" s="52"/>
      <c r="G7" s="52">
        <f t="shared" si="0"/>
        <v>118391</v>
      </c>
      <c r="H7" s="14">
        <f t="shared" si="1"/>
        <v>66276.627368421061</v>
      </c>
      <c r="I7" s="41">
        <f t="shared" si="2"/>
        <v>52114.372631578939</v>
      </c>
      <c r="J7" s="4">
        <f t="shared" si="3"/>
        <v>-37422.987152932488</v>
      </c>
      <c r="K7" s="19">
        <v>17098</v>
      </c>
      <c r="L7" s="14">
        <f t="shared" si="4"/>
        <v>8284.5784210526326</v>
      </c>
      <c r="M7" s="19">
        <f t="shared" si="5"/>
        <v>8813.4215789473674</v>
      </c>
      <c r="N7" s="4">
        <f t="shared" si="6"/>
        <v>-6328.8598877321347</v>
      </c>
      <c r="O7" s="174">
        <f t="shared" si="7"/>
        <v>-43751.847040664623</v>
      </c>
      <c r="P7" s="347">
        <f>O7/'D) Ecrêtage'!C7</f>
        <v>-5.2811193059001242</v>
      </c>
      <c r="Q7" s="167"/>
    </row>
    <row r="8" spans="1:17" x14ac:dyDescent="0.25">
      <c r="A8" s="165">
        <f>'A) Base RI'!A10</f>
        <v>5404</v>
      </c>
      <c r="B8" s="42" t="str">
        <f>'A) Base RI'!B10</f>
        <v>Corbeyrier</v>
      </c>
      <c r="C8" s="41">
        <f>'D) Ecrêtage'!M8</f>
        <v>9966.1885714285709</v>
      </c>
      <c r="D8" s="41">
        <v>295489</v>
      </c>
      <c r="E8" s="14">
        <v>15673</v>
      </c>
      <c r="F8" s="52">
        <v>28213</v>
      </c>
      <c r="G8" s="52">
        <f t="shared" si="0"/>
        <v>339375</v>
      </c>
      <c r="H8" s="14">
        <f t="shared" si="1"/>
        <v>79729.508571428567</v>
      </c>
      <c r="I8" s="41">
        <f t="shared" si="2"/>
        <v>259645.49142857143</v>
      </c>
      <c r="J8" s="4">
        <f t="shared" si="3"/>
        <v>-186449.71433773698</v>
      </c>
      <c r="K8" s="19">
        <v>44616</v>
      </c>
      <c r="L8" s="14">
        <f t="shared" si="4"/>
        <v>9966.1885714285709</v>
      </c>
      <c r="M8" s="19">
        <f t="shared" si="5"/>
        <v>34649.811428571425</v>
      </c>
      <c r="N8" s="4">
        <f t="shared" si="6"/>
        <v>-24881.800978588792</v>
      </c>
      <c r="O8" s="174">
        <f t="shared" si="7"/>
        <v>-211331.51531632576</v>
      </c>
      <c r="P8" s="347">
        <f>O8/'D) Ecrêtage'!C8</f>
        <v>-21.204848152500201</v>
      </c>
      <c r="Q8" s="167"/>
    </row>
    <row r="9" spans="1:17" x14ac:dyDescent="0.25">
      <c r="A9" s="165">
        <f>'A) Base RI'!A11</f>
        <v>5405</v>
      </c>
      <c r="B9" s="42" t="str">
        <f>'A) Base RI'!B11</f>
        <v>Gryon</v>
      </c>
      <c r="C9" s="41">
        <f>'D) Ecrêtage'!M9</f>
        <v>71437.220657546874</v>
      </c>
      <c r="D9" s="41">
        <v>1124407</v>
      </c>
      <c r="E9" s="14">
        <v>128049</v>
      </c>
      <c r="F9" s="52">
        <v>38351</v>
      </c>
      <c r="G9" s="52">
        <f t="shared" si="0"/>
        <v>1290807</v>
      </c>
      <c r="H9" s="14">
        <f t="shared" si="1"/>
        <v>571497.76526037499</v>
      </c>
      <c r="I9" s="41">
        <f t="shared" si="2"/>
        <v>719309.23473962501</v>
      </c>
      <c r="J9" s="4">
        <f t="shared" si="3"/>
        <v>-516531.2156964388</v>
      </c>
      <c r="K9" s="19">
        <v>-15722</v>
      </c>
      <c r="L9" s="14">
        <f t="shared" si="4"/>
        <v>71437.220657546874</v>
      </c>
      <c r="M9" s="19">
        <f t="shared" si="5"/>
        <v>0</v>
      </c>
      <c r="N9" s="4">
        <f t="shared" si="6"/>
        <v>0</v>
      </c>
      <c r="O9" s="174">
        <f t="shared" si="7"/>
        <v>-516531.2156964388</v>
      </c>
      <c r="P9" s="347">
        <f>O9/'D) Ecrêtage'!C9</f>
        <v>-7.1552481700198465</v>
      </c>
      <c r="Q9" s="167"/>
    </row>
    <row r="10" spans="1:17" x14ac:dyDescent="0.25">
      <c r="A10" s="165">
        <f>'A) Base RI'!A12</f>
        <v>5406</v>
      </c>
      <c r="B10" s="42" t="str">
        <f>'A) Base RI'!B12</f>
        <v>Lavey-Morcles</v>
      </c>
      <c r="C10" s="41">
        <f>'D) Ecrêtage'!M10</f>
        <v>19831.448851570964</v>
      </c>
      <c r="D10" s="41">
        <v>209713</v>
      </c>
      <c r="E10" s="14">
        <v>32947</v>
      </c>
      <c r="F10" s="52">
        <v>31752</v>
      </c>
      <c r="G10" s="52">
        <f t="shared" si="0"/>
        <v>274412</v>
      </c>
      <c r="H10" s="14">
        <f t="shared" si="1"/>
        <v>158651.59081256771</v>
      </c>
      <c r="I10" s="41">
        <f t="shared" si="2"/>
        <v>115760.40918743229</v>
      </c>
      <c r="J10" s="4">
        <f t="shared" si="3"/>
        <v>-83126.786087691115</v>
      </c>
      <c r="K10" s="19">
        <v>9911</v>
      </c>
      <c r="L10" s="14">
        <f t="shared" si="4"/>
        <v>19831.448851570964</v>
      </c>
      <c r="M10" s="19">
        <f t="shared" si="5"/>
        <v>0</v>
      </c>
      <c r="N10" s="4">
        <f t="shared" si="6"/>
        <v>0</v>
      </c>
      <c r="O10" s="174">
        <f t="shared" si="7"/>
        <v>-83126.786087691115</v>
      </c>
      <c r="P10" s="347">
        <f>O10/'D) Ecrêtage'!C10</f>
        <v>-4.1916648001795469</v>
      </c>
      <c r="Q10" s="167"/>
    </row>
    <row r="11" spans="1:17" x14ac:dyDescent="0.25">
      <c r="A11" s="165">
        <f>'A) Base RI'!A13</f>
        <v>5407</v>
      </c>
      <c r="B11" s="42" t="str">
        <f>'A) Base RI'!B13</f>
        <v>Leysin</v>
      </c>
      <c r="C11" s="41">
        <f>'D) Ecrêtage'!M11</f>
        <v>102799.09089743589</v>
      </c>
      <c r="D11" s="41">
        <v>1746406</v>
      </c>
      <c r="E11" s="14">
        <v>693653</v>
      </c>
      <c r="F11" s="52">
        <v>242851</v>
      </c>
      <c r="G11" s="52">
        <f t="shared" si="0"/>
        <v>2682910</v>
      </c>
      <c r="H11" s="14">
        <f t="shared" si="1"/>
        <v>822392.72717948712</v>
      </c>
      <c r="I11" s="41">
        <f t="shared" si="2"/>
        <v>1860517.2728205128</v>
      </c>
      <c r="J11" s="4">
        <f t="shared" si="3"/>
        <v>-1336025.1785201533</v>
      </c>
      <c r="K11" s="19">
        <v>118632</v>
      </c>
      <c r="L11" s="14">
        <f t="shared" si="4"/>
        <v>102799.09089743589</v>
      </c>
      <c r="M11" s="19">
        <f t="shared" si="5"/>
        <v>15832.90910256411</v>
      </c>
      <c r="N11" s="4">
        <f t="shared" si="6"/>
        <v>-11369.507566129034</v>
      </c>
      <c r="O11" s="174">
        <f t="shared" si="7"/>
        <v>-1347394.6860862824</v>
      </c>
      <c r="P11" s="347">
        <f>O11/'D) Ecrêtage'!C11</f>
        <v>-13.107068110462155</v>
      </c>
      <c r="Q11" s="167"/>
    </row>
    <row r="12" spans="1:17" x14ac:dyDescent="0.25">
      <c r="A12" s="165">
        <f>'A) Base RI'!A14</f>
        <v>5408</v>
      </c>
      <c r="B12" s="42" t="str">
        <f>'A) Base RI'!B14</f>
        <v>Noville</v>
      </c>
      <c r="C12" s="41">
        <f>'D) Ecrêtage'!M12</f>
        <v>34745.229256900217</v>
      </c>
      <c r="D12" s="41">
        <v>324648</v>
      </c>
      <c r="E12" s="14">
        <v>36148</v>
      </c>
      <c r="F12" s="52">
        <v>35083</v>
      </c>
      <c r="G12" s="52">
        <f t="shared" si="0"/>
        <v>395879</v>
      </c>
      <c r="H12" s="14">
        <f t="shared" si="1"/>
        <v>277961.83405520173</v>
      </c>
      <c r="I12" s="41">
        <f t="shared" si="2"/>
        <v>117917.16594479827</v>
      </c>
      <c r="J12" s="4">
        <f t="shared" si="3"/>
        <v>-84675.538885570902</v>
      </c>
      <c r="K12" s="19">
        <v>44530</v>
      </c>
      <c r="L12" s="14">
        <f t="shared" si="4"/>
        <v>34745.229256900217</v>
      </c>
      <c r="M12" s="19">
        <f t="shared" si="5"/>
        <v>9784.7707430997834</v>
      </c>
      <c r="N12" s="4">
        <f t="shared" si="6"/>
        <v>-7026.3793138618212</v>
      </c>
      <c r="O12" s="174">
        <f t="shared" si="7"/>
        <v>-91701.918199432723</v>
      </c>
      <c r="P12" s="347">
        <f>O12/'D) Ecrêtage'!C12</f>
        <v>-2.6392664593289799</v>
      </c>
      <c r="Q12" s="167"/>
    </row>
    <row r="13" spans="1:17" x14ac:dyDescent="0.25">
      <c r="A13" s="165">
        <f>'A) Base RI'!A15</f>
        <v>5409</v>
      </c>
      <c r="B13" s="42" t="str">
        <f>'A) Base RI'!B15</f>
        <v>Ollon</v>
      </c>
      <c r="C13" s="41">
        <f>'D) Ecrêtage'!M13</f>
        <v>466449.88785891997</v>
      </c>
      <c r="D13" s="41">
        <v>3939131</v>
      </c>
      <c r="E13" s="14">
        <v>665733</v>
      </c>
      <c r="F13" s="52">
        <v>703098</v>
      </c>
      <c r="G13" s="52">
        <f t="shared" si="0"/>
        <v>5307962</v>
      </c>
      <c r="H13" s="14">
        <f t="shared" si="1"/>
        <v>3731599.1028713598</v>
      </c>
      <c r="I13" s="41">
        <f t="shared" si="2"/>
        <v>1576362.8971286402</v>
      </c>
      <c r="J13" s="4">
        <f t="shared" si="3"/>
        <v>-1131975.7960946448</v>
      </c>
      <c r="K13" s="19">
        <v>456609</v>
      </c>
      <c r="L13" s="14">
        <f t="shared" si="4"/>
        <v>466449.88785891997</v>
      </c>
      <c r="M13" s="19">
        <f t="shared" si="5"/>
        <v>0</v>
      </c>
      <c r="N13" s="4">
        <f t="shared" si="6"/>
        <v>0</v>
      </c>
      <c r="O13" s="174">
        <f t="shared" si="7"/>
        <v>-1131975.7960946448</v>
      </c>
      <c r="P13" s="347">
        <f>O13/'D) Ecrêtage'!C13</f>
        <v>-2.3322150368427259</v>
      </c>
      <c r="Q13" s="167"/>
    </row>
    <row r="14" spans="1:17" x14ac:dyDescent="0.25">
      <c r="A14" s="165">
        <f>'A) Base RI'!A16</f>
        <v>5410</v>
      </c>
      <c r="B14" s="42" t="str">
        <f>'A) Base RI'!B16</f>
        <v>Ormont-Dessous</v>
      </c>
      <c r="C14" s="41">
        <f>'D) Ecrêtage'!M14</f>
        <v>35234.198174097655</v>
      </c>
      <c r="D14" s="41">
        <v>1205806</v>
      </c>
      <c r="E14" s="14">
        <v>79816</v>
      </c>
      <c r="F14" s="52">
        <v>71679</v>
      </c>
      <c r="G14" s="52">
        <f t="shared" si="0"/>
        <v>1357301</v>
      </c>
      <c r="H14" s="14">
        <f t="shared" si="1"/>
        <v>281873.58539278124</v>
      </c>
      <c r="I14" s="41">
        <f t="shared" si="2"/>
        <v>1075427.4146072187</v>
      </c>
      <c r="J14" s="4">
        <f t="shared" si="3"/>
        <v>-772257.33110658766</v>
      </c>
      <c r="K14" s="19">
        <v>64432</v>
      </c>
      <c r="L14" s="14">
        <f t="shared" si="4"/>
        <v>35234.198174097655</v>
      </c>
      <c r="M14" s="19">
        <f t="shared" si="5"/>
        <v>29197.801825902345</v>
      </c>
      <c r="N14" s="4">
        <f t="shared" si="6"/>
        <v>-20966.748853511181</v>
      </c>
      <c r="O14" s="174">
        <f t="shared" si="7"/>
        <v>-793224.07996009884</v>
      </c>
      <c r="P14" s="347">
        <f>O14/'D) Ecrêtage'!C14</f>
        <v>-22.512902834929157</v>
      </c>
      <c r="Q14" s="167"/>
    </row>
    <row r="15" spans="1:17" x14ac:dyDescent="0.25">
      <c r="A15" s="165">
        <f>'A) Base RI'!A17</f>
        <v>5411</v>
      </c>
      <c r="B15" s="42" t="str">
        <f>'A) Base RI'!B17</f>
        <v>Ormont-Dessus</v>
      </c>
      <c r="C15" s="41">
        <f>'D) Ecrêtage'!M15</f>
        <v>71790.213859649128</v>
      </c>
      <c r="D15" s="41">
        <v>1404396</v>
      </c>
      <c r="E15" s="14">
        <v>177909</v>
      </c>
      <c r="F15" s="52">
        <v>79643</v>
      </c>
      <c r="G15" s="52">
        <f t="shared" si="0"/>
        <v>1661948</v>
      </c>
      <c r="H15" s="14">
        <f t="shared" si="1"/>
        <v>574321.71087719302</v>
      </c>
      <c r="I15" s="41">
        <f t="shared" si="2"/>
        <v>1087626.2891228069</v>
      </c>
      <c r="J15" s="4">
        <f t="shared" si="3"/>
        <v>-781017.26241199614</v>
      </c>
      <c r="K15" s="19">
        <v>123050</v>
      </c>
      <c r="L15" s="14">
        <f t="shared" si="4"/>
        <v>71790.213859649128</v>
      </c>
      <c r="M15" s="19">
        <f t="shared" si="5"/>
        <v>51259.786140350872</v>
      </c>
      <c r="N15" s="4">
        <f t="shared" si="6"/>
        <v>-36809.314231867364</v>
      </c>
      <c r="O15" s="174">
        <f t="shared" si="7"/>
        <v>-817826.57664386346</v>
      </c>
      <c r="P15" s="347">
        <f>O15/'D) Ecrêtage'!C15</f>
        <v>-11.391894976698715</v>
      </c>
      <c r="Q15" s="167"/>
    </row>
    <row r="16" spans="1:17" x14ac:dyDescent="0.25">
      <c r="A16" s="165">
        <f>'A) Base RI'!A18</f>
        <v>5412</v>
      </c>
      <c r="B16" s="42" t="str">
        <f>'A) Base RI'!B18</f>
        <v>Rennaz</v>
      </c>
      <c r="C16" s="41">
        <f>'D) Ecrêtage'!M16</f>
        <v>26501.739703703701</v>
      </c>
      <c r="D16" s="41">
        <v>138724</v>
      </c>
      <c r="E16" s="14">
        <v>29857</v>
      </c>
      <c r="F16" s="52">
        <v>30137</v>
      </c>
      <c r="G16" s="52">
        <f t="shared" si="0"/>
        <v>198718</v>
      </c>
      <c r="H16" s="14">
        <f t="shared" si="1"/>
        <v>212013.91762962961</v>
      </c>
      <c r="I16" s="41">
        <f t="shared" si="2"/>
        <v>0</v>
      </c>
      <c r="J16" s="4">
        <f t="shared" si="3"/>
        <v>0</v>
      </c>
      <c r="K16" s="19">
        <v>23134</v>
      </c>
      <c r="L16" s="14">
        <f t="shared" si="4"/>
        <v>26501.739703703701</v>
      </c>
      <c r="M16" s="19">
        <f t="shared" si="5"/>
        <v>0</v>
      </c>
      <c r="N16" s="4">
        <f t="shared" si="6"/>
        <v>0</v>
      </c>
      <c r="O16" s="174">
        <f t="shared" si="7"/>
        <v>0</v>
      </c>
      <c r="P16" s="347">
        <f>O16/'D) Ecrêtage'!C16</f>
        <v>0</v>
      </c>
      <c r="Q16" s="167"/>
    </row>
    <row r="17" spans="1:17" x14ac:dyDescent="0.25">
      <c r="A17" s="165">
        <f>'A) Base RI'!A19</f>
        <v>5413</v>
      </c>
      <c r="B17" s="42" t="str">
        <f>'A) Base RI'!B19</f>
        <v>Roche</v>
      </c>
      <c r="C17" s="41">
        <f>'D) Ecrêtage'!M17</f>
        <v>34861.221617647054</v>
      </c>
      <c r="D17" s="41">
        <v>144385</v>
      </c>
      <c r="E17" s="14">
        <v>87495</v>
      </c>
      <c r="F17" s="52">
        <v>76028</v>
      </c>
      <c r="G17" s="52">
        <f t="shared" si="0"/>
        <v>307908</v>
      </c>
      <c r="H17" s="14">
        <f t="shared" si="1"/>
        <v>278889.77294117643</v>
      </c>
      <c r="I17" s="41">
        <f t="shared" si="2"/>
        <v>29018.22705882357</v>
      </c>
      <c r="J17" s="4">
        <f t="shared" si="3"/>
        <v>-20837.797398048246</v>
      </c>
      <c r="K17" s="19">
        <v>16852</v>
      </c>
      <c r="L17" s="14">
        <f t="shared" si="4"/>
        <v>34861.221617647054</v>
      </c>
      <c r="M17" s="19">
        <f t="shared" si="5"/>
        <v>0</v>
      </c>
      <c r="N17" s="4">
        <f t="shared" si="6"/>
        <v>0</v>
      </c>
      <c r="O17" s="174">
        <f t="shared" si="7"/>
        <v>-20837.797398048246</v>
      </c>
      <c r="P17" s="347">
        <f>O17/'D) Ecrêtage'!C17</f>
        <v>-0.59773571983776874</v>
      </c>
      <c r="Q17" s="167"/>
    </row>
    <row r="18" spans="1:17" x14ac:dyDescent="0.25">
      <c r="A18" s="165">
        <f>'A) Base RI'!A20</f>
        <v>5414</v>
      </c>
      <c r="B18" s="42" t="str">
        <f>'A) Base RI'!B20</f>
        <v>Villeneuve</v>
      </c>
      <c r="C18" s="41">
        <f>'D) Ecrêtage'!M18</f>
        <v>168009.32057971013</v>
      </c>
      <c r="D18" s="41">
        <v>1706480</v>
      </c>
      <c r="E18" s="14">
        <v>859176</v>
      </c>
      <c r="F18" s="52">
        <v>109747</v>
      </c>
      <c r="G18" s="52">
        <f t="shared" si="0"/>
        <v>2675403</v>
      </c>
      <c r="H18" s="14">
        <f t="shared" si="1"/>
        <v>1344074.564637681</v>
      </c>
      <c r="I18" s="41">
        <f t="shared" si="2"/>
        <v>1331328.435362319</v>
      </c>
      <c r="J18" s="4">
        <f t="shared" si="3"/>
        <v>-956018.16575851361</v>
      </c>
      <c r="K18" s="19">
        <v>296924</v>
      </c>
      <c r="L18" s="14">
        <f t="shared" si="4"/>
        <v>168009.32057971013</v>
      </c>
      <c r="M18" s="19">
        <f t="shared" si="5"/>
        <v>128914.67942028987</v>
      </c>
      <c r="N18" s="4">
        <f t="shared" si="6"/>
        <v>-92572.780754278298</v>
      </c>
      <c r="O18" s="174">
        <f t="shared" si="7"/>
        <v>-1048590.9465127918</v>
      </c>
      <c r="P18" s="347">
        <f>O18/'D) Ecrêtage'!C18</f>
        <v>-6.2412665136354724</v>
      </c>
      <c r="Q18" s="167"/>
    </row>
    <row r="19" spans="1:17" x14ac:dyDescent="0.25">
      <c r="A19" s="165">
        <f>'A) Base RI'!A21</f>
        <v>5415</v>
      </c>
      <c r="B19" s="42" t="str">
        <f>'A) Base RI'!B21</f>
        <v>Yvorne</v>
      </c>
      <c r="C19" s="41">
        <f>'D) Ecrêtage'!M19</f>
        <v>43055.973722627736</v>
      </c>
      <c r="D19" s="41">
        <v>207683</v>
      </c>
      <c r="E19" s="14">
        <v>38680</v>
      </c>
      <c r="F19" s="52">
        <v>165110</v>
      </c>
      <c r="G19" s="52">
        <f t="shared" si="0"/>
        <v>411473</v>
      </c>
      <c r="H19" s="14">
        <f t="shared" si="1"/>
        <v>344447.78978102189</v>
      </c>
      <c r="I19" s="41">
        <f t="shared" si="2"/>
        <v>67025.210218978114</v>
      </c>
      <c r="J19" s="4">
        <f t="shared" si="3"/>
        <v>-48130.361247551729</v>
      </c>
      <c r="K19" s="19">
        <v>229030</v>
      </c>
      <c r="L19" s="14">
        <f t="shared" si="4"/>
        <v>43055.973722627736</v>
      </c>
      <c r="M19" s="19">
        <f t="shared" si="5"/>
        <v>185974.02627737226</v>
      </c>
      <c r="N19" s="4">
        <f t="shared" si="6"/>
        <v>-133546.72127320146</v>
      </c>
      <c r="O19" s="174">
        <f t="shared" si="7"/>
        <v>-181677.0825207532</v>
      </c>
      <c r="P19" s="347">
        <f>O19/'D) Ecrêtage'!C19</f>
        <v>-4.2195557738663849</v>
      </c>
      <c r="Q19" s="167"/>
    </row>
    <row r="20" spans="1:17" x14ac:dyDescent="0.25">
      <c r="A20" s="165">
        <f>'A) Base RI'!A22</f>
        <v>5421</v>
      </c>
      <c r="B20" s="42" t="str">
        <f>'A) Base RI'!B22</f>
        <v>Apples</v>
      </c>
      <c r="C20" s="41">
        <f>'D) Ecrêtage'!M20</f>
        <v>57391.691408450701</v>
      </c>
      <c r="D20" s="41">
        <v>404310</v>
      </c>
      <c r="E20" s="14">
        <v>104038</v>
      </c>
      <c r="F20" s="52">
        <v>177567</v>
      </c>
      <c r="G20" s="52">
        <f t="shared" si="0"/>
        <v>685915</v>
      </c>
      <c r="H20" s="14">
        <f t="shared" si="1"/>
        <v>459133.53126760561</v>
      </c>
      <c r="I20" s="41">
        <f t="shared" si="2"/>
        <v>226781.46873239439</v>
      </c>
      <c r="J20" s="4">
        <f t="shared" si="3"/>
        <v>-162850.27646582312</v>
      </c>
      <c r="K20" s="19">
        <v>87321</v>
      </c>
      <c r="L20" s="14">
        <f t="shared" si="4"/>
        <v>57391.691408450701</v>
      </c>
      <c r="M20" s="19">
        <f t="shared" si="5"/>
        <v>29929.308591549299</v>
      </c>
      <c r="N20" s="4">
        <f t="shared" si="6"/>
        <v>-21492.039035676804</v>
      </c>
      <c r="O20" s="174">
        <f t="shared" si="7"/>
        <v>-184342.31550149992</v>
      </c>
      <c r="P20" s="347">
        <f>O20/'D) Ecrêtage'!C20</f>
        <v>-3.2120035318275399</v>
      </c>
      <c r="Q20" s="167"/>
    </row>
    <row r="21" spans="1:17" x14ac:dyDescent="0.25">
      <c r="A21" s="165">
        <f>'A) Base RI'!A23</f>
        <v>5422</v>
      </c>
      <c r="B21" s="42" t="str">
        <f>'A) Base RI'!B23</f>
        <v>Aubonne</v>
      </c>
      <c r="C21" s="41">
        <f>'D) Ecrêtage'!M21</f>
        <v>217787.45958715957</v>
      </c>
      <c r="D21" s="41">
        <v>1295517</v>
      </c>
      <c r="E21" s="14">
        <v>108837</v>
      </c>
      <c r="F21" s="52">
        <v>354227</v>
      </c>
      <c r="G21" s="52">
        <f t="shared" si="0"/>
        <v>1758581</v>
      </c>
      <c r="H21" s="14">
        <f t="shared" si="1"/>
        <v>1742299.6766972765</v>
      </c>
      <c r="I21" s="41">
        <f t="shared" si="2"/>
        <v>16281.323302723467</v>
      </c>
      <c r="J21" s="4">
        <f t="shared" si="3"/>
        <v>-11691.510844771356</v>
      </c>
      <c r="K21" s="19">
        <v>81147</v>
      </c>
      <c r="L21" s="14">
        <f t="shared" si="4"/>
        <v>217787.45958715957</v>
      </c>
      <c r="M21" s="19">
        <f t="shared" si="5"/>
        <v>0</v>
      </c>
      <c r="N21" s="4">
        <f t="shared" si="6"/>
        <v>0</v>
      </c>
      <c r="O21" s="174">
        <f t="shared" si="7"/>
        <v>-11691.510844771356</v>
      </c>
      <c r="P21" s="347">
        <f>O21/'D) Ecrêtage'!C21</f>
        <v>-5.049218414359128E-2</v>
      </c>
      <c r="Q21" s="167"/>
    </row>
    <row r="22" spans="1:17" x14ac:dyDescent="0.25">
      <c r="A22" s="165">
        <f>'A) Base RI'!A24</f>
        <v>5423</v>
      </c>
      <c r="B22" s="42" t="str">
        <f>'A) Base RI'!B24</f>
        <v>Ballens</v>
      </c>
      <c r="C22" s="41">
        <f>'D) Ecrêtage'!M22</f>
        <v>18689.408115942024</v>
      </c>
      <c r="D22" s="41">
        <v>113482</v>
      </c>
      <c r="E22" s="14">
        <v>39334</v>
      </c>
      <c r="F22" s="52">
        <v>70064</v>
      </c>
      <c r="G22" s="52">
        <f t="shared" si="0"/>
        <v>222880</v>
      </c>
      <c r="H22" s="14">
        <f t="shared" si="1"/>
        <v>149515.26492753619</v>
      </c>
      <c r="I22" s="41">
        <f t="shared" si="2"/>
        <v>73364.735072463809</v>
      </c>
      <c r="J22" s="4">
        <f t="shared" si="3"/>
        <v>-52682.732218701683</v>
      </c>
      <c r="K22" s="19">
        <v>34043</v>
      </c>
      <c r="L22" s="14">
        <f t="shared" si="4"/>
        <v>18689.408115942024</v>
      </c>
      <c r="M22" s="19">
        <f t="shared" si="5"/>
        <v>15353.591884057976</v>
      </c>
      <c r="N22" s="4">
        <f t="shared" si="6"/>
        <v>-11025.313033900029</v>
      </c>
      <c r="O22" s="174">
        <f t="shared" si="7"/>
        <v>-63708.045252601711</v>
      </c>
      <c r="P22" s="347">
        <f>O22/'D) Ecrêtage'!C22</f>
        <v>-3.4087781088294009</v>
      </c>
      <c r="Q22" s="167"/>
    </row>
    <row r="23" spans="1:17" x14ac:dyDescent="0.25">
      <c r="A23" s="165">
        <f>'A) Base RI'!A25</f>
        <v>5424</v>
      </c>
      <c r="B23" s="42" t="str">
        <f>'A) Base RI'!B25</f>
        <v>Berolle</v>
      </c>
      <c r="C23" s="41">
        <f>'D) Ecrêtage'!M23</f>
        <v>9360.1262337662338</v>
      </c>
      <c r="D23" s="41">
        <v>75730</v>
      </c>
      <c r="E23" s="14">
        <v>9496</v>
      </c>
      <c r="F23" s="52">
        <v>44160</v>
      </c>
      <c r="G23" s="52">
        <f t="shared" si="0"/>
        <v>129386</v>
      </c>
      <c r="H23" s="14">
        <f t="shared" si="1"/>
        <v>74881.00987012987</v>
      </c>
      <c r="I23" s="41">
        <f t="shared" si="2"/>
        <v>54504.99012987013</v>
      </c>
      <c r="J23" s="4">
        <f t="shared" si="3"/>
        <v>-39139.673805933002</v>
      </c>
      <c r="K23" s="19">
        <v>15477</v>
      </c>
      <c r="L23" s="14">
        <f t="shared" si="4"/>
        <v>9360.1262337662338</v>
      </c>
      <c r="M23" s="19">
        <f t="shared" si="5"/>
        <v>6116.8737662337662</v>
      </c>
      <c r="N23" s="4">
        <f t="shared" si="6"/>
        <v>-4392.4866943743255</v>
      </c>
      <c r="O23" s="174">
        <f t="shared" si="7"/>
        <v>-43532.160500307327</v>
      </c>
      <c r="P23" s="347">
        <f>O23/'D) Ecrêtage'!C23</f>
        <v>-4.6508091251234429</v>
      </c>
      <c r="Q23" s="167"/>
    </row>
    <row r="24" spans="1:17" x14ac:dyDescent="0.25">
      <c r="A24" s="165">
        <f>'A) Base RI'!A26</f>
        <v>5425</v>
      </c>
      <c r="B24" s="42" t="str">
        <f>'A) Base RI'!B26</f>
        <v>Bière</v>
      </c>
      <c r="C24" s="41">
        <f>'D) Ecrêtage'!M24</f>
        <v>40787.403970588231</v>
      </c>
      <c r="D24" s="41">
        <v>573304</v>
      </c>
      <c r="E24" s="14">
        <v>106818</v>
      </c>
      <c r="F24" s="52">
        <v>197710</v>
      </c>
      <c r="G24" s="52">
        <f t="shared" si="0"/>
        <v>877832</v>
      </c>
      <c r="H24" s="14">
        <f t="shared" si="1"/>
        <v>326299.23176470585</v>
      </c>
      <c r="I24" s="41">
        <f t="shared" si="2"/>
        <v>551532.76823529415</v>
      </c>
      <c r="J24" s="4">
        <f t="shared" si="3"/>
        <v>-396052.04203463445</v>
      </c>
      <c r="K24" s="19">
        <v>55211</v>
      </c>
      <c r="L24" s="14">
        <f t="shared" si="4"/>
        <v>40787.403970588231</v>
      </c>
      <c r="M24" s="19">
        <f t="shared" si="5"/>
        <v>14423.596029411769</v>
      </c>
      <c r="N24" s="4">
        <f t="shared" si="6"/>
        <v>-10357.489146490965</v>
      </c>
      <c r="O24" s="174">
        <f t="shared" si="7"/>
        <v>-406409.53118112544</v>
      </c>
      <c r="P24" s="347">
        <f>O24/'D) Ecrêtage'!C24</f>
        <v>-9.9640940981237023</v>
      </c>
      <c r="Q24" s="167"/>
    </row>
    <row r="25" spans="1:17" x14ac:dyDescent="0.25">
      <c r="A25" s="165">
        <f>'A) Base RI'!A27</f>
        <v>5426</v>
      </c>
      <c r="B25" s="42" t="str">
        <f>'A) Base RI'!B27</f>
        <v>Bougy-Villars</v>
      </c>
      <c r="C25" s="41">
        <f>'D) Ecrêtage'!M25</f>
        <v>37789.643747698407</v>
      </c>
      <c r="D25" s="41">
        <v>112062</v>
      </c>
      <c r="E25" s="14">
        <v>38634</v>
      </c>
      <c r="F25" s="52">
        <v>42229</v>
      </c>
      <c r="G25" s="52">
        <f t="shared" si="0"/>
        <v>192925</v>
      </c>
      <c r="H25" s="14">
        <f t="shared" si="1"/>
        <v>302317.14998158725</v>
      </c>
      <c r="I25" s="41">
        <f t="shared" si="2"/>
        <v>0</v>
      </c>
      <c r="J25" s="4">
        <f t="shared" si="3"/>
        <v>0</v>
      </c>
      <c r="K25" s="19">
        <v>-1991</v>
      </c>
      <c r="L25" s="14">
        <f t="shared" si="4"/>
        <v>37789.643747698407</v>
      </c>
      <c r="M25" s="19">
        <f t="shared" si="5"/>
        <v>0</v>
      </c>
      <c r="N25" s="4">
        <f t="shared" si="6"/>
        <v>0</v>
      </c>
      <c r="O25" s="174">
        <f t="shared" si="7"/>
        <v>0</v>
      </c>
      <c r="P25" s="347">
        <f>O25/'D) Ecrêtage'!C25</f>
        <v>0</v>
      </c>
      <c r="Q25" s="167"/>
    </row>
    <row r="26" spans="1:17" x14ac:dyDescent="0.25">
      <c r="A26" s="165">
        <f>'A) Base RI'!A28</f>
        <v>5427</v>
      </c>
      <c r="B26" s="42" t="str">
        <f>'A) Base RI'!B28</f>
        <v>Féchy</v>
      </c>
      <c r="C26" s="41">
        <f>'D) Ecrêtage'!M26</f>
        <v>59897.218306141724</v>
      </c>
      <c r="D26" s="41">
        <v>134843</v>
      </c>
      <c r="E26" s="14">
        <v>23223</v>
      </c>
      <c r="F26" s="52">
        <v>90940</v>
      </c>
      <c r="G26" s="52">
        <f t="shared" si="0"/>
        <v>249006</v>
      </c>
      <c r="H26" s="14">
        <f t="shared" si="1"/>
        <v>479177.74644913379</v>
      </c>
      <c r="I26" s="41">
        <f t="shared" si="2"/>
        <v>0</v>
      </c>
      <c r="J26" s="4">
        <f t="shared" si="3"/>
        <v>0</v>
      </c>
      <c r="K26" s="19">
        <v>6201</v>
      </c>
      <c r="L26" s="14">
        <f t="shared" si="4"/>
        <v>59897.218306141724</v>
      </c>
      <c r="M26" s="19">
        <f t="shared" si="5"/>
        <v>0</v>
      </c>
      <c r="N26" s="4">
        <f t="shared" si="6"/>
        <v>0</v>
      </c>
      <c r="O26" s="174">
        <f t="shared" si="7"/>
        <v>0</v>
      </c>
      <c r="P26" s="347">
        <f>O26/'D) Ecrêtage'!C26</f>
        <v>0</v>
      </c>
      <c r="Q26" s="167"/>
    </row>
    <row r="27" spans="1:17" x14ac:dyDescent="0.25">
      <c r="A27" s="165">
        <f>'A) Base RI'!A29</f>
        <v>5428</v>
      </c>
      <c r="B27" s="42" t="str">
        <f>'A) Base RI'!B29</f>
        <v>Gimel</v>
      </c>
      <c r="C27" s="41">
        <f>'D) Ecrêtage'!M27</f>
        <v>57546.053752913758</v>
      </c>
      <c r="D27" s="41">
        <v>581246</v>
      </c>
      <c r="E27" s="14">
        <v>82979</v>
      </c>
      <c r="F27" s="52">
        <v>244191</v>
      </c>
      <c r="G27" s="52">
        <f t="shared" si="0"/>
        <v>908416</v>
      </c>
      <c r="H27" s="14">
        <f t="shared" si="1"/>
        <v>460368.43002331007</v>
      </c>
      <c r="I27" s="41">
        <f t="shared" si="2"/>
        <v>448047.56997668993</v>
      </c>
      <c r="J27" s="4">
        <f t="shared" si="3"/>
        <v>-321740.00392705639</v>
      </c>
      <c r="K27" s="19">
        <v>-44003</v>
      </c>
      <c r="L27" s="14">
        <f t="shared" si="4"/>
        <v>57546.053752913758</v>
      </c>
      <c r="M27" s="19">
        <f t="shared" si="5"/>
        <v>0</v>
      </c>
      <c r="N27" s="4">
        <f t="shared" si="6"/>
        <v>0</v>
      </c>
      <c r="O27" s="174">
        <f t="shared" si="7"/>
        <v>-321740.00392705639</v>
      </c>
      <c r="P27" s="347">
        <f>O27/'D) Ecrêtage'!C27</f>
        <v>-5.5910003022712145</v>
      </c>
      <c r="Q27" s="167"/>
    </row>
    <row r="28" spans="1:17" x14ac:dyDescent="0.25">
      <c r="A28" s="165">
        <f>'A) Base RI'!A30</f>
        <v>5429</v>
      </c>
      <c r="B28" s="42" t="str">
        <f>'A) Base RI'!B30</f>
        <v>Longirod</v>
      </c>
      <c r="C28" s="41">
        <f>'D) Ecrêtage'!M28</f>
        <v>13645.142716049384</v>
      </c>
      <c r="D28" s="41">
        <v>153752</v>
      </c>
      <c r="E28" s="14">
        <v>28398</v>
      </c>
      <c r="F28" s="52">
        <v>47473</v>
      </c>
      <c r="G28" s="52">
        <f t="shared" si="0"/>
        <v>229623</v>
      </c>
      <c r="H28" s="14">
        <f t="shared" si="1"/>
        <v>109161.14172839507</v>
      </c>
      <c r="I28" s="41">
        <f t="shared" si="2"/>
        <v>120461.85827160493</v>
      </c>
      <c r="J28" s="4">
        <f t="shared" si="3"/>
        <v>-86502.865656392401</v>
      </c>
      <c r="K28" s="19">
        <v>91438</v>
      </c>
      <c r="L28" s="14">
        <f t="shared" si="4"/>
        <v>13645.142716049384</v>
      </c>
      <c r="M28" s="19">
        <f t="shared" si="5"/>
        <v>77792.857283950609</v>
      </c>
      <c r="N28" s="4">
        <f t="shared" si="6"/>
        <v>-55862.537563449718</v>
      </c>
      <c r="O28" s="174">
        <f t="shared" si="7"/>
        <v>-142365.40321984212</v>
      </c>
      <c r="P28" s="347">
        <f>O28/'D) Ecrêtage'!C28</f>
        <v>-10.433412547044471</v>
      </c>
      <c r="Q28" s="167"/>
    </row>
    <row r="29" spans="1:17" x14ac:dyDescent="0.25">
      <c r="A29" s="165">
        <f>'A) Base RI'!A31</f>
        <v>5430</v>
      </c>
      <c r="B29" s="42" t="str">
        <f>'A) Base RI'!B31</f>
        <v>Marchissy</v>
      </c>
      <c r="C29" s="41">
        <f>'D) Ecrêtage'!M29</f>
        <v>12901.686543209877</v>
      </c>
      <c r="D29" s="41">
        <v>332755</v>
      </c>
      <c r="E29" s="14">
        <v>18976</v>
      </c>
      <c r="F29" s="52">
        <v>47064</v>
      </c>
      <c r="G29" s="52">
        <f t="shared" si="0"/>
        <v>398795</v>
      </c>
      <c r="H29" s="14">
        <f t="shared" si="1"/>
        <v>103213.49234567901</v>
      </c>
      <c r="I29" s="41">
        <f t="shared" si="2"/>
        <v>295581.50765432097</v>
      </c>
      <c r="J29" s="4">
        <f t="shared" si="3"/>
        <v>-212255.13049521542</v>
      </c>
      <c r="K29" s="19">
        <v>33704</v>
      </c>
      <c r="L29" s="14">
        <f t="shared" si="4"/>
        <v>12901.686543209877</v>
      </c>
      <c r="M29" s="19">
        <f t="shared" si="5"/>
        <v>20802.313456790122</v>
      </c>
      <c r="N29" s="4">
        <f t="shared" si="6"/>
        <v>-14938.004046373286</v>
      </c>
      <c r="O29" s="174">
        <f t="shared" si="7"/>
        <v>-227193.13454158869</v>
      </c>
      <c r="P29" s="347">
        <f>O29/'D) Ecrêtage'!C29</f>
        <v>-17.609568623503712</v>
      </c>
      <c r="Q29" s="167"/>
    </row>
    <row r="30" spans="1:17" x14ac:dyDescent="0.25">
      <c r="A30" s="165">
        <f>'A) Base RI'!A32</f>
        <v>5431</v>
      </c>
      <c r="B30" s="42" t="str">
        <f>'A) Base RI'!B32</f>
        <v>Mollens</v>
      </c>
      <c r="C30" s="41">
        <f>'D) Ecrêtage'!M30</f>
        <v>8965.3154054054066</v>
      </c>
      <c r="D30" s="41">
        <v>53355</v>
      </c>
      <c r="E30" s="14">
        <v>8937</v>
      </c>
      <c r="F30" s="52">
        <v>31897</v>
      </c>
      <c r="G30" s="52">
        <f t="shared" si="0"/>
        <v>94189</v>
      </c>
      <c r="H30" s="14">
        <f t="shared" si="1"/>
        <v>71722.523243243253</v>
      </c>
      <c r="I30" s="41">
        <f t="shared" si="2"/>
        <v>22466.476756756747</v>
      </c>
      <c r="J30" s="4">
        <f t="shared" si="3"/>
        <v>-16133.028732467177</v>
      </c>
      <c r="K30" s="19">
        <v>49003</v>
      </c>
      <c r="L30" s="14">
        <f t="shared" si="4"/>
        <v>8965.3154054054066</v>
      </c>
      <c r="M30" s="19">
        <f t="shared" si="5"/>
        <v>40037.684594594597</v>
      </c>
      <c r="N30" s="4">
        <f t="shared" si="6"/>
        <v>-28750.797151662478</v>
      </c>
      <c r="O30" s="174">
        <f t="shared" si="7"/>
        <v>-44883.825884129656</v>
      </c>
      <c r="P30" s="347">
        <f>O30/'D) Ecrêtage'!C30</f>
        <v>-5.0063855932015624</v>
      </c>
      <c r="Q30" s="167"/>
    </row>
    <row r="31" spans="1:17" x14ac:dyDescent="0.25">
      <c r="A31" s="165">
        <f>'A) Base RI'!A33</f>
        <v>5432</v>
      </c>
      <c r="B31" s="42" t="str">
        <f>'A) Base RI'!B33</f>
        <v>Montherod</v>
      </c>
      <c r="C31" s="41">
        <f>'D) Ecrêtage'!M31</f>
        <v>18938.674054054052</v>
      </c>
      <c r="D31" s="41">
        <v>71197</v>
      </c>
      <c r="E31" s="14">
        <v>17912</v>
      </c>
      <c r="F31" s="52">
        <v>60710</v>
      </c>
      <c r="G31" s="52">
        <f t="shared" si="0"/>
        <v>149819</v>
      </c>
      <c r="H31" s="14">
        <f t="shared" si="1"/>
        <v>151509.39243243242</v>
      </c>
      <c r="I31" s="41">
        <f t="shared" si="2"/>
        <v>0</v>
      </c>
      <c r="J31" s="4">
        <f t="shared" si="3"/>
        <v>0</v>
      </c>
      <c r="K31" s="19">
        <v>-6869</v>
      </c>
      <c r="L31" s="14">
        <f t="shared" si="4"/>
        <v>18938.674054054052</v>
      </c>
      <c r="M31" s="19">
        <f t="shared" si="5"/>
        <v>0</v>
      </c>
      <c r="N31" s="4">
        <f t="shared" si="6"/>
        <v>0</v>
      </c>
      <c r="O31" s="174">
        <f t="shared" si="7"/>
        <v>0</v>
      </c>
      <c r="P31" s="347">
        <f>O31/'D) Ecrêtage'!C31</f>
        <v>0</v>
      </c>
      <c r="Q31" s="167"/>
    </row>
    <row r="32" spans="1:17" x14ac:dyDescent="0.25">
      <c r="A32" s="165">
        <f>'A) Base RI'!A34</f>
        <v>5434</v>
      </c>
      <c r="B32" s="42" t="str">
        <f>'A) Base RI'!B34</f>
        <v>Saint-George</v>
      </c>
      <c r="C32" s="41">
        <f>'D) Ecrêtage'!M32</f>
        <v>33015.772116788328</v>
      </c>
      <c r="D32" s="41">
        <v>225107</v>
      </c>
      <c r="E32" s="14">
        <v>32695</v>
      </c>
      <c r="F32" s="52">
        <v>108527</v>
      </c>
      <c r="G32" s="52">
        <f t="shared" si="0"/>
        <v>366329</v>
      </c>
      <c r="H32" s="14">
        <f t="shared" si="1"/>
        <v>264126.17693430663</v>
      </c>
      <c r="I32" s="41">
        <f t="shared" si="2"/>
        <v>102202.82306569337</v>
      </c>
      <c r="J32" s="4">
        <f t="shared" si="3"/>
        <v>-73391.172942246267</v>
      </c>
      <c r="K32" s="19">
        <v>123571</v>
      </c>
      <c r="L32" s="14">
        <f t="shared" si="4"/>
        <v>33015.772116788328</v>
      </c>
      <c r="M32" s="19">
        <f t="shared" si="5"/>
        <v>90555.227883211672</v>
      </c>
      <c r="N32" s="4">
        <f t="shared" si="6"/>
        <v>-65027.111688778488</v>
      </c>
      <c r="O32" s="174">
        <f t="shared" si="7"/>
        <v>-138418.28463102476</v>
      </c>
      <c r="P32" s="347">
        <f>O32/'D) Ecrêtage'!C32</f>
        <v>-4.1924897028423533</v>
      </c>
      <c r="Q32" s="167"/>
    </row>
    <row r="33" spans="1:17" x14ac:dyDescent="0.25">
      <c r="A33" s="165">
        <f>'A) Base RI'!A35</f>
        <v>5435</v>
      </c>
      <c r="B33" s="42" t="str">
        <f>'A) Base RI'!B35</f>
        <v>Saint-Livres</v>
      </c>
      <c r="C33" s="41">
        <f>'D) Ecrêtage'!M33</f>
        <v>24335.25550724638</v>
      </c>
      <c r="D33" s="41">
        <v>112027</v>
      </c>
      <c r="E33" s="14">
        <v>33872</v>
      </c>
      <c r="F33" s="52">
        <v>85216</v>
      </c>
      <c r="G33" s="52">
        <f t="shared" si="0"/>
        <v>231115</v>
      </c>
      <c r="H33" s="14">
        <f t="shared" si="1"/>
        <v>194682.04405797104</v>
      </c>
      <c r="I33" s="41">
        <f t="shared" si="2"/>
        <v>36432.955942028959</v>
      </c>
      <c r="J33" s="4">
        <f t="shared" si="3"/>
        <v>-26162.265289090876</v>
      </c>
      <c r="K33" s="19">
        <v>-22488</v>
      </c>
      <c r="L33" s="14">
        <f t="shared" si="4"/>
        <v>24335.25550724638</v>
      </c>
      <c r="M33" s="19">
        <f t="shared" si="5"/>
        <v>0</v>
      </c>
      <c r="N33" s="4">
        <f t="shared" si="6"/>
        <v>0</v>
      </c>
      <c r="O33" s="174">
        <f t="shared" si="7"/>
        <v>-26162.265289090876</v>
      </c>
      <c r="P33" s="347">
        <f>O33/'D) Ecrêtage'!C33</f>
        <v>-1.0750766632099038</v>
      </c>
      <c r="Q33" s="167"/>
    </row>
    <row r="34" spans="1:17" x14ac:dyDescent="0.25">
      <c r="A34" s="165">
        <f>'A) Base RI'!A36</f>
        <v>5436</v>
      </c>
      <c r="B34" s="42" t="str">
        <f>'A) Base RI'!B36</f>
        <v>Saint-Oyens</v>
      </c>
      <c r="C34" s="41">
        <f>'D) Ecrêtage'!M34</f>
        <v>9937.7678395061721</v>
      </c>
      <c r="D34" s="41">
        <v>92415</v>
      </c>
      <c r="E34" s="14">
        <v>17019</v>
      </c>
      <c r="F34" s="52">
        <v>29396</v>
      </c>
      <c r="G34" s="52">
        <f t="shared" si="0"/>
        <v>138830</v>
      </c>
      <c r="H34" s="14">
        <f t="shared" si="1"/>
        <v>79502.142716049377</v>
      </c>
      <c r="I34" s="41">
        <f t="shared" si="2"/>
        <v>59327.857283950623</v>
      </c>
      <c r="J34" s="4">
        <f t="shared" si="3"/>
        <v>-42602.942889557897</v>
      </c>
      <c r="K34" s="19">
        <v>40062</v>
      </c>
      <c r="L34" s="14">
        <f t="shared" si="4"/>
        <v>9937.7678395061721</v>
      </c>
      <c r="M34" s="19">
        <f t="shared" si="5"/>
        <v>30124.232160493826</v>
      </c>
      <c r="N34" s="4">
        <f t="shared" si="6"/>
        <v>-21632.012364493097</v>
      </c>
      <c r="O34" s="174">
        <f t="shared" si="7"/>
        <v>-64234.95525405099</v>
      </c>
      <c r="P34" s="347">
        <f>O34/'D) Ecrêtage'!C34</f>
        <v>-6.4637206555273039</v>
      </c>
      <c r="Q34" s="167"/>
    </row>
    <row r="35" spans="1:17" x14ac:dyDescent="0.25">
      <c r="A35" s="165">
        <f>'A) Base RI'!A37</f>
        <v>5437</v>
      </c>
      <c r="B35" s="42" t="str">
        <f>'A) Base RI'!B37</f>
        <v>Saubraz</v>
      </c>
      <c r="C35" s="41">
        <f>'D) Ecrêtage'!M35</f>
        <v>9144.65614457831</v>
      </c>
      <c r="D35" s="41">
        <v>76922</v>
      </c>
      <c r="E35" s="14">
        <v>8824</v>
      </c>
      <c r="F35" s="52">
        <v>60244</v>
      </c>
      <c r="G35" s="52">
        <f t="shared" si="0"/>
        <v>145990</v>
      </c>
      <c r="H35" s="14">
        <f t="shared" si="1"/>
        <v>73157.24915662648</v>
      </c>
      <c r="I35" s="41">
        <f t="shared" si="2"/>
        <v>72832.75084337352</v>
      </c>
      <c r="J35" s="4">
        <f t="shared" si="3"/>
        <v>-52300.717853652124</v>
      </c>
      <c r="K35" s="19">
        <v>9387</v>
      </c>
      <c r="L35" s="14">
        <f t="shared" si="4"/>
        <v>9144.65614457831</v>
      </c>
      <c r="M35" s="19">
        <f t="shared" si="5"/>
        <v>242.34385542169002</v>
      </c>
      <c r="N35" s="4">
        <f t="shared" si="6"/>
        <v>-174.0255236718036</v>
      </c>
      <c r="O35" s="174">
        <f t="shared" si="7"/>
        <v>-52474.743377323925</v>
      </c>
      <c r="P35" s="347">
        <f>O35/'D) Ecrêtage'!C35</f>
        <v>-5.7382959564242544</v>
      </c>
      <c r="Q35" s="167"/>
    </row>
    <row r="36" spans="1:17" x14ac:dyDescent="0.25">
      <c r="A36" s="165">
        <f>'A) Base RI'!A38</f>
        <v>5451</v>
      </c>
      <c r="B36" s="42" t="str">
        <f>'A) Base RI'!B38</f>
        <v>Avenches</v>
      </c>
      <c r="C36" s="41">
        <f>'D) Ecrêtage'!M36</f>
        <v>102028.81651960785</v>
      </c>
      <c r="D36" s="41">
        <v>1892660</v>
      </c>
      <c r="E36" s="14">
        <v>443955</v>
      </c>
      <c r="F36" s="52">
        <v>597568</v>
      </c>
      <c r="G36" s="52">
        <f t="shared" si="0"/>
        <v>2934183</v>
      </c>
      <c r="H36" s="14">
        <f t="shared" si="1"/>
        <v>816230.53215686278</v>
      </c>
      <c r="I36" s="41">
        <f t="shared" si="2"/>
        <v>2117952.4678431372</v>
      </c>
      <c r="J36" s="4">
        <f t="shared" si="3"/>
        <v>-1520887.6935916017</v>
      </c>
      <c r="K36" s="19">
        <v>196560</v>
      </c>
      <c r="L36" s="14">
        <f t="shared" si="4"/>
        <v>102028.81651960785</v>
      </c>
      <c r="M36" s="19">
        <f t="shared" si="5"/>
        <v>94531.183480392152</v>
      </c>
      <c r="N36" s="4">
        <f t="shared" si="6"/>
        <v>-67882.219171042481</v>
      </c>
      <c r="O36" s="174">
        <f t="shared" si="7"/>
        <v>-1588769.9127626442</v>
      </c>
      <c r="P36" s="347">
        <f>O36/'D) Ecrêtage'!C36</f>
        <v>-15.571776356509195</v>
      </c>
      <c r="Q36" s="167"/>
    </row>
    <row r="37" spans="1:17" x14ac:dyDescent="0.25">
      <c r="A37" s="165">
        <f>'A) Base RI'!A39</f>
        <v>5456</v>
      </c>
      <c r="B37" s="42" t="str">
        <f>'A) Base RI'!B39</f>
        <v>Cudrefin</v>
      </c>
      <c r="C37" s="41">
        <f>'D) Ecrêtage'!M37</f>
        <v>45272.368813559326</v>
      </c>
      <c r="D37" s="41">
        <v>443723</v>
      </c>
      <c r="E37" s="14">
        <v>50202</v>
      </c>
      <c r="F37" s="52">
        <v>241254</v>
      </c>
      <c r="G37" s="52">
        <f t="shared" si="0"/>
        <v>735179</v>
      </c>
      <c r="H37" s="14">
        <f t="shared" si="1"/>
        <v>362178.95050847461</v>
      </c>
      <c r="I37" s="41">
        <f t="shared" si="2"/>
        <v>373000.04949152539</v>
      </c>
      <c r="J37" s="4">
        <f t="shared" si="3"/>
        <v>-267848.87460596918</v>
      </c>
      <c r="K37" s="19">
        <v>24418</v>
      </c>
      <c r="L37" s="14">
        <f t="shared" si="4"/>
        <v>45272.368813559326</v>
      </c>
      <c r="M37" s="19">
        <f t="shared" si="5"/>
        <v>0</v>
      </c>
      <c r="N37" s="4">
        <f t="shared" si="6"/>
        <v>0</v>
      </c>
      <c r="O37" s="174">
        <f t="shared" si="7"/>
        <v>-267848.87460596918</v>
      </c>
      <c r="P37" s="347">
        <f>O37/'D) Ecrêtage'!C37</f>
        <v>-5.9163874483578374</v>
      </c>
      <c r="Q37" s="167"/>
    </row>
    <row r="38" spans="1:17" x14ac:dyDescent="0.25">
      <c r="A38" s="165">
        <f>'A) Base RI'!A40</f>
        <v>5458</v>
      </c>
      <c r="B38" s="42" t="str">
        <f>'A) Base RI'!B40</f>
        <v>Faoug</v>
      </c>
      <c r="C38" s="41">
        <f>'D) Ecrêtage'!M38</f>
        <v>28143.986721311474</v>
      </c>
      <c r="D38" s="41">
        <v>221922</v>
      </c>
      <c r="E38" s="14">
        <v>37720</v>
      </c>
      <c r="F38" s="52">
        <v>125804</v>
      </c>
      <c r="G38" s="52">
        <f t="shared" si="0"/>
        <v>385446</v>
      </c>
      <c r="H38" s="14">
        <f t="shared" si="1"/>
        <v>225151.89377049179</v>
      </c>
      <c r="I38" s="41">
        <f t="shared" si="2"/>
        <v>160294.10622950821</v>
      </c>
      <c r="J38" s="4">
        <f t="shared" si="3"/>
        <v>-115106.14011465144</v>
      </c>
      <c r="K38" s="19">
        <v>27145</v>
      </c>
      <c r="L38" s="14">
        <f t="shared" si="4"/>
        <v>28143.986721311474</v>
      </c>
      <c r="M38" s="19">
        <f t="shared" si="5"/>
        <v>0</v>
      </c>
      <c r="N38" s="4">
        <f t="shared" si="6"/>
        <v>0</v>
      </c>
      <c r="O38" s="174">
        <f t="shared" si="7"/>
        <v>-115106.14011465144</v>
      </c>
      <c r="P38" s="347">
        <f>O38/'D) Ecrêtage'!C38</f>
        <v>-4.0899017347634548</v>
      </c>
      <c r="Q38" s="167"/>
    </row>
    <row r="39" spans="1:17" x14ac:dyDescent="0.25">
      <c r="A39" s="165">
        <f>'A) Base RI'!A41</f>
        <v>5464</v>
      </c>
      <c r="B39" s="42" t="str">
        <f>'A) Base RI'!B41</f>
        <v>Vully-les-Lacs</v>
      </c>
      <c r="C39" s="41">
        <f>'D) Ecrêtage'!M39</f>
        <v>96865.968557213928</v>
      </c>
      <c r="D39" s="8">
        <v>916445</v>
      </c>
      <c r="E39" s="14">
        <v>95947</v>
      </c>
      <c r="F39" s="8">
        <v>387400</v>
      </c>
      <c r="G39" s="52">
        <f t="shared" si="0"/>
        <v>1399792</v>
      </c>
      <c r="H39" s="14">
        <f t="shared" si="1"/>
        <v>774927.74845771142</v>
      </c>
      <c r="I39" s="41">
        <f t="shared" si="2"/>
        <v>624864.25154228858</v>
      </c>
      <c r="J39" s="4">
        <f t="shared" si="3"/>
        <v>-448710.89637993701</v>
      </c>
      <c r="K39" s="19">
        <v>51149</v>
      </c>
      <c r="L39" s="14">
        <f t="shared" si="4"/>
        <v>96865.968557213928</v>
      </c>
      <c r="M39" s="19">
        <f t="shared" si="5"/>
        <v>0</v>
      </c>
      <c r="N39" s="4">
        <f t="shared" si="6"/>
        <v>0</v>
      </c>
      <c r="O39" s="174">
        <f t="shared" si="7"/>
        <v>-448710.89637993701</v>
      </c>
      <c r="P39" s="347">
        <f>O39/'D) Ecrêtage'!C39</f>
        <v>-4.6322862720864215</v>
      </c>
      <c r="Q39" s="167"/>
    </row>
    <row r="40" spans="1:17" x14ac:dyDescent="0.25">
      <c r="A40" s="165">
        <f>'A) Base RI'!A42</f>
        <v>5471</v>
      </c>
      <c r="B40" s="42" t="str">
        <f>'A) Base RI'!B42</f>
        <v>Bettens</v>
      </c>
      <c r="C40" s="41">
        <f>'D) Ecrêtage'!M40</f>
        <v>18168.257063492067</v>
      </c>
      <c r="D40" s="41">
        <v>68330</v>
      </c>
      <c r="E40" s="14">
        <v>16016</v>
      </c>
      <c r="F40" s="52">
        <v>53551</v>
      </c>
      <c r="G40" s="52">
        <f t="shared" si="0"/>
        <v>137897</v>
      </c>
      <c r="H40" s="14">
        <f t="shared" si="1"/>
        <v>145346.05650793653</v>
      </c>
      <c r="I40" s="41">
        <f t="shared" si="2"/>
        <v>0</v>
      </c>
      <c r="J40" s="4">
        <f t="shared" si="3"/>
        <v>0</v>
      </c>
      <c r="K40" s="19">
        <v>955</v>
      </c>
      <c r="L40" s="14">
        <f t="shared" si="4"/>
        <v>18168.257063492067</v>
      </c>
      <c r="M40" s="19">
        <f t="shared" si="5"/>
        <v>0</v>
      </c>
      <c r="N40" s="4">
        <f t="shared" si="6"/>
        <v>0</v>
      </c>
      <c r="O40" s="174">
        <f t="shared" si="7"/>
        <v>0</v>
      </c>
      <c r="P40" s="347">
        <f>O40/'D) Ecrêtage'!C40</f>
        <v>0</v>
      </c>
      <c r="Q40" s="167"/>
    </row>
    <row r="41" spans="1:17" x14ac:dyDescent="0.25">
      <c r="A41" s="165">
        <f>'A) Base RI'!A43</f>
        <v>5472</v>
      </c>
      <c r="B41" s="42" t="str">
        <f>'A) Base RI'!B43</f>
        <v>Bournens</v>
      </c>
      <c r="C41" s="41">
        <f>'D) Ecrêtage'!M41</f>
        <v>13213.617875</v>
      </c>
      <c r="D41" s="41">
        <v>69664</v>
      </c>
      <c r="E41" s="14">
        <v>16378</v>
      </c>
      <c r="F41" s="52">
        <v>23733</v>
      </c>
      <c r="G41" s="52">
        <f t="shared" si="0"/>
        <v>109775</v>
      </c>
      <c r="H41" s="14">
        <f t="shared" si="1"/>
        <v>105708.943</v>
      </c>
      <c r="I41" s="41">
        <f t="shared" si="2"/>
        <v>4066.0570000000007</v>
      </c>
      <c r="J41" s="4">
        <f t="shared" si="3"/>
        <v>-2919.8087051687307</v>
      </c>
      <c r="K41" s="19">
        <v>46708</v>
      </c>
      <c r="L41" s="14">
        <f t="shared" si="4"/>
        <v>13213.617875</v>
      </c>
      <c r="M41" s="19">
        <f t="shared" si="5"/>
        <v>33494.382125000004</v>
      </c>
      <c r="N41" s="4">
        <f t="shared" si="6"/>
        <v>-24052.094818843645</v>
      </c>
      <c r="O41" s="174">
        <f t="shared" si="7"/>
        <v>-26971.903524012378</v>
      </c>
      <c r="P41" s="347">
        <f>O41/'D) Ecrêtage'!C41</f>
        <v>-2.0412201850518836</v>
      </c>
      <c r="Q41" s="167"/>
    </row>
    <row r="42" spans="1:17" x14ac:dyDescent="0.25">
      <c r="A42" s="165">
        <f>'A) Base RI'!A44</f>
        <v>5473</v>
      </c>
      <c r="B42" s="42" t="str">
        <f>'A) Base RI'!B44</f>
        <v>Boussens</v>
      </c>
      <c r="C42" s="41">
        <f>'D) Ecrêtage'!M42</f>
        <v>33007.750579710155</v>
      </c>
      <c r="D42" s="41">
        <v>48811</v>
      </c>
      <c r="E42" s="14">
        <v>42709</v>
      </c>
      <c r="F42" s="52">
        <v>50265</v>
      </c>
      <c r="G42" s="52">
        <f t="shared" si="0"/>
        <v>141785</v>
      </c>
      <c r="H42" s="14">
        <f t="shared" si="1"/>
        <v>264062.00463768124</v>
      </c>
      <c r="I42" s="41">
        <f t="shared" si="2"/>
        <v>0</v>
      </c>
      <c r="J42" s="4">
        <f t="shared" si="3"/>
        <v>0</v>
      </c>
      <c r="K42" s="19">
        <v>6723</v>
      </c>
      <c r="L42" s="14">
        <f t="shared" si="4"/>
        <v>33007.750579710155</v>
      </c>
      <c r="M42" s="19">
        <f t="shared" si="5"/>
        <v>0</v>
      </c>
      <c r="N42" s="4">
        <f t="shared" si="6"/>
        <v>0</v>
      </c>
      <c r="O42" s="174">
        <f t="shared" si="7"/>
        <v>0</v>
      </c>
      <c r="P42" s="347">
        <f>O42/'D) Ecrêtage'!C42</f>
        <v>0</v>
      </c>
      <c r="Q42" s="167"/>
    </row>
    <row r="43" spans="1:17" x14ac:dyDescent="0.25">
      <c r="A43" s="165">
        <f>'A) Base RI'!A45</f>
        <v>5474</v>
      </c>
      <c r="B43" s="42" t="str">
        <f>'A) Base RI'!B45</f>
        <v>La Chaux (Cossonay)</v>
      </c>
      <c r="C43" s="41">
        <f>'D) Ecrêtage'!M43</f>
        <v>12690.44829004329</v>
      </c>
      <c r="D43" s="41">
        <v>174682</v>
      </c>
      <c r="E43" s="14">
        <v>13096</v>
      </c>
      <c r="F43" s="52">
        <v>62031</v>
      </c>
      <c r="G43" s="52">
        <f t="shared" si="0"/>
        <v>249809</v>
      </c>
      <c r="H43" s="14">
        <f t="shared" si="1"/>
        <v>101523.58632034632</v>
      </c>
      <c r="I43" s="41">
        <f t="shared" si="2"/>
        <v>148285.41367965366</v>
      </c>
      <c r="J43" s="4">
        <f t="shared" si="3"/>
        <v>-106482.77722407706</v>
      </c>
      <c r="K43" s="19">
        <v>19735</v>
      </c>
      <c r="L43" s="14">
        <f t="shared" si="4"/>
        <v>12690.44829004329</v>
      </c>
      <c r="M43" s="19">
        <f t="shared" si="5"/>
        <v>7044.5517099567096</v>
      </c>
      <c r="N43" s="4">
        <f t="shared" si="6"/>
        <v>-5058.6461052422201</v>
      </c>
      <c r="O43" s="174">
        <f t="shared" si="7"/>
        <v>-111541.42332931928</v>
      </c>
      <c r="P43" s="347">
        <f>O43/'D) Ecrêtage'!C43</f>
        <v>-8.7893997737521055</v>
      </c>
      <c r="Q43" s="167"/>
    </row>
    <row r="44" spans="1:17" x14ac:dyDescent="0.25">
      <c r="A44" s="165">
        <f>'A) Base RI'!A46</f>
        <v>5475</v>
      </c>
      <c r="B44" s="42" t="str">
        <f>'A) Base RI'!B46</f>
        <v>Chavannes-le-Veyron</v>
      </c>
      <c r="C44" s="41">
        <f>'D) Ecrêtage'!M44</f>
        <v>2750.1545454545449</v>
      </c>
      <c r="D44" s="41">
        <v>68368</v>
      </c>
      <c r="E44" s="14">
        <v>3941</v>
      </c>
      <c r="F44" s="52">
        <v>21159</v>
      </c>
      <c r="G44" s="52">
        <f t="shared" si="0"/>
        <v>93468</v>
      </c>
      <c r="H44" s="14">
        <f t="shared" si="1"/>
        <v>22001.236363636359</v>
      </c>
      <c r="I44" s="41">
        <f t="shared" si="2"/>
        <v>71466.763636363641</v>
      </c>
      <c r="J44" s="4">
        <f t="shared" si="3"/>
        <v>-51319.811452640883</v>
      </c>
      <c r="K44" s="19">
        <v>22904</v>
      </c>
      <c r="L44" s="14">
        <f t="shared" si="4"/>
        <v>2750.1545454545449</v>
      </c>
      <c r="M44" s="19">
        <f t="shared" si="5"/>
        <v>20153.845454545455</v>
      </c>
      <c r="N44" s="4">
        <f t="shared" si="6"/>
        <v>-14472.343452343897</v>
      </c>
      <c r="O44" s="174">
        <f t="shared" si="7"/>
        <v>-65792.154904984782</v>
      </c>
      <c r="P44" s="347">
        <f>O44/'D) Ecrêtage'!C44</f>
        <v>-23.923075528146608</v>
      </c>
      <c r="Q44" s="167"/>
    </row>
    <row r="45" spans="1:17" x14ac:dyDescent="0.25">
      <c r="A45" s="165">
        <f>'A) Base RI'!A47</f>
        <v>5476</v>
      </c>
      <c r="B45" s="42" t="str">
        <f>'A) Base RI'!B47</f>
        <v>Chevilly</v>
      </c>
      <c r="C45" s="41">
        <f>'D) Ecrêtage'!M45</f>
        <v>7887.6179729729729</v>
      </c>
      <c r="D45" s="41">
        <v>21780</v>
      </c>
      <c r="E45" s="14">
        <v>32877</v>
      </c>
      <c r="F45" s="52">
        <v>59772</v>
      </c>
      <c r="G45" s="52">
        <f t="shared" si="0"/>
        <v>114429</v>
      </c>
      <c r="H45" s="14">
        <f t="shared" si="1"/>
        <v>63100.943783783783</v>
      </c>
      <c r="I45" s="41">
        <f t="shared" si="2"/>
        <v>51328.056216216217</v>
      </c>
      <c r="J45" s="4">
        <f t="shared" si="3"/>
        <v>-36858.33852292235</v>
      </c>
      <c r="K45" s="19">
        <v>1912</v>
      </c>
      <c r="L45" s="14">
        <f t="shared" si="4"/>
        <v>7887.6179729729729</v>
      </c>
      <c r="M45" s="19">
        <f t="shared" si="5"/>
        <v>0</v>
      </c>
      <c r="N45" s="4">
        <f t="shared" si="6"/>
        <v>0</v>
      </c>
      <c r="O45" s="174">
        <f t="shared" si="7"/>
        <v>-36858.33852292235</v>
      </c>
      <c r="P45" s="347">
        <f>O45/'D) Ecrêtage'!C45</f>
        <v>-4.6729365759368591</v>
      </c>
      <c r="Q45" s="167"/>
    </row>
    <row r="46" spans="1:17" x14ac:dyDescent="0.25">
      <c r="A46" s="165">
        <f>'A) Base RI'!A48</f>
        <v>5477</v>
      </c>
      <c r="B46" s="42" t="str">
        <f>'A) Base RI'!B48</f>
        <v>Cossonay</v>
      </c>
      <c r="C46" s="41">
        <f>'D) Ecrêtage'!M46</f>
        <v>120589.74256854257</v>
      </c>
      <c r="D46" s="41">
        <v>1071548</v>
      </c>
      <c r="E46" s="14">
        <v>279916</v>
      </c>
      <c r="F46" s="52">
        <v>530294</v>
      </c>
      <c r="G46" s="52">
        <f t="shared" si="0"/>
        <v>1881758</v>
      </c>
      <c r="H46" s="14">
        <f t="shared" si="1"/>
        <v>964717.94054834056</v>
      </c>
      <c r="I46" s="41">
        <f t="shared" si="2"/>
        <v>917040.05945165944</v>
      </c>
      <c r="J46" s="4">
        <f t="shared" si="3"/>
        <v>-658520.41635801108</v>
      </c>
      <c r="K46" s="19">
        <v>44646</v>
      </c>
      <c r="L46" s="14">
        <f t="shared" si="4"/>
        <v>120589.74256854257</v>
      </c>
      <c r="M46" s="19">
        <f t="shared" si="5"/>
        <v>0</v>
      </c>
      <c r="N46" s="4">
        <f t="shared" si="6"/>
        <v>0</v>
      </c>
      <c r="O46" s="174">
        <f t="shared" si="7"/>
        <v>-658520.41635801108</v>
      </c>
      <c r="P46" s="347">
        <f>O46/'D) Ecrêtage'!C46</f>
        <v>-5.4608327568467239</v>
      </c>
      <c r="Q46" s="167"/>
    </row>
    <row r="47" spans="1:17" x14ac:dyDescent="0.25">
      <c r="A47" s="165">
        <f>'A) Base RI'!A49</f>
        <v>5478</v>
      </c>
      <c r="B47" s="42" t="str">
        <f>'A) Base RI'!B49</f>
        <v>Cottens</v>
      </c>
      <c r="C47" s="41">
        <f>'D) Ecrêtage'!M47</f>
        <v>15464.23347222222</v>
      </c>
      <c r="D47" s="41">
        <v>57937</v>
      </c>
      <c r="E47" s="14">
        <v>14892</v>
      </c>
      <c r="F47" s="52">
        <v>64295</v>
      </c>
      <c r="G47" s="52">
        <f t="shared" si="0"/>
        <v>137124</v>
      </c>
      <c r="H47" s="14">
        <f t="shared" si="1"/>
        <v>123713.86777777776</v>
      </c>
      <c r="I47" s="41">
        <f t="shared" si="2"/>
        <v>13410.132222222237</v>
      </c>
      <c r="J47" s="4">
        <f t="shared" si="3"/>
        <v>-9629.7274730551435</v>
      </c>
      <c r="K47" s="19">
        <v>3787</v>
      </c>
      <c r="L47" s="14">
        <f t="shared" si="4"/>
        <v>15464.23347222222</v>
      </c>
      <c r="M47" s="19">
        <f t="shared" si="5"/>
        <v>0</v>
      </c>
      <c r="N47" s="4">
        <f t="shared" si="6"/>
        <v>0</v>
      </c>
      <c r="O47" s="174">
        <f t="shared" si="7"/>
        <v>-9629.7274730551435</v>
      </c>
      <c r="P47" s="347">
        <f>O47/'D) Ecrêtage'!C47</f>
        <v>-0.62270965388311261</v>
      </c>
      <c r="Q47" s="167"/>
    </row>
    <row r="48" spans="1:17" x14ac:dyDescent="0.25">
      <c r="A48" s="165">
        <f>'A) Base RI'!A50</f>
        <v>5479</v>
      </c>
      <c r="B48" s="42" t="str">
        <f>'A) Base RI'!B50</f>
        <v>Cuarnens</v>
      </c>
      <c r="C48" s="41">
        <f>'D) Ecrêtage'!M48</f>
        <v>11805.525064935064</v>
      </c>
      <c r="D48" s="41">
        <v>188649</v>
      </c>
      <c r="E48" s="14">
        <v>13499</v>
      </c>
      <c r="F48" s="52">
        <v>82013</v>
      </c>
      <c r="G48" s="52">
        <f t="shared" si="0"/>
        <v>284161</v>
      </c>
      <c r="H48" s="14">
        <f t="shared" si="1"/>
        <v>94444.20051948051</v>
      </c>
      <c r="I48" s="41">
        <f t="shared" si="2"/>
        <v>189716.79948051949</v>
      </c>
      <c r="J48" s="4">
        <f t="shared" si="3"/>
        <v>-136234.38201677235</v>
      </c>
      <c r="K48" s="19">
        <v>81667</v>
      </c>
      <c r="L48" s="14">
        <f t="shared" si="4"/>
        <v>11805.525064935064</v>
      </c>
      <c r="M48" s="19">
        <f t="shared" si="5"/>
        <v>69861.474935064936</v>
      </c>
      <c r="N48" s="4">
        <f t="shared" si="6"/>
        <v>-50167.064227414834</v>
      </c>
      <c r="O48" s="174">
        <f t="shared" si="7"/>
        <v>-186401.44624418719</v>
      </c>
      <c r="P48" s="347">
        <f>O48/'D) Ecrêtage'!C48</f>
        <v>-15.789339755657236</v>
      </c>
      <c r="Q48" s="167"/>
    </row>
    <row r="49" spans="1:17" x14ac:dyDescent="0.25">
      <c r="A49" s="165">
        <f>'A) Base RI'!A51</f>
        <v>5480</v>
      </c>
      <c r="B49" s="42" t="str">
        <f>'A) Base RI'!B51</f>
        <v>Daillens</v>
      </c>
      <c r="C49" s="41">
        <f>'D) Ecrêtage'!M49</f>
        <v>42113.849718309852</v>
      </c>
      <c r="D49" s="41">
        <v>394512</v>
      </c>
      <c r="E49" s="14">
        <v>62209</v>
      </c>
      <c r="F49" s="52">
        <v>133432</v>
      </c>
      <c r="G49" s="52">
        <f t="shared" si="0"/>
        <v>590153</v>
      </c>
      <c r="H49" s="14">
        <f t="shared" si="1"/>
        <v>336910.79774647881</v>
      </c>
      <c r="I49" s="41">
        <f t="shared" si="2"/>
        <v>253242.20225352119</v>
      </c>
      <c r="J49" s="4">
        <f t="shared" si="3"/>
        <v>-181851.55462796794</v>
      </c>
      <c r="K49" s="19">
        <v>1767</v>
      </c>
      <c r="L49" s="14">
        <f t="shared" si="4"/>
        <v>42113.849718309852</v>
      </c>
      <c r="M49" s="19">
        <f t="shared" si="5"/>
        <v>0</v>
      </c>
      <c r="N49" s="4">
        <f t="shared" si="6"/>
        <v>0</v>
      </c>
      <c r="O49" s="174">
        <f t="shared" si="7"/>
        <v>-181851.55462796794</v>
      </c>
      <c r="P49" s="347">
        <f>O49/'D) Ecrêtage'!C49</f>
        <v>-4.3180938300424314</v>
      </c>
      <c r="Q49" s="167"/>
    </row>
    <row r="50" spans="1:17" x14ac:dyDescent="0.25">
      <c r="A50" s="165">
        <f>'A) Base RI'!A52</f>
        <v>5481</v>
      </c>
      <c r="B50" s="42" t="str">
        <f>'A) Base RI'!B52</f>
        <v>Dizy</v>
      </c>
      <c r="C50" s="41">
        <f>'D) Ecrêtage'!M50</f>
        <v>8240.9954054054051</v>
      </c>
      <c r="D50" s="41">
        <v>49187</v>
      </c>
      <c r="E50" s="14"/>
      <c r="F50" s="52">
        <v>33907</v>
      </c>
      <c r="G50" s="52">
        <f t="shared" si="0"/>
        <v>83094</v>
      </c>
      <c r="H50" s="14">
        <f t="shared" si="1"/>
        <v>65927.963243243241</v>
      </c>
      <c r="I50" s="41">
        <f t="shared" si="2"/>
        <v>17166.036756756759</v>
      </c>
      <c r="J50" s="4">
        <f t="shared" si="3"/>
        <v>-12326.817739058943</v>
      </c>
      <c r="K50" s="19">
        <v>5949</v>
      </c>
      <c r="L50" s="14">
        <f t="shared" si="4"/>
        <v>8240.9954054054051</v>
      </c>
      <c r="M50" s="19">
        <f t="shared" si="5"/>
        <v>0</v>
      </c>
      <c r="N50" s="4">
        <f t="shared" si="6"/>
        <v>0</v>
      </c>
      <c r="O50" s="174">
        <f t="shared" si="7"/>
        <v>-12326.817739058943</v>
      </c>
      <c r="P50" s="347">
        <f>O50/'D) Ecrêtage'!C50</f>
        <v>-1.4957923324376057</v>
      </c>
      <c r="Q50" s="167"/>
    </row>
    <row r="51" spans="1:17" x14ac:dyDescent="0.25">
      <c r="A51" s="165">
        <f>'A) Base RI'!A53</f>
        <v>5482</v>
      </c>
      <c r="B51" s="42" t="str">
        <f>'A) Base RI'!B53</f>
        <v>Eclépens</v>
      </c>
      <c r="C51" s="41">
        <f>'D) Ecrêtage'!M51</f>
        <v>62703.545442857772</v>
      </c>
      <c r="D51" s="41">
        <v>181296</v>
      </c>
      <c r="E51" s="14">
        <v>78358</v>
      </c>
      <c r="F51" s="52">
        <v>203564</v>
      </c>
      <c r="G51" s="52">
        <f t="shared" si="0"/>
        <v>463218</v>
      </c>
      <c r="H51" s="14">
        <f t="shared" si="1"/>
        <v>501628.36354286218</v>
      </c>
      <c r="I51" s="41">
        <f t="shared" si="2"/>
        <v>0</v>
      </c>
      <c r="J51" s="4">
        <f t="shared" si="3"/>
        <v>0</v>
      </c>
      <c r="K51" s="19">
        <v>76572</v>
      </c>
      <c r="L51" s="14">
        <f t="shared" si="4"/>
        <v>62703.545442857772</v>
      </c>
      <c r="M51" s="19">
        <f t="shared" si="5"/>
        <v>13868.454557142228</v>
      </c>
      <c r="N51" s="4">
        <f t="shared" si="6"/>
        <v>-9958.8457178984027</v>
      </c>
      <c r="O51" s="174">
        <f t="shared" si="7"/>
        <v>-9958.8457178984027</v>
      </c>
      <c r="P51" s="347">
        <f>O51/'D) Ecrêtage'!C51</f>
        <v>-0.15427650296038761</v>
      </c>
      <c r="Q51" s="167"/>
    </row>
    <row r="52" spans="1:17" x14ac:dyDescent="0.25">
      <c r="A52" s="165">
        <f>'A) Base RI'!A54</f>
        <v>5483</v>
      </c>
      <c r="B52" s="42" t="str">
        <f>'A) Base RI'!B54</f>
        <v>Ferreyres</v>
      </c>
      <c r="C52" s="41">
        <f>'D) Ecrêtage'!M52</f>
        <v>9097.5578947368413</v>
      </c>
      <c r="D52" s="41">
        <v>22387</v>
      </c>
      <c r="E52" s="14">
        <v>9372</v>
      </c>
      <c r="F52" s="52">
        <v>65157</v>
      </c>
      <c r="G52" s="52">
        <f t="shared" si="0"/>
        <v>96916</v>
      </c>
      <c r="H52" s="14">
        <f t="shared" si="1"/>
        <v>72780.46315789473</v>
      </c>
      <c r="I52" s="41">
        <f t="shared" si="2"/>
        <v>24135.53684210527</v>
      </c>
      <c r="J52" s="4">
        <f t="shared" si="3"/>
        <v>-17331.569767836401</v>
      </c>
      <c r="K52" s="19">
        <v>6560</v>
      </c>
      <c r="L52" s="14">
        <f t="shared" si="4"/>
        <v>9097.5578947368413</v>
      </c>
      <c r="M52" s="19">
        <f t="shared" si="5"/>
        <v>0</v>
      </c>
      <c r="N52" s="4">
        <f t="shared" si="6"/>
        <v>0</v>
      </c>
      <c r="O52" s="174">
        <f t="shared" si="7"/>
        <v>-17331.569767836401</v>
      </c>
      <c r="P52" s="347">
        <f>O52/'D) Ecrêtage'!C52</f>
        <v>-1.9050793595788091</v>
      </c>
      <c r="Q52" s="167"/>
    </row>
    <row r="53" spans="1:17" x14ac:dyDescent="0.25">
      <c r="A53" s="165">
        <f>'A) Base RI'!A55</f>
        <v>5484</v>
      </c>
      <c r="B53" s="42" t="str">
        <f>'A) Base RI'!B55</f>
        <v>Gollion</v>
      </c>
      <c r="C53" s="41">
        <f>'D) Ecrêtage'!M53</f>
        <v>23163.007162162161</v>
      </c>
      <c r="D53" s="41">
        <v>208299</v>
      </c>
      <c r="E53" s="14">
        <v>58107</v>
      </c>
      <c r="F53" s="52">
        <v>102128</v>
      </c>
      <c r="G53" s="52">
        <f t="shared" si="0"/>
        <v>368534</v>
      </c>
      <c r="H53" s="14">
        <f t="shared" si="1"/>
        <v>185304.05729729729</v>
      </c>
      <c r="I53" s="41">
        <f t="shared" si="2"/>
        <v>183229.94270270271</v>
      </c>
      <c r="J53" s="4">
        <f t="shared" si="3"/>
        <v>-131576.2129628087</v>
      </c>
      <c r="K53" s="19">
        <v>53022</v>
      </c>
      <c r="L53" s="14">
        <f t="shared" si="4"/>
        <v>23163.007162162161</v>
      </c>
      <c r="M53" s="19">
        <f t="shared" si="5"/>
        <v>29858.992837837839</v>
      </c>
      <c r="N53" s="4">
        <f t="shared" si="6"/>
        <v>-21441.545756857246</v>
      </c>
      <c r="O53" s="174">
        <f t="shared" si="7"/>
        <v>-153017.75871966593</v>
      </c>
      <c r="P53" s="347">
        <f>O53/'D) Ecrêtage'!C53</f>
        <v>-6.6061266418648561</v>
      </c>
      <c r="Q53" s="167"/>
    </row>
    <row r="54" spans="1:17" x14ac:dyDescent="0.25">
      <c r="A54" s="165">
        <f>'A) Base RI'!A56</f>
        <v>5485</v>
      </c>
      <c r="B54" s="42" t="str">
        <f>'A) Base RI'!B56</f>
        <v>Grancy</v>
      </c>
      <c r="C54" s="41">
        <f>'D) Ecrêtage'!M54</f>
        <v>17298.355857142858</v>
      </c>
      <c r="D54" s="41">
        <v>46576</v>
      </c>
      <c r="E54" s="14">
        <v>12040</v>
      </c>
      <c r="F54" s="52">
        <v>50465</v>
      </c>
      <c r="G54" s="52">
        <f t="shared" si="0"/>
        <v>109081</v>
      </c>
      <c r="H54" s="14">
        <f t="shared" si="1"/>
        <v>138386.84685714287</v>
      </c>
      <c r="I54" s="41">
        <f t="shared" si="2"/>
        <v>0</v>
      </c>
      <c r="J54" s="4">
        <f t="shared" si="3"/>
        <v>0</v>
      </c>
      <c r="K54" s="19">
        <v>89779</v>
      </c>
      <c r="L54" s="14">
        <f t="shared" si="4"/>
        <v>17298.355857142858</v>
      </c>
      <c r="M54" s="19">
        <f t="shared" si="5"/>
        <v>72480.644142857142</v>
      </c>
      <c r="N54" s="4">
        <f t="shared" si="6"/>
        <v>-52047.872355097636</v>
      </c>
      <c r="O54" s="174">
        <f t="shared" si="7"/>
        <v>-52047.872355097636</v>
      </c>
      <c r="P54" s="347">
        <f>O54/'D) Ecrêtage'!C54</f>
        <v>-3.0088334859642725</v>
      </c>
      <c r="Q54" s="167"/>
    </row>
    <row r="55" spans="1:17" x14ac:dyDescent="0.25">
      <c r="A55" s="165">
        <f>'A) Base RI'!A57</f>
        <v>5486</v>
      </c>
      <c r="B55" s="42" t="str">
        <f>'A) Base RI'!B57</f>
        <v>L'Isle</v>
      </c>
      <c r="C55" s="41">
        <f>'D) Ecrêtage'!M55</f>
        <v>27212.445657894736</v>
      </c>
      <c r="D55" s="41">
        <v>284300</v>
      </c>
      <c r="E55" s="14">
        <v>62314</v>
      </c>
      <c r="F55" s="52">
        <v>190600</v>
      </c>
      <c r="G55" s="52">
        <f t="shared" si="0"/>
        <v>537214</v>
      </c>
      <c r="H55" s="14">
        <f t="shared" si="1"/>
        <v>217699.56526315789</v>
      </c>
      <c r="I55" s="41">
        <f t="shared" si="2"/>
        <v>319514.43473684211</v>
      </c>
      <c r="J55" s="4">
        <f t="shared" si="3"/>
        <v>-229441.20753144822</v>
      </c>
      <c r="K55" s="19">
        <v>193131</v>
      </c>
      <c r="L55" s="14">
        <f t="shared" si="4"/>
        <v>27212.445657894736</v>
      </c>
      <c r="M55" s="19">
        <f t="shared" si="5"/>
        <v>165918.55434210526</v>
      </c>
      <c r="N55" s="4">
        <f t="shared" si="6"/>
        <v>-119145.01919601471</v>
      </c>
      <c r="O55" s="174">
        <f t="shared" si="7"/>
        <v>-348586.22672746296</v>
      </c>
      <c r="P55" s="347">
        <f>O55/'D) Ecrêtage'!C55</f>
        <v>-12.80980883195013</v>
      </c>
      <c r="Q55" s="167"/>
    </row>
    <row r="56" spans="1:17" x14ac:dyDescent="0.25">
      <c r="A56" s="165">
        <f>'A) Base RI'!A58</f>
        <v>5487</v>
      </c>
      <c r="B56" s="42" t="str">
        <f>'A) Base RI'!B58</f>
        <v>Lussery-Villars</v>
      </c>
      <c r="C56" s="41">
        <f>'D) Ecrêtage'!M56</f>
        <v>12274.32455882353</v>
      </c>
      <c r="D56" s="41">
        <v>85157</v>
      </c>
      <c r="E56" s="14">
        <v>26744</v>
      </c>
      <c r="F56" s="52">
        <v>47826</v>
      </c>
      <c r="G56" s="52">
        <f t="shared" si="0"/>
        <v>159727</v>
      </c>
      <c r="H56" s="14">
        <f t="shared" si="1"/>
        <v>98194.596470588236</v>
      </c>
      <c r="I56" s="41">
        <f t="shared" si="2"/>
        <v>61532.403529411764</v>
      </c>
      <c r="J56" s="4">
        <f t="shared" si="3"/>
        <v>-44186.013003539199</v>
      </c>
      <c r="K56" s="19">
        <v>2112</v>
      </c>
      <c r="L56" s="14">
        <f t="shared" si="4"/>
        <v>12274.32455882353</v>
      </c>
      <c r="M56" s="19">
        <f t="shared" si="5"/>
        <v>0</v>
      </c>
      <c r="N56" s="4">
        <f t="shared" si="6"/>
        <v>0</v>
      </c>
      <c r="O56" s="174">
        <f t="shared" si="7"/>
        <v>-44186.013003539199</v>
      </c>
      <c r="P56" s="347">
        <f>O56/'D) Ecrêtage'!C56</f>
        <v>-3.5998732795260504</v>
      </c>
      <c r="Q56" s="167"/>
    </row>
    <row r="57" spans="1:17" x14ac:dyDescent="0.25">
      <c r="A57" s="165">
        <f>'A) Base RI'!A59</f>
        <v>5488</v>
      </c>
      <c r="B57" s="42" t="str">
        <f>'A) Base RI'!B59</f>
        <v>Mauraz</v>
      </c>
      <c r="C57" s="41">
        <f>'D) Ecrêtage'!M57</f>
        <v>1417.5255405405405</v>
      </c>
      <c r="D57" s="41">
        <v>6394</v>
      </c>
      <c r="E57" s="14"/>
      <c r="F57" s="52">
        <v>11548</v>
      </c>
      <c r="G57" s="52">
        <f t="shared" si="0"/>
        <v>17942</v>
      </c>
      <c r="H57" s="14">
        <f t="shared" si="1"/>
        <v>11340.204324324324</v>
      </c>
      <c r="I57" s="41">
        <f t="shared" si="2"/>
        <v>6601.7956756756757</v>
      </c>
      <c r="J57" s="4">
        <f t="shared" si="3"/>
        <v>-4740.7059181863706</v>
      </c>
      <c r="K57" s="19"/>
      <c r="L57" s="14">
        <f t="shared" si="4"/>
        <v>1417.5255405405405</v>
      </c>
      <c r="M57" s="19">
        <f t="shared" si="5"/>
        <v>0</v>
      </c>
      <c r="N57" s="4">
        <f t="shared" si="6"/>
        <v>0</v>
      </c>
      <c r="O57" s="174">
        <f t="shared" si="7"/>
        <v>-4740.7059181863706</v>
      </c>
      <c r="P57" s="347">
        <f>O57/'D) Ecrêtage'!C57</f>
        <v>-3.3443530875490342</v>
      </c>
      <c r="Q57" s="167"/>
    </row>
    <row r="58" spans="1:17" x14ac:dyDescent="0.25">
      <c r="A58" s="165">
        <f>'A) Base RI'!A60</f>
        <v>5489</v>
      </c>
      <c r="B58" s="42" t="str">
        <f>'A) Base RI'!B60</f>
        <v>Mex</v>
      </c>
      <c r="C58" s="41">
        <f>'D) Ecrêtage'!M58</f>
        <v>37085.616091888587</v>
      </c>
      <c r="D58" s="41">
        <v>210530</v>
      </c>
      <c r="E58" s="14">
        <v>20209</v>
      </c>
      <c r="F58" s="52">
        <v>75555</v>
      </c>
      <c r="G58" s="52">
        <f t="shared" si="0"/>
        <v>306294</v>
      </c>
      <c r="H58" s="14">
        <f t="shared" si="1"/>
        <v>296684.9287351087</v>
      </c>
      <c r="I58" s="41">
        <f t="shared" si="2"/>
        <v>9609.0712648913031</v>
      </c>
      <c r="J58" s="4">
        <f t="shared" si="3"/>
        <v>-6900.2106777687404</v>
      </c>
      <c r="K58" s="19">
        <v>-3305</v>
      </c>
      <c r="L58" s="14">
        <f t="shared" si="4"/>
        <v>37085.616091888587</v>
      </c>
      <c r="M58" s="19">
        <f t="shared" si="5"/>
        <v>0</v>
      </c>
      <c r="N58" s="4">
        <f t="shared" si="6"/>
        <v>0</v>
      </c>
      <c r="O58" s="174">
        <f t="shared" si="7"/>
        <v>-6900.2106777687404</v>
      </c>
      <c r="P58" s="347">
        <f>O58/'D) Ecrêtage'!C58</f>
        <v>-0.18588285861102707</v>
      </c>
      <c r="Q58" s="167"/>
    </row>
    <row r="59" spans="1:17" x14ac:dyDescent="0.25">
      <c r="A59" s="165">
        <f>'A) Base RI'!A61</f>
        <v>5490</v>
      </c>
      <c r="B59" s="42" t="str">
        <f>'A) Base RI'!B61</f>
        <v>Moiry</v>
      </c>
      <c r="C59" s="41">
        <f>'D) Ecrêtage'!M59</f>
        <v>7321.727037037037</v>
      </c>
      <c r="D59" s="41">
        <v>18962</v>
      </c>
      <c r="E59" s="14">
        <v>8162</v>
      </c>
      <c r="F59" s="52">
        <v>56401</v>
      </c>
      <c r="G59" s="52">
        <f t="shared" si="0"/>
        <v>83525</v>
      </c>
      <c r="H59" s="14">
        <f t="shared" si="1"/>
        <v>58573.816296296296</v>
      </c>
      <c r="I59" s="41">
        <f t="shared" si="2"/>
        <v>24951.183703703704</v>
      </c>
      <c r="J59" s="4">
        <f t="shared" si="3"/>
        <v>-17917.280397775594</v>
      </c>
      <c r="K59" s="19">
        <v>2365</v>
      </c>
      <c r="L59" s="14">
        <f t="shared" si="4"/>
        <v>7321.727037037037</v>
      </c>
      <c r="M59" s="19">
        <f t="shared" si="5"/>
        <v>0</v>
      </c>
      <c r="N59" s="4">
        <f t="shared" si="6"/>
        <v>0</v>
      </c>
      <c r="O59" s="174">
        <f t="shared" si="7"/>
        <v>-17917.280397775594</v>
      </c>
      <c r="P59" s="347">
        <f>O59/'D) Ecrêtage'!C59</f>
        <v>-2.4471385380991171</v>
      </c>
      <c r="Q59" s="167"/>
    </row>
    <row r="60" spans="1:17" x14ac:dyDescent="0.25">
      <c r="A60" s="165">
        <f>'A) Base RI'!A62</f>
        <v>5491</v>
      </c>
      <c r="B60" s="42" t="str">
        <f>'A) Base RI'!B62</f>
        <v>Mont-la-Ville</v>
      </c>
      <c r="C60" s="41">
        <f>'D) Ecrêtage'!M60</f>
        <v>8599.6809210526335</v>
      </c>
      <c r="D60" s="41">
        <v>108251</v>
      </c>
      <c r="E60" s="14">
        <v>11544</v>
      </c>
      <c r="F60" s="52">
        <v>81368</v>
      </c>
      <c r="G60" s="52">
        <f t="shared" si="0"/>
        <v>201163</v>
      </c>
      <c r="H60" s="14">
        <f t="shared" si="1"/>
        <v>68797.447368421068</v>
      </c>
      <c r="I60" s="41">
        <f t="shared" si="2"/>
        <v>132365.55263157893</v>
      </c>
      <c r="J60" s="4">
        <f t="shared" si="3"/>
        <v>-95050.83003955771</v>
      </c>
      <c r="K60" s="19">
        <v>32204</v>
      </c>
      <c r="L60" s="14">
        <f t="shared" si="4"/>
        <v>8599.6809210526335</v>
      </c>
      <c r="M60" s="19">
        <f t="shared" si="5"/>
        <v>23604.319078947367</v>
      </c>
      <c r="N60" s="4">
        <f t="shared" si="6"/>
        <v>-16950.105796915996</v>
      </c>
      <c r="O60" s="174">
        <f t="shared" si="7"/>
        <v>-112000.93583647371</v>
      </c>
      <c r="P60" s="347">
        <f>O60/'D) Ecrêtage'!C60</f>
        <v>-13.023847845597087</v>
      </c>
      <c r="Q60" s="167"/>
    </row>
    <row r="61" spans="1:17" x14ac:dyDescent="0.25">
      <c r="A61" s="165">
        <f>'A) Base RI'!A63</f>
        <v>5492</v>
      </c>
      <c r="B61" s="42" t="str">
        <f>'A) Base RI'!B63</f>
        <v>Montricher</v>
      </c>
      <c r="C61" s="41">
        <f>'D) Ecrêtage'!M61</f>
        <v>137502.37981916324</v>
      </c>
      <c r="D61" s="41">
        <v>259625</v>
      </c>
      <c r="E61" s="14">
        <v>79685</v>
      </c>
      <c r="F61" s="52">
        <v>175729</v>
      </c>
      <c r="G61" s="52">
        <f t="shared" ref="G61:G115" si="8">D61+E61+F61</f>
        <v>515039</v>
      </c>
      <c r="H61" s="14">
        <f t="shared" si="1"/>
        <v>1100019.0385533059</v>
      </c>
      <c r="I61" s="41">
        <f t="shared" ref="I61:I115" si="9">IF(G61&gt;H61,G61-H61,0)</f>
        <v>0</v>
      </c>
      <c r="J61" s="4">
        <f t="shared" si="3"/>
        <v>0</v>
      </c>
      <c r="K61" s="19">
        <v>466122</v>
      </c>
      <c r="L61" s="14">
        <f t="shared" si="4"/>
        <v>137502.37981916324</v>
      </c>
      <c r="M61" s="19">
        <f t="shared" ref="M61:M115" si="10">IF(K61&gt;L61,K61-L61,0)</f>
        <v>328619.62018083676</v>
      </c>
      <c r="N61" s="4">
        <f t="shared" si="6"/>
        <v>-235979.58112570705</v>
      </c>
      <c r="O61" s="174">
        <f t="shared" ref="O61:O115" si="11">N61+J61</f>
        <v>-235979.58112570705</v>
      </c>
      <c r="P61" s="347">
        <f>O61/'D) Ecrêtage'!C61</f>
        <v>-1.2617488529247884</v>
      </c>
      <c r="Q61" s="167"/>
    </row>
    <row r="62" spans="1:17" x14ac:dyDescent="0.25">
      <c r="A62" s="165">
        <f>'A) Base RI'!A64</f>
        <v>5493</v>
      </c>
      <c r="B62" s="42" t="str">
        <f>'A) Base RI'!B64</f>
        <v>Orny</v>
      </c>
      <c r="C62" s="41">
        <f>'D) Ecrêtage'!M62</f>
        <v>10614.324773445733</v>
      </c>
      <c r="D62" s="41">
        <v>82651</v>
      </c>
      <c r="E62" s="14"/>
      <c r="F62" s="52">
        <v>76517</v>
      </c>
      <c r="G62" s="52">
        <f t="shared" si="8"/>
        <v>159168</v>
      </c>
      <c r="H62" s="14">
        <f t="shared" si="1"/>
        <v>84914.598187565862</v>
      </c>
      <c r="I62" s="41">
        <f t="shared" si="9"/>
        <v>74253.401812434138</v>
      </c>
      <c r="J62" s="4">
        <f t="shared" si="3"/>
        <v>-53320.87794153815</v>
      </c>
      <c r="K62" s="19">
        <v>9356</v>
      </c>
      <c r="L62" s="14">
        <f t="shared" si="4"/>
        <v>10614.324773445733</v>
      </c>
      <c r="M62" s="19">
        <f t="shared" si="10"/>
        <v>0</v>
      </c>
      <c r="N62" s="4">
        <f t="shared" si="6"/>
        <v>0</v>
      </c>
      <c r="O62" s="174">
        <f t="shared" si="11"/>
        <v>-53320.87794153815</v>
      </c>
      <c r="P62" s="347">
        <f>O62/'D) Ecrêtage'!C62</f>
        <v>-5.0234828008026522</v>
      </c>
      <c r="Q62" s="167"/>
    </row>
    <row r="63" spans="1:17" x14ac:dyDescent="0.25">
      <c r="A63" s="165">
        <f>'A) Base RI'!A65</f>
        <v>5494</v>
      </c>
      <c r="B63" s="42" t="str">
        <f>'A) Base RI'!B65</f>
        <v>Pampigny</v>
      </c>
      <c r="C63" s="41">
        <f>'D) Ecrêtage'!M63</f>
        <v>33982.091568253971</v>
      </c>
      <c r="D63" s="41">
        <f>400451-163401</f>
        <v>237050</v>
      </c>
      <c r="E63" s="14">
        <v>68521</v>
      </c>
      <c r="F63" s="52">
        <v>154429</v>
      </c>
      <c r="G63" s="52">
        <f t="shared" si="8"/>
        <v>460000</v>
      </c>
      <c r="H63" s="14">
        <f t="shared" si="1"/>
        <v>271856.73254603177</v>
      </c>
      <c r="I63" s="41">
        <f t="shared" si="9"/>
        <v>188143.26745396823</v>
      </c>
      <c r="J63" s="4">
        <f t="shared" si="3"/>
        <v>-135104.43905016215</v>
      </c>
      <c r="K63" s="19">
        <v>118596</v>
      </c>
      <c r="L63" s="14">
        <f t="shared" si="4"/>
        <v>33982.091568253971</v>
      </c>
      <c r="M63" s="19">
        <f t="shared" si="10"/>
        <v>84613.908431746037</v>
      </c>
      <c r="N63" s="4">
        <f t="shared" si="6"/>
        <v>-60760.689389588464</v>
      </c>
      <c r="O63" s="174">
        <f t="shared" si="11"/>
        <v>-195865.12843975061</v>
      </c>
      <c r="P63" s="347">
        <f>O63/'D) Ecrêtage'!C63</f>
        <v>-5.7637749591236922</v>
      </c>
      <c r="Q63" s="167"/>
    </row>
    <row r="64" spans="1:17" x14ac:dyDescent="0.25">
      <c r="A64" s="165">
        <f>'A) Base RI'!A66</f>
        <v>5495</v>
      </c>
      <c r="B64" s="42" t="str">
        <f>'A) Base RI'!B66</f>
        <v>Penthalaz</v>
      </c>
      <c r="C64" s="41">
        <f>'D) Ecrêtage'!M64</f>
        <v>96162.321351351362</v>
      </c>
      <c r="D64" s="41">
        <v>559365</v>
      </c>
      <c r="E64" s="14">
        <v>353916</v>
      </c>
      <c r="F64" s="52">
        <v>403701</v>
      </c>
      <c r="G64" s="52">
        <f t="shared" si="8"/>
        <v>1316982</v>
      </c>
      <c r="H64" s="14">
        <f t="shared" si="1"/>
        <v>769298.5708108109</v>
      </c>
      <c r="I64" s="41">
        <f t="shared" si="9"/>
        <v>547683.4291891891</v>
      </c>
      <c r="J64" s="4">
        <f t="shared" si="3"/>
        <v>-393287.85706232261</v>
      </c>
      <c r="K64" s="19">
        <v>108585</v>
      </c>
      <c r="L64" s="14">
        <f t="shared" si="4"/>
        <v>96162.321351351362</v>
      </c>
      <c r="M64" s="19">
        <f t="shared" si="10"/>
        <v>12422.678648648638</v>
      </c>
      <c r="N64" s="4">
        <f t="shared" si="6"/>
        <v>-8920.6435767717994</v>
      </c>
      <c r="O64" s="174">
        <f t="shared" si="11"/>
        <v>-402208.50063909439</v>
      </c>
      <c r="P64" s="347">
        <f>O64/'D) Ecrêtage'!C64</f>
        <v>-4.182599743713884</v>
      </c>
      <c r="Q64" s="167"/>
    </row>
    <row r="65" spans="1:17" x14ac:dyDescent="0.25">
      <c r="A65" s="165">
        <f>'A) Base RI'!A67</f>
        <v>5496</v>
      </c>
      <c r="B65" s="42" t="str">
        <f>'A) Base RI'!B67</f>
        <v>Penthaz</v>
      </c>
      <c r="C65" s="41">
        <f>'D) Ecrêtage'!M65</f>
        <v>55211.289014084505</v>
      </c>
      <c r="D65" s="41">
        <v>356603</v>
      </c>
      <c r="E65" s="14">
        <v>110251</v>
      </c>
      <c r="F65" s="52">
        <v>237237</v>
      </c>
      <c r="G65" s="52">
        <f t="shared" si="8"/>
        <v>704091</v>
      </c>
      <c r="H65" s="14">
        <f t="shared" si="1"/>
        <v>441690.31211267604</v>
      </c>
      <c r="I65" s="41">
        <f t="shared" si="9"/>
        <v>262400.68788732396</v>
      </c>
      <c r="J65" s="4">
        <f t="shared" si="3"/>
        <v>-188428.20273687053</v>
      </c>
      <c r="K65" s="19">
        <v>15045</v>
      </c>
      <c r="L65" s="14">
        <f t="shared" si="4"/>
        <v>55211.289014084505</v>
      </c>
      <c r="M65" s="19">
        <f t="shared" si="10"/>
        <v>0</v>
      </c>
      <c r="N65" s="4">
        <f t="shared" si="6"/>
        <v>0</v>
      </c>
      <c r="O65" s="174">
        <f t="shared" si="11"/>
        <v>-188428.20273687053</v>
      </c>
      <c r="P65" s="347">
        <f>O65/'D) Ecrêtage'!C65</f>
        <v>-3.4128564303000086</v>
      </c>
      <c r="Q65" s="167"/>
    </row>
    <row r="66" spans="1:17" x14ac:dyDescent="0.25">
      <c r="A66" s="165">
        <f>'A) Base RI'!A68</f>
        <v>5497</v>
      </c>
      <c r="B66" s="42" t="str">
        <f>'A) Base RI'!B68</f>
        <v>Pompaples</v>
      </c>
      <c r="C66" s="41">
        <f>'D) Ecrêtage'!M66</f>
        <v>22227.212272727276</v>
      </c>
      <c r="D66" s="41">
        <v>199968</v>
      </c>
      <c r="E66" s="14">
        <v>39055</v>
      </c>
      <c r="F66" s="52">
        <v>178809</v>
      </c>
      <c r="G66" s="52">
        <f t="shared" si="8"/>
        <v>417832</v>
      </c>
      <c r="H66" s="14">
        <f t="shared" si="1"/>
        <v>177817.69818181821</v>
      </c>
      <c r="I66" s="41">
        <f t="shared" si="9"/>
        <v>240014.30181818179</v>
      </c>
      <c r="J66" s="4">
        <f t="shared" si="3"/>
        <v>-172352.68659876686</v>
      </c>
      <c r="K66" s="19">
        <v>21595</v>
      </c>
      <c r="L66" s="14">
        <f t="shared" si="4"/>
        <v>22227.212272727276</v>
      </c>
      <c r="M66" s="19">
        <f t="shared" si="10"/>
        <v>0</v>
      </c>
      <c r="N66" s="4">
        <f t="shared" si="6"/>
        <v>0</v>
      </c>
      <c r="O66" s="174">
        <f t="shared" si="11"/>
        <v>-172352.68659876686</v>
      </c>
      <c r="P66" s="347">
        <f>O66/'D) Ecrêtage'!C66</f>
        <v>-7.7541296894997078</v>
      </c>
      <c r="Q66" s="167"/>
    </row>
    <row r="67" spans="1:17" x14ac:dyDescent="0.25">
      <c r="A67" s="165">
        <f>'A) Base RI'!A69</f>
        <v>5498</v>
      </c>
      <c r="B67" s="42" t="str">
        <f>'A) Base RI'!B69</f>
        <v>La Sarraz</v>
      </c>
      <c r="C67" s="41">
        <f>'D) Ecrêtage'!M67</f>
        <v>72104.13</v>
      </c>
      <c r="D67" s="41">
        <v>606426</v>
      </c>
      <c r="E67" s="14">
        <v>194731</v>
      </c>
      <c r="F67" s="52">
        <v>515123</v>
      </c>
      <c r="G67" s="52">
        <f t="shared" si="8"/>
        <v>1316280</v>
      </c>
      <c r="H67" s="14">
        <f t="shared" si="1"/>
        <v>576833.04</v>
      </c>
      <c r="I67" s="41">
        <f t="shared" si="9"/>
        <v>739446.96</v>
      </c>
      <c r="J67" s="4">
        <f t="shared" si="3"/>
        <v>-530991.98334370472</v>
      </c>
      <c r="K67" s="19">
        <v>41774</v>
      </c>
      <c r="L67" s="14">
        <f t="shared" si="4"/>
        <v>72104.13</v>
      </c>
      <c r="M67" s="19">
        <f t="shared" si="10"/>
        <v>0</v>
      </c>
      <c r="N67" s="4">
        <f t="shared" si="6"/>
        <v>0</v>
      </c>
      <c r="O67" s="174">
        <f t="shared" si="11"/>
        <v>-530991.98334370472</v>
      </c>
      <c r="P67" s="347">
        <f>O67/'D) Ecrêtage'!C67</f>
        <v>-7.3642381281586049</v>
      </c>
      <c r="Q67" s="167"/>
    </row>
    <row r="68" spans="1:17" x14ac:dyDescent="0.25">
      <c r="A68" s="165">
        <f>'A) Base RI'!A70</f>
        <v>5499</v>
      </c>
      <c r="B68" s="42" t="str">
        <f>'A) Base RI'!B70</f>
        <v>Senarclens</v>
      </c>
      <c r="C68" s="41">
        <f>'D) Ecrêtage'!M68</f>
        <v>21697.695620437953</v>
      </c>
      <c r="D68" s="41">
        <v>57708</v>
      </c>
      <c r="E68" s="14">
        <v>13664</v>
      </c>
      <c r="F68" s="52">
        <v>66115</v>
      </c>
      <c r="G68" s="52">
        <f t="shared" si="8"/>
        <v>137487</v>
      </c>
      <c r="H68" s="14">
        <f t="shared" si="1"/>
        <v>173581.56496350362</v>
      </c>
      <c r="I68" s="41">
        <f t="shared" si="9"/>
        <v>0</v>
      </c>
      <c r="J68" s="4">
        <f t="shared" si="3"/>
        <v>0</v>
      </c>
      <c r="K68" s="19">
        <v>5010</v>
      </c>
      <c r="L68" s="14">
        <f t="shared" si="4"/>
        <v>21697.695620437953</v>
      </c>
      <c r="M68" s="19">
        <f t="shared" si="10"/>
        <v>0</v>
      </c>
      <c r="N68" s="4">
        <f t="shared" si="6"/>
        <v>0</v>
      </c>
      <c r="O68" s="174">
        <f t="shared" si="11"/>
        <v>0</v>
      </c>
      <c r="P68" s="347">
        <f>O68/'D) Ecrêtage'!C68</f>
        <v>0</v>
      </c>
      <c r="Q68" s="167"/>
    </row>
    <row r="69" spans="1:17" x14ac:dyDescent="0.25">
      <c r="A69" s="165">
        <f>'A) Base RI'!A71</f>
        <v>5500</v>
      </c>
      <c r="B69" s="42" t="str">
        <f>'A) Base RI'!B71</f>
        <v>Sévery</v>
      </c>
      <c r="C69" s="41">
        <f>'D) Ecrêtage'!M69</f>
        <v>6767.1525657894736</v>
      </c>
      <c r="D69" s="41">
        <v>55343</v>
      </c>
      <c r="E69" s="14">
        <v>10380</v>
      </c>
      <c r="F69" s="52">
        <v>26604</v>
      </c>
      <c r="G69" s="52">
        <f t="shared" si="8"/>
        <v>92327</v>
      </c>
      <c r="H69" s="14">
        <f t="shared" si="1"/>
        <v>54137.220526315788</v>
      </c>
      <c r="I69" s="41">
        <f t="shared" si="9"/>
        <v>38189.779473684212</v>
      </c>
      <c r="J69" s="4">
        <f t="shared" si="3"/>
        <v>-27423.82867621808</v>
      </c>
      <c r="K69" s="19">
        <v>1561</v>
      </c>
      <c r="L69" s="14">
        <f t="shared" si="4"/>
        <v>6767.1525657894736</v>
      </c>
      <c r="M69" s="19">
        <f t="shared" si="10"/>
        <v>0</v>
      </c>
      <c r="N69" s="4">
        <f t="shared" si="6"/>
        <v>0</v>
      </c>
      <c r="O69" s="174">
        <f t="shared" si="11"/>
        <v>-27423.82867621808</v>
      </c>
      <c r="P69" s="347">
        <f>O69/'D) Ecrêtage'!C69</f>
        <v>-4.0524915626782159</v>
      </c>
      <c r="Q69" s="167"/>
    </row>
    <row r="70" spans="1:17" x14ac:dyDescent="0.25">
      <c r="A70" s="165">
        <f>'A) Base RI'!A72</f>
        <v>5501</v>
      </c>
      <c r="B70" s="42" t="str">
        <f>'A) Base RI'!B72</f>
        <v>Sullens</v>
      </c>
      <c r="C70" s="41">
        <f>'D) Ecrêtage'!M70</f>
        <v>35887.851857142865</v>
      </c>
      <c r="D70" s="41">
        <v>210192</v>
      </c>
      <c r="E70" s="14">
        <v>40809</v>
      </c>
      <c r="F70" s="52">
        <v>41477</v>
      </c>
      <c r="G70" s="52">
        <f t="shared" si="8"/>
        <v>292478</v>
      </c>
      <c r="H70" s="14">
        <f t="shared" ref="H70:H133" si="12">C70*I$4</f>
        <v>287102.81485714292</v>
      </c>
      <c r="I70" s="41">
        <f t="shared" si="9"/>
        <v>5375.1851428570808</v>
      </c>
      <c r="J70" s="4">
        <f t="shared" ref="J70:J133" si="13">-I70*J$4</f>
        <v>-3859.8849873495947</v>
      </c>
      <c r="K70" s="19">
        <v>46286</v>
      </c>
      <c r="L70" s="14">
        <f t="shared" ref="L70:L133" si="14">C70*M$4</f>
        <v>35887.851857142865</v>
      </c>
      <c r="M70" s="19">
        <f t="shared" si="10"/>
        <v>10398.148142857135</v>
      </c>
      <c r="N70" s="4">
        <f t="shared" ref="N70:N133" si="15">-M70*N$4</f>
        <v>-7466.8415777615346</v>
      </c>
      <c r="O70" s="174">
        <f t="shared" si="11"/>
        <v>-11326.72656511113</v>
      </c>
      <c r="P70" s="347">
        <f>O70/'D) Ecrêtage'!C70</f>
        <v>-0.31561450404440239</v>
      </c>
      <c r="Q70" s="167"/>
    </row>
    <row r="71" spans="1:17" x14ac:dyDescent="0.25">
      <c r="A71" s="165">
        <f>'A) Base RI'!A73</f>
        <v>5503</v>
      </c>
      <c r="B71" s="42" t="str">
        <f>'A) Base RI'!B73</f>
        <v>Vufflens-la-Ville</v>
      </c>
      <c r="C71" s="41">
        <f>'D) Ecrêtage'!M71</f>
        <v>61379.446318407958</v>
      </c>
      <c r="D71" s="41">
        <v>210234</v>
      </c>
      <c r="E71" s="14">
        <v>95116</v>
      </c>
      <c r="F71" s="52">
        <v>175923</v>
      </c>
      <c r="G71" s="52">
        <f t="shared" si="8"/>
        <v>481273</v>
      </c>
      <c r="H71" s="14">
        <f t="shared" si="12"/>
        <v>491035.57054726366</v>
      </c>
      <c r="I71" s="41">
        <f t="shared" si="9"/>
        <v>0</v>
      </c>
      <c r="J71" s="4">
        <f t="shared" si="13"/>
        <v>0</v>
      </c>
      <c r="K71" s="19">
        <v>48102</v>
      </c>
      <c r="L71" s="14">
        <f t="shared" si="14"/>
        <v>61379.446318407958</v>
      </c>
      <c r="M71" s="19">
        <f t="shared" si="10"/>
        <v>0</v>
      </c>
      <c r="N71" s="4">
        <f t="shared" si="15"/>
        <v>0</v>
      </c>
      <c r="O71" s="174">
        <f t="shared" si="11"/>
        <v>0</v>
      </c>
      <c r="P71" s="347">
        <f>O71/'D) Ecrêtage'!C71</f>
        <v>0</v>
      </c>
      <c r="Q71" s="167"/>
    </row>
    <row r="72" spans="1:17" x14ac:dyDescent="0.25">
      <c r="A72" s="165">
        <f>'A) Base RI'!A74</f>
        <v>5511</v>
      </c>
      <c r="B72" s="42" t="str">
        <f>'A) Base RI'!B74</f>
        <v>Assens</v>
      </c>
      <c r="C72" s="41">
        <f>'D) Ecrêtage'!M72</f>
        <v>41422.612571428566</v>
      </c>
      <c r="D72" s="41">
        <v>398337</v>
      </c>
      <c r="E72" s="14">
        <v>77215</v>
      </c>
      <c r="F72" s="52">
        <v>103270</v>
      </c>
      <c r="G72" s="52">
        <f t="shared" si="8"/>
        <v>578822</v>
      </c>
      <c r="H72" s="14">
        <f t="shared" si="12"/>
        <v>331380.90057142853</v>
      </c>
      <c r="I72" s="41">
        <f t="shared" si="9"/>
        <v>247441.09942857147</v>
      </c>
      <c r="J72" s="4">
        <f t="shared" si="13"/>
        <v>-177685.82096317498</v>
      </c>
      <c r="K72" s="19">
        <v>18465</v>
      </c>
      <c r="L72" s="14">
        <f t="shared" si="14"/>
        <v>41422.612571428566</v>
      </c>
      <c r="M72" s="19">
        <f t="shared" si="10"/>
        <v>0</v>
      </c>
      <c r="N72" s="4">
        <f t="shared" si="15"/>
        <v>0</v>
      </c>
      <c r="O72" s="174">
        <f t="shared" si="11"/>
        <v>-177685.82096317498</v>
      </c>
      <c r="P72" s="347">
        <f>O72/'D) Ecrêtage'!C72</f>
        <v>-4.2895850824661546</v>
      </c>
      <c r="Q72" s="167"/>
    </row>
    <row r="73" spans="1:17" x14ac:dyDescent="0.25">
      <c r="A73" s="165">
        <f>'A) Base RI'!A75</f>
        <v>5512</v>
      </c>
      <c r="B73" s="42" t="str">
        <f>'A) Base RI'!B75</f>
        <v>Bercher</v>
      </c>
      <c r="C73" s="41">
        <f>'D) Ecrêtage'!M73</f>
        <v>32079.191772151898</v>
      </c>
      <c r="D73" s="41">
        <v>273375</v>
      </c>
      <c r="E73" s="14">
        <v>86188</v>
      </c>
      <c r="F73" s="52">
        <v>115272</v>
      </c>
      <c r="G73" s="52">
        <f t="shared" si="8"/>
        <v>474835</v>
      </c>
      <c r="H73" s="14">
        <f t="shared" si="12"/>
        <v>256633.53417721519</v>
      </c>
      <c r="I73" s="41">
        <f t="shared" si="9"/>
        <v>218201.46582278481</v>
      </c>
      <c r="J73" s="4">
        <f t="shared" si="13"/>
        <v>-156689.03298452144</v>
      </c>
      <c r="K73" s="19">
        <v>29782</v>
      </c>
      <c r="L73" s="14">
        <f t="shared" si="14"/>
        <v>32079.191772151898</v>
      </c>
      <c r="M73" s="19">
        <f t="shared" si="10"/>
        <v>0</v>
      </c>
      <c r="N73" s="4">
        <f t="shared" si="15"/>
        <v>0</v>
      </c>
      <c r="O73" s="174">
        <f t="shared" si="11"/>
        <v>-156689.03298452144</v>
      </c>
      <c r="P73" s="347">
        <f>O73/'D) Ecrêtage'!C73</f>
        <v>-4.8844445364282514</v>
      </c>
      <c r="Q73" s="167"/>
    </row>
    <row r="74" spans="1:17" x14ac:dyDescent="0.25">
      <c r="A74" s="165">
        <f>'A) Base RI'!A76</f>
        <v>5513</v>
      </c>
      <c r="B74" s="42" t="str">
        <f>'A) Base RI'!B76</f>
        <v>Bioley-Orjulaz</v>
      </c>
      <c r="C74" s="41">
        <f>'D) Ecrêtage'!M74</f>
        <v>24024.471515151512</v>
      </c>
      <c r="D74" s="41">
        <v>167814</v>
      </c>
      <c r="E74" s="14">
        <v>13875</v>
      </c>
      <c r="F74" s="52">
        <v>46391</v>
      </c>
      <c r="G74" s="52">
        <f t="shared" si="8"/>
        <v>228080</v>
      </c>
      <c r="H74" s="14">
        <f t="shared" si="12"/>
        <v>192195.7721212121</v>
      </c>
      <c r="I74" s="41">
        <f t="shared" si="9"/>
        <v>35884.227878787904</v>
      </c>
      <c r="J74" s="4">
        <f t="shared" si="13"/>
        <v>-25768.227287208065</v>
      </c>
      <c r="K74" s="19">
        <v>-3242</v>
      </c>
      <c r="L74" s="14">
        <f t="shared" si="14"/>
        <v>24024.471515151512</v>
      </c>
      <c r="M74" s="19">
        <f t="shared" si="10"/>
        <v>0</v>
      </c>
      <c r="N74" s="4">
        <f t="shared" si="15"/>
        <v>0</v>
      </c>
      <c r="O74" s="174">
        <f t="shared" si="11"/>
        <v>-25768.227287208065</v>
      </c>
      <c r="P74" s="347">
        <f>O74/'D) Ecrêtage'!C74</f>
        <v>-1.072582482031158</v>
      </c>
      <c r="Q74" s="167"/>
    </row>
    <row r="75" spans="1:17" x14ac:dyDescent="0.25">
      <c r="A75" s="165">
        <f>'A) Base RI'!A77</f>
        <v>5514</v>
      </c>
      <c r="B75" s="42" t="str">
        <f>'A) Base RI'!B77</f>
        <v>Bottens</v>
      </c>
      <c r="C75" s="41">
        <f>'D) Ecrêtage'!M75</f>
        <v>38346.680434782604</v>
      </c>
      <c r="D75" s="41">
        <v>167212</v>
      </c>
      <c r="E75" s="14">
        <v>57956</v>
      </c>
      <c r="F75" s="52">
        <v>129188</v>
      </c>
      <c r="G75" s="52">
        <f t="shared" si="8"/>
        <v>354356</v>
      </c>
      <c r="H75" s="14">
        <f t="shared" si="12"/>
        <v>306773.44347826083</v>
      </c>
      <c r="I75" s="41">
        <f t="shared" si="9"/>
        <v>47582.55652173917</v>
      </c>
      <c r="J75" s="4">
        <f t="shared" si="13"/>
        <v>-34168.719903916048</v>
      </c>
      <c r="K75" s="19">
        <v>6854</v>
      </c>
      <c r="L75" s="14">
        <f t="shared" si="14"/>
        <v>38346.680434782604</v>
      </c>
      <c r="M75" s="19">
        <f t="shared" si="10"/>
        <v>0</v>
      </c>
      <c r="N75" s="4">
        <f t="shared" si="15"/>
        <v>0</v>
      </c>
      <c r="O75" s="174">
        <f t="shared" si="11"/>
        <v>-34168.719903916048</v>
      </c>
      <c r="P75" s="347">
        <f>O75/'D) Ecrêtage'!C75</f>
        <v>-0.89104766087974308</v>
      </c>
      <c r="Q75" s="167"/>
    </row>
    <row r="76" spans="1:17" x14ac:dyDescent="0.25">
      <c r="A76" s="165">
        <f>'A) Base RI'!A78</f>
        <v>5515</v>
      </c>
      <c r="B76" s="42" t="str">
        <f>'A) Base RI'!B78</f>
        <v>Bretigny-sur-Morrens</v>
      </c>
      <c r="C76" s="41">
        <f>'D) Ecrêtage'!M76</f>
        <v>24345.34643835617</v>
      </c>
      <c r="D76" s="41">
        <v>214771</v>
      </c>
      <c r="E76" s="14">
        <v>35516</v>
      </c>
      <c r="F76" s="52">
        <v>57546</v>
      </c>
      <c r="G76" s="52">
        <f t="shared" si="8"/>
        <v>307833</v>
      </c>
      <c r="H76" s="14">
        <f t="shared" si="12"/>
        <v>194762.77150684936</v>
      </c>
      <c r="I76" s="41">
        <f t="shared" si="9"/>
        <v>113070.22849315064</v>
      </c>
      <c r="J76" s="4">
        <f t="shared" si="13"/>
        <v>-81194.985080071099</v>
      </c>
      <c r="K76" s="19">
        <v>8835</v>
      </c>
      <c r="L76" s="14">
        <f t="shared" si="14"/>
        <v>24345.34643835617</v>
      </c>
      <c r="M76" s="19">
        <f t="shared" si="10"/>
        <v>0</v>
      </c>
      <c r="N76" s="4">
        <f t="shared" si="15"/>
        <v>0</v>
      </c>
      <c r="O76" s="174">
        <f t="shared" si="11"/>
        <v>-81194.985080071099</v>
      </c>
      <c r="P76" s="347">
        <f>O76/'D) Ecrêtage'!C76</f>
        <v>-3.3351336891287011</v>
      </c>
      <c r="Q76" s="167"/>
    </row>
    <row r="77" spans="1:17" x14ac:dyDescent="0.25">
      <c r="A77" s="165">
        <f>'A) Base RI'!A79</f>
        <v>5516</v>
      </c>
      <c r="B77" s="42" t="str">
        <f>'A) Base RI'!B79</f>
        <v>Cugy</v>
      </c>
      <c r="C77" s="41">
        <f>'D) Ecrêtage'!M77</f>
        <v>104935.17701492537</v>
      </c>
      <c r="D77" s="41">
        <v>826401</v>
      </c>
      <c r="E77" s="14">
        <v>123876</v>
      </c>
      <c r="F77" s="52">
        <v>205147</v>
      </c>
      <c r="G77" s="52">
        <f t="shared" si="8"/>
        <v>1155424</v>
      </c>
      <c r="H77" s="14">
        <f t="shared" si="12"/>
        <v>839481.41611940297</v>
      </c>
      <c r="I77" s="41">
        <f t="shared" si="9"/>
        <v>315942.58388059703</v>
      </c>
      <c r="J77" s="4">
        <f t="shared" si="13"/>
        <v>-226876.28499749734</v>
      </c>
      <c r="K77" s="19">
        <v>33919</v>
      </c>
      <c r="L77" s="14">
        <f t="shared" si="14"/>
        <v>104935.17701492537</v>
      </c>
      <c r="M77" s="19">
        <f t="shared" si="10"/>
        <v>0</v>
      </c>
      <c r="N77" s="4">
        <f t="shared" si="15"/>
        <v>0</v>
      </c>
      <c r="O77" s="174">
        <f t="shared" si="11"/>
        <v>-226876.28499749734</v>
      </c>
      <c r="P77" s="347">
        <f>O77/'D) Ecrêtage'!C77</f>
        <v>-2.1620612977593563</v>
      </c>
      <c r="Q77" s="167"/>
    </row>
    <row r="78" spans="1:17" x14ac:dyDescent="0.25">
      <c r="A78" s="165">
        <f>'A) Base RI'!A80</f>
        <v>5518</v>
      </c>
      <c r="B78" s="42" t="str">
        <f>'A) Base RI'!B80</f>
        <v>Echallens</v>
      </c>
      <c r="C78" s="41">
        <f>'D) Ecrêtage'!M78</f>
        <v>181423.1631081081</v>
      </c>
      <c r="D78" s="41">
        <v>1648631</v>
      </c>
      <c r="E78" s="14">
        <v>413596</v>
      </c>
      <c r="F78" s="52">
        <v>541205</v>
      </c>
      <c r="G78" s="52">
        <f t="shared" si="8"/>
        <v>2603432</v>
      </c>
      <c r="H78" s="14">
        <f t="shared" si="12"/>
        <v>1451385.3048648648</v>
      </c>
      <c r="I78" s="41">
        <f t="shared" si="9"/>
        <v>1152046.6951351352</v>
      </c>
      <c r="J78" s="4">
        <f t="shared" si="13"/>
        <v>-827277.13094440987</v>
      </c>
      <c r="K78" s="19">
        <v>77555</v>
      </c>
      <c r="L78" s="14">
        <f t="shared" si="14"/>
        <v>181423.1631081081</v>
      </c>
      <c r="M78" s="19">
        <f t="shared" si="10"/>
        <v>0</v>
      </c>
      <c r="N78" s="4">
        <f t="shared" si="15"/>
        <v>0</v>
      </c>
      <c r="O78" s="174">
        <f t="shared" si="11"/>
        <v>-827277.13094440987</v>
      </c>
      <c r="P78" s="347">
        <f>O78/'D) Ecrêtage'!C78</f>
        <v>-4.5599311398371132</v>
      </c>
      <c r="Q78" s="167"/>
    </row>
    <row r="79" spans="1:17" x14ac:dyDescent="0.25">
      <c r="A79" s="165">
        <f>'A) Base RI'!A81</f>
        <v>5520</v>
      </c>
      <c r="B79" s="42" t="str">
        <f>'A) Base RI'!B81</f>
        <v>Essertines-sur-Yverdon</v>
      </c>
      <c r="C79" s="41">
        <f>'D) Ecrêtage'!M79</f>
        <v>28021.579589041095</v>
      </c>
      <c r="D79" s="41">
        <v>198675</v>
      </c>
      <c r="E79" s="14">
        <v>27367</v>
      </c>
      <c r="F79" s="52">
        <v>91572</v>
      </c>
      <c r="G79" s="52">
        <f t="shared" si="8"/>
        <v>317614</v>
      </c>
      <c r="H79" s="14">
        <f t="shared" si="12"/>
        <v>224172.63671232876</v>
      </c>
      <c r="I79" s="41">
        <f t="shared" si="9"/>
        <v>93441.363287671236</v>
      </c>
      <c r="J79" s="4">
        <f t="shared" si="13"/>
        <v>-67099.626480931358</v>
      </c>
      <c r="K79" s="19">
        <v>97485</v>
      </c>
      <c r="L79" s="14">
        <f t="shared" si="14"/>
        <v>28021.579589041095</v>
      </c>
      <c r="M79" s="19">
        <f t="shared" si="10"/>
        <v>69463.420410958905</v>
      </c>
      <c r="N79" s="4">
        <f t="shared" si="15"/>
        <v>-49881.223899889519</v>
      </c>
      <c r="O79" s="174">
        <f t="shared" si="11"/>
        <v>-116980.85038082088</v>
      </c>
      <c r="P79" s="347">
        <f>O79/'D) Ecrêtage'!C79</f>
        <v>-4.1746700969909165</v>
      </c>
      <c r="Q79" s="167"/>
    </row>
    <row r="80" spans="1:17" x14ac:dyDescent="0.25">
      <c r="A80" s="165">
        <f>'A) Base RI'!A82</f>
        <v>5521</v>
      </c>
      <c r="B80" s="42" t="str">
        <f>'A) Base RI'!B82</f>
        <v>Etagnières</v>
      </c>
      <c r="C80" s="41">
        <f>'D) Ecrêtage'!M80</f>
        <v>40532.749863013705</v>
      </c>
      <c r="D80" s="41">
        <v>137576</v>
      </c>
      <c r="E80" s="14">
        <v>83398</v>
      </c>
      <c r="F80" s="52">
        <v>115574</v>
      </c>
      <c r="G80" s="52">
        <f t="shared" si="8"/>
        <v>336548</v>
      </c>
      <c r="H80" s="14">
        <f t="shared" si="12"/>
        <v>324261.99890410964</v>
      </c>
      <c r="I80" s="41">
        <f t="shared" si="9"/>
        <v>12286.001095890359</v>
      </c>
      <c r="J80" s="4">
        <f t="shared" si="13"/>
        <v>-8822.4963278904434</v>
      </c>
      <c r="K80" s="19">
        <v>24611</v>
      </c>
      <c r="L80" s="14">
        <f t="shared" si="14"/>
        <v>40532.749863013705</v>
      </c>
      <c r="M80" s="19">
        <f t="shared" si="10"/>
        <v>0</v>
      </c>
      <c r="N80" s="4">
        <f t="shared" si="15"/>
        <v>0</v>
      </c>
      <c r="O80" s="174">
        <f t="shared" si="11"/>
        <v>-8822.4963278904434</v>
      </c>
      <c r="P80" s="347">
        <f>O80/'D) Ecrêtage'!C80</f>
        <v>-0.21766340447434104</v>
      </c>
      <c r="Q80" s="167"/>
    </row>
    <row r="81" spans="1:17" x14ac:dyDescent="0.25">
      <c r="A81" s="165">
        <f>'A) Base RI'!A83</f>
        <v>5522</v>
      </c>
      <c r="B81" s="42" t="str">
        <f>'A) Base RI'!B83</f>
        <v>Fey</v>
      </c>
      <c r="C81" s="41">
        <f>'D) Ecrêtage'!M81</f>
        <v>18218.5124</v>
      </c>
      <c r="D81" s="41">
        <v>208442</v>
      </c>
      <c r="E81" s="14">
        <v>46751</v>
      </c>
      <c r="F81" s="52">
        <v>62527</v>
      </c>
      <c r="G81" s="52">
        <f t="shared" si="8"/>
        <v>317720</v>
      </c>
      <c r="H81" s="14">
        <f t="shared" si="12"/>
        <v>145748.0992</v>
      </c>
      <c r="I81" s="41">
        <f t="shared" si="9"/>
        <v>171971.9008</v>
      </c>
      <c r="J81" s="4">
        <f t="shared" si="13"/>
        <v>-123491.88734940345</v>
      </c>
      <c r="K81" s="19">
        <v>17752</v>
      </c>
      <c r="L81" s="14">
        <f t="shared" si="14"/>
        <v>18218.5124</v>
      </c>
      <c r="M81" s="19">
        <f t="shared" si="10"/>
        <v>0</v>
      </c>
      <c r="N81" s="4">
        <f t="shared" si="15"/>
        <v>0</v>
      </c>
      <c r="O81" s="174">
        <f t="shared" si="11"/>
        <v>-123491.88734940345</v>
      </c>
      <c r="P81" s="347">
        <f>O81/'D) Ecrêtage'!C81</f>
        <v>-6.7783738122001358</v>
      </c>
      <c r="Q81" s="167"/>
    </row>
    <row r="82" spans="1:17" x14ac:dyDescent="0.25">
      <c r="A82" s="165">
        <f>'A) Base RI'!A84</f>
        <v>5523</v>
      </c>
      <c r="B82" s="42" t="str">
        <f>'A) Base RI'!B84</f>
        <v>Froideville</v>
      </c>
      <c r="C82" s="41">
        <f>'D) Ecrêtage'!M82</f>
        <v>77819.657763157898</v>
      </c>
      <c r="D82" s="41">
        <v>602917</v>
      </c>
      <c r="E82" s="14">
        <v>104285</v>
      </c>
      <c r="F82" s="52">
        <v>188920</v>
      </c>
      <c r="G82" s="52">
        <f t="shared" si="8"/>
        <v>896122</v>
      </c>
      <c r="H82" s="14">
        <f t="shared" si="12"/>
        <v>622557.26210526319</v>
      </c>
      <c r="I82" s="41">
        <f t="shared" si="9"/>
        <v>273564.73789473681</v>
      </c>
      <c r="J82" s="4">
        <f t="shared" si="13"/>
        <v>-196445.0333903963</v>
      </c>
      <c r="K82" s="19">
        <v>24071</v>
      </c>
      <c r="L82" s="14">
        <f t="shared" si="14"/>
        <v>77819.657763157898</v>
      </c>
      <c r="M82" s="19">
        <f t="shared" si="10"/>
        <v>0</v>
      </c>
      <c r="N82" s="4">
        <f t="shared" si="15"/>
        <v>0</v>
      </c>
      <c r="O82" s="174">
        <f t="shared" si="11"/>
        <v>-196445.0333903963</v>
      </c>
      <c r="P82" s="347">
        <f>O82/'D) Ecrêtage'!C82</f>
        <v>-2.5243625972793615</v>
      </c>
      <c r="Q82" s="167"/>
    </row>
    <row r="83" spans="1:17" x14ac:dyDescent="0.25">
      <c r="A83" s="165">
        <f>'A) Base RI'!A85</f>
        <v>5527</v>
      </c>
      <c r="B83" s="42" t="str">
        <f>'A) Base RI'!B85</f>
        <v>Morrens</v>
      </c>
      <c r="C83" s="41">
        <f>'D) Ecrêtage'!M83</f>
        <v>36998.677183098589</v>
      </c>
      <c r="D83" s="41">
        <v>209018</v>
      </c>
      <c r="E83" s="14">
        <v>31610</v>
      </c>
      <c r="F83" s="52">
        <v>74064</v>
      </c>
      <c r="G83" s="52">
        <f t="shared" si="8"/>
        <v>314692</v>
      </c>
      <c r="H83" s="14">
        <f t="shared" si="12"/>
        <v>295989.41746478871</v>
      </c>
      <c r="I83" s="41">
        <f t="shared" si="9"/>
        <v>18702.582535211288</v>
      </c>
      <c r="J83" s="4">
        <f t="shared" si="13"/>
        <v>-13430.201124934201</v>
      </c>
      <c r="K83" s="19">
        <v>15246</v>
      </c>
      <c r="L83" s="14">
        <f t="shared" si="14"/>
        <v>36998.677183098589</v>
      </c>
      <c r="M83" s="19">
        <f t="shared" si="10"/>
        <v>0</v>
      </c>
      <c r="N83" s="4">
        <f t="shared" si="15"/>
        <v>0</v>
      </c>
      <c r="O83" s="174">
        <f t="shared" si="11"/>
        <v>-13430.201124934201</v>
      </c>
      <c r="P83" s="347">
        <f>O83/'D) Ecrêtage'!C83</f>
        <v>-0.36299138638041006</v>
      </c>
      <c r="Q83" s="167"/>
    </row>
    <row r="84" spans="1:17" x14ac:dyDescent="0.25">
      <c r="A84" s="165">
        <f>'A) Base RI'!A86</f>
        <v>5529</v>
      </c>
      <c r="B84" s="42" t="str">
        <f>'A) Base RI'!B86</f>
        <v>Oulens-sous-Echallens</v>
      </c>
      <c r="C84" s="41">
        <f>'D) Ecrêtage'!M84</f>
        <v>16830.940140845072</v>
      </c>
      <c r="D84" s="41">
        <v>228472</v>
      </c>
      <c r="E84" s="14">
        <v>15956</v>
      </c>
      <c r="F84" s="52">
        <v>53350</v>
      </c>
      <c r="G84" s="52">
        <f t="shared" si="8"/>
        <v>297778</v>
      </c>
      <c r="H84" s="14">
        <f t="shared" si="12"/>
        <v>134647.52112676058</v>
      </c>
      <c r="I84" s="41">
        <f t="shared" si="9"/>
        <v>163130.47887323942</v>
      </c>
      <c r="J84" s="4">
        <f t="shared" si="13"/>
        <v>-117142.9205966439</v>
      </c>
      <c r="K84" s="19">
        <v>25878</v>
      </c>
      <c r="L84" s="14">
        <f t="shared" si="14"/>
        <v>16830.940140845072</v>
      </c>
      <c r="M84" s="19">
        <f t="shared" si="10"/>
        <v>9047.0598591549278</v>
      </c>
      <c r="N84" s="4">
        <f t="shared" si="15"/>
        <v>-6496.6339952792459</v>
      </c>
      <c r="O84" s="174">
        <f t="shared" si="11"/>
        <v>-123639.55459192315</v>
      </c>
      <c r="P84" s="347">
        <f>O84/'D) Ecrêtage'!C84</f>
        <v>-7.3459684103965497</v>
      </c>
      <c r="Q84" s="167"/>
    </row>
    <row r="85" spans="1:17" x14ac:dyDescent="0.25">
      <c r="A85" s="165">
        <f>'A) Base RI'!A87</f>
        <v>5530</v>
      </c>
      <c r="B85" s="42" t="str">
        <f>'A) Base RI'!B87</f>
        <v>Pailly</v>
      </c>
      <c r="C85" s="41">
        <f>'D) Ecrêtage'!M85</f>
        <v>15988.116172043008</v>
      </c>
      <c r="D85" s="41">
        <v>445475</v>
      </c>
      <c r="E85" s="14">
        <v>23707</v>
      </c>
      <c r="F85" s="52">
        <v>52845</v>
      </c>
      <c r="G85" s="52">
        <f t="shared" si="8"/>
        <v>522027</v>
      </c>
      <c r="H85" s="14">
        <f t="shared" si="12"/>
        <v>127904.92937634407</v>
      </c>
      <c r="I85" s="41">
        <f t="shared" si="9"/>
        <v>394122.07062365592</v>
      </c>
      <c r="J85" s="4">
        <f t="shared" si="13"/>
        <v>-283016.45862467639</v>
      </c>
      <c r="K85" s="19">
        <v>36426</v>
      </c>
      <c r="L85" s="14">
        <f t="shared" si="14"/>
        <v>15988.116172043008</v>
      </c>
      <c r="M85" s="19">
        <f t="shared" si="10"/>
        <v>20437.88382795699</v>
      </c>
      <c r="N85" s="4">
        <f t="shared" si="15"/>
        <v>-14676.309534297241</v>
      </c>
      <c r="O85" s="174">
        <f t="shared" si="11"/>
        <v>-297692.76815897366</v>
      </c>
      <c r="P85" s="347">
        <f>O85/'D) Ecrêtage'!C85</f>
        <v>-18.619627538078717</v>
      </c>
      <c r="Q85" s="167"/>
    </row>
    <row r="86" spans="1:17" x14ac:dyDescent="0.25">
      <c r="A86" s="165">
        <f>'A) Base RI'!A88</f>
        <v>5531</v>
      </c>
      <c r="B86" s="42" t="str">
        <f>'A) Base RI'!B88</f>
        <v>Penthéréaz</v>
      </c>
      <c r="C86" s="41">
        <f>'D) Ecrêtage'!M86</f>
        <v>11628.696923076923</v>
      </c>
      <c r="D86" s="41">
        <v>90436</v>
      </c>
      <c r="E86" s="14">
        <v>11673</v>
      </c>
      <c r="F86" s="52">
        <v>39029</v>
      </c>
      <c r="G86" s="52">
        <f t="shared" si="8"/>
        <v>141138</v>
      </c>
      <c r="H86" s="14">
        <f t="shared" si="12"/>
        <v>93029.575384615382</v>
      </c>
      <c r="I86" s="41">
        <f t="shared" si="9"/>
        <v>48108.424615384618</v>
      </c>
      <c r="J86" s="4">
        <f t="shared" si="13"/>
        <v>-34546.342312454952</v>
      </c>
      <c r="K86" s="19">
        <v>26940</v>
      </c>
      <c r="L86" s="14">
        <f t="shared" si="14"/>
        <v>11628.696923076923</v>
      </c>
      <c r="M86" s="19">
        <f t="shared" si="10"/>
        <v>15311.303076923077</v>
      </c>
      <c r="N86" s="4">
        <f t="shared" si="15"/>
        <v>-10994.945720504353</v>
      </c>
      <c r="O86" s="174">
        <f t="shared" si="11"/>
        <v>-45541.288032959303</v>
      </c>
      <c r="P86" s="347">
        <f>O86/'D) Ecrêtage'!C86</f>
        <v>-3.9162847165260195</v>
      </c>
      <c r="Q86" s="167"/>
    </row>
    <row r="87" spans="1:17" x14ac:dyDescent="0.25">
      <c r="A87" s="165">
        <f>'A) Base RI'!A89</f>
        <v>5533</v>
      </c>
      <c r="B87" s="42" t="str">
        <f>'A) Base RI'!B89</f>
        <v>Poliez-Pittet</v>
      </c>
      <c r="C87" s="41">
        <f>'D) Ecrêtage'!M87</f>
        <v>21286.915727699528</v>
      </c>
      <c r="D87" s="41">
        <v>209104</v>
      </c>
      <c r="E87" s="14">
        <v>24190</v>
      </c>
      <c r="F87" s="52">
        <v>80882</v>
      </c>
      <c r="G87" s="52">
        <f t="shared" si="8"/>
        <v>314176</v>
      </c>
      <c r="H87" s="14">
        <f t="shared" si="12"/>
        <v>170295.32582159623</v>
      </c>
      <c r="I87" s="41">
        <f t="shared" si="9"/>
        <v>143880.67417840377</v>
      </c>
      <c r="J87" s="4">
        <f t="shared" si="13"/>
        <v>-103319.76284927857</v>
      </c>
      <c r="K87" s="19">
        <v>35698</v>
      </c>
      <c r="L87" s="14">
        <f t="shared" si="14"/>
        <v>21286.915727699528</v>
      </c>
      <c r="M87" s="19">
        <f t="shared" si="10"/>
        <v>14411.084272300472</v>
      </c>
      <c r="N87" s="4">
        <f t="shared" si="15"/>
        <v>-10348.504536257877</v>
      </c>
      <c r="O87" s="174">
        <f t="shared" si="11"/>
        <v>-113668.26738553646</v>
      </c>
      <c r="P87" s="347">
        <f>O87/'D) Ecrêtage'!C87</f>
        <v>-5.3398185457945884</v>
      </c>
      <c r="Q87" s="167"/>
    </row>
    <row r="88" spans="1:17" x14ac:dyDescent="0.25">
      <c r="A88" s="165">
        <f>'A) Base RI'!A90</f>
        <v>5534</v>
      </c>
      <c r="B88" s="42" t="str">
        <f>'A) Base RI'!B90</f>
        <v>Rueyres</v>
      </c>
      <c r="C88" s="41">
        <f>'D) Ecrêtage'!M88</f>
        <v>8123.1504109589041</v>
      </c>
      <c r="D88" s="41">
        <v>58795</v>
      </c>
      <c r="E88" s="14">
        <v>15745</v>
      </c>
      <c r="F88" s="52">
        <v>26322</v>
      </c>
      <c r="G88" s="52">
        <f t="shared" si="8"/>
        <v>100862</v>
      </c>
      <c r="H88" s="14">
        <f t="shared" si="12"/>
        <v>64985.203287671233</v>
      </c>
      <c r="I88" s="41">
        <f t="shared" si="9"/>
        <v>35876.796712328767</v>
      </c>
      <c r="J88" s="4">
        <f t="shared" si="13"/>
        <v>-25762.891015602196</v>
      </c>
      <c r="K88" s="19">
        <v>11915</v>
      </c>
      <c r="L88" s="14">
        <f t="shared" si="14"/>
        <v>8123.1504109589041</v>
      </c>
      <c r="M88" s="19">
        <f t="shared" si="10"/>
        <v>3791.8495890410959</v>
      </c>
      <c r="N88" s="4">
        <f t="shared" si="15"/>
        <v>-2722.9021724911049</v>
      </c>
      <c r="O88" s="174">
        <f t="shared" si="11"/>
        <v>-28485.793188093299</v>
      </c>
      <c r="P88" s="347">
        <f>O88/'D) Ecrêtage'!C88</f>
        <v>-3.5067420578182635</v>
      </c>
      <c r="Q88" s="167"/>
    </row>
    <row r="89" spans="1:17" x14ac:dyDescent="0.25">
      <c r="A89" s="165">
        <f>'A) Base RI'!A91</f>
        <v>5535</v>
      </c>
      <c r="B89" s="42" t="str">
        <f>'A) Base RI'!B91</f>
        <v>Saint-Barthélemy</v>
      </c>
      <c r="C89" s="41">
        <f>'D) Ecrêtage'!M89</f>
        <v>21652.779733333333</v>
      </c>
      <c r="D89" s="41">
        <v>142862</v>
      </c>
      <c r="E89" s="14">
        <v>23406</v>
      </c>
      <c r="F89" s="52">
        <v>78260</v>
      </c>
      <c r="G89" s="52">
        <f t="shared" si="8"/>
        <v>244528</v>
      </c>
      <c r="H89" s="14">
        <f t="shared" si="12"/>
        <v>173222.23786666666</v>
      </c>
      <c r="I89" s="41">
        <f t="shared" si="9"/>
        <v>71305.762133333337</v>
      </c>
      <c r="J89" s="4">
        <f t="shared" si="13"/>
        <v>-51204.197335550758</v>
      </c>
      <c r="K89" s="19">
        <v>-14962</v>
      </c>
      <c r="L89" s="14">
        <f t="shared" si="14"/>
        <v>21652.779733333333</v>
      </c>
      <c r="M89" s="19">
        <f t="shared" si="10"/>
        <v>0</v>
      </c>
      <c r="N89" s="4">
        <f t="shared" si="15"/>
        <v>0</v>
      </c>
      <c r="O89" s="174">
        <f t="shared" si="11"/>
        <v>-51204.197335550758</v>
      </c>
      <c r="P89" s="347">
        <f>O89/'D) Ecrêtage'!C89</f>
        <v>-2.364786321486684</v>
      </c>
      <c r="Q89" s="167"/>
    </row>
    <row r="90" spans="1:17" x14ac:dyDescent="0.25">
      <c r="A90" s="165">
        <f>'A) Base RI'!A92</f>
        <v>5537</v>
      </c>
      <c r="B90" s="42" t="str">
        <f>'A) Base RI'!B92</f>
        <v>Villars-le-Terroir</v>
      </c>
      <c r="C90" s="41">
        <f>'D) Ecrêtage'!M90</f>
        <v>28181.728767123288</v>
      </c>
      <c r="D90" s="41">
        <v>108718</v>
      </c>
      <c r="E90" s="14">
        <v>28473</v>
      </c>
      <c r="F90" s="52">
        <v>95202</v>
      </c>
      <c r="G90" s="52">
        <f t="shared" si="8"/>
        <v>232393</v>
      </c>
      <c r="H90" s="14">
        <f t="shared" si="12"/>
        <v>225453.8301369863</v>
      </c>
      <c r="I90" s="41">
        <f t="shared" si="9"/>
        <v>6939.1698630136962</v>
      </c>
      <c r="J90" s="4">
        <f t="shared" si="13"/>
        <v>-4982.9720962278434</v>
      </c>
      <c r="K90" s="19">
        <v>35776</v>
      </c>
      <c r="L90" s="14">
        <f t="shared" si="14"/>
        <v>28181.728767123288</v>
      </c>
      <c r="M90" s="19">
        <f t="shared" si="10"/>
        <v>7594.271232876712</v>
      </c>
      <c r="N90" s="4">
        <f t="shared" si="15"/>
        <v>-5453.3960677791511</v>
      </c>
      <c r="O90" s="174">
        <f t="shared" si="11"/>
        <v>-10436.368164006995</v>
      </c>
      <c r="P90" s="347">
        <f>O90/'D) Ecrêtage'!C90</f>
        <v>-0.37032391625960248</v>
      </c>
      <c r="Q90" s="167"/>
    </row>
    <row r="91" spans="1:17" x14ac:dyDescent="0.25">
      <c r="A91" s="165">
        <f>'A) Base RI'!A93</f>
        <v>5539</v>
      </c>
      <c r="B91" s="42" t="str">
        <f>'A) Base RI'!B93</f>
        <v>Vuarrens</v>
      </c>
      <c r="C91" s="41">
        <f>'D) Ecrêtage'!M91</f>
        <v>22756.172933333331</v>
      </c>
      <c r="D91" s="41">
        <v>136974</v>
      </c>
      <c r="E91" s="14">
        <v>28051</v>
      </c>
      <c r="F91" s="52">
        <v>93791</v>
      </c>
      <c r="G91" s="52">
        <f t="shared" si="8"/>
        <v>258816</v>
      </c>
      <c r="H91" s="14">
        <f t="shared" si="12"/>
        <v>182049.38346666665</v>
      </c>
      <c r="I91" s="41">
        <f t="shared" si="9"/>
        <v>76766.616533333348</v>
      </c>
      <c r="J91" s="4">
        <f t="shared" si="13"/>
        <v>-55125.600851236588</v>
      </c>
      <c r="K91" s="19">
        <v>78202</v>
      </c>
      <c r="L91" s="14">
        <f t="shared" si="14"/>
        <v>22756.172933333331</v>
      </c>
      <c r="M91" s="19">
        <f t="shared" si="10"/>
        <v>55445.827066666665</v>
      </c>
      <c r="N91" s="4">
        <f t="shared" si="15"/>
        <v>-39815.282602908257</v>
      </c>
      <c r="O91" s="174">
        <f t="shared" si="11"/>
        <v>-94940.883454144845</v>
      </c>
      <c r="P91" s="347">
        <f>O91/'D) Ecrêtage'!C91</f>
        <v>-4.1720935999337154</v>
      </c>
      <c r="Q91" s="167"/>
    </row>
    <row r="92" spans="1:17" x14ac:dyDescent="0.25">
      <c r="A92" s="165">
        <f>'A) Base RI'!A94</f>
        <v>5540</v>
      </c>
      <c r="B92" s="42" t="str">
        <f>'A) Base RI'!B94</f>
        <v>Montilliez</v>
      </c>
      <c r="C92" s="41">
        <f>'D) Ecrêtage'!M92</f>
        <v>47199.265101351346</v>
      </c>
      <c r="D92" s="41">
        <v>1603726</v>
      </c>
      <c r="E92" s="41">
        <v>123287</v>
      </c>
      <c r="F92" s="19">
        <v>164890</v>
      </c>
      <c r="G92" s="52">
        <f t="shared" si="8"/>
        <v>1891903</v>
      </c>
      <c r="H92" s="14">
        <f t="shared" si="12"/>
        <v>377594.12081081077</v>
      </c>
      <c r="I92" s="41">
        <f>IF(G92&gt;H92,G92-H92,0)</f>
        <v>1514308.8791891893</v>
      </c>
      <c r="J92" s="4">
        <f t="shared" si="13"/>
        <v>-1087415.2152247</v>
      </c>
      <c r="K92" s="19">
        <v>88180</v>
      </c>
      <c r="L92" s="14">
        <f t="shared" si="14"/>
        <v>47199.265101351346</v>
      </c>
      <c r="M92" s="19">
        <f>IF(K92&gt;L92,K92-L92,0)</f>
        <v>40980.734898648654</v>
      </c>
      <c r="N92" s="4">
        <f t="shared" si="15"/>
        <v>-29427.995353062273</v>
      </c>
      <c r="O92" s="174">
        <f>N92+J92</f>
        <v>-1116843.2105777622</v>
      </c>
      <c r="P92" s="347">
        <f>O92/'D) Ecrêtage'!C92</f>
        <v>-23.662300846836413</v>
      </c>
      <c r="Q92" s="167"/>
    </row>
    <row r="93" spans="1:17" x14ac:dyDescent="0.25">
      <c r="A93" s="165">
        <f>'A) Base RI'!A95</f>
        <v>5541</v>
      </c>
      <c r="B93" s="42" t="str">
        <f>'A) Base RI'!B95</f>
        <v>Goumoëns</v>
      </c>
      <c r="C93" s="41">
        <f>'D) Ecrêtage'!M93</f>
        <v>35607.690389610398</v>
      </c>
      <c r="D93" s="41">
        <v>203524</v>
      </c>
      <c r="E93" s="41">
        <v>29016</v>
      </c>
      <c r="F93" s="19">
        <v>97018</v>
      </c>
      <c r="G93" s="52">
        <f t="shared" si="8"/>
        <v>329558</v>
      </c>
      <c r="H93" s="14">
        <f t="shared" si="12"/>
        <v>284861.52311688318</v>
      </c>
      <c r="I93" s="41">
        <f>IF(G93&gt;H93,G93-H93,0)</f>
        <v>44696.476883116818</v>
      </c>
      <c r="J93" s="4">
        <f t="shared" si="13"/>
        <v>-32096.245156842957</v>
      </c>
      <c r="K93" s="19">
        <v>12319</v>
      </c>
      <c r="L93" s="14">
        <f t="shared" si="14"/>
        <v>35607.690389610398</v>
      </c>
      <c r="M93" s="19">
        <f>IF(K93&gt;L93,K93-L93,0)</f>
        <v>0</v>
      </c>
      <c r="N93" s="4">
        <f t="shared" si="15"/>
        <v>0</v>
      </c>
      <c r="O93" s="174">
        <f>N93+J93</f>
        <v>-32096.245156842957</v>
      </c>
      <c r="P93" s="347">
        <f>O93/'D) Ecrêtage'!C93</f>
        <v>-0.90138520093985064</v>
      </c>
      <c r="Q93" s="167"/>
    </row>
    <row r="94" spans="1:17" x14ac:dyDescent="0.25">
      <c r="A94" s="165">
        <f>'A) Base RI'!A96</f>
        <v>5551</v>
      </c>
      <c r="B94" s="42" t="str">
        <f>'A) Base RI'!B96</f>
        <v>Bonvillars</v>
      </c>
      <c r="C94" s="41">
        <f>'D) Ecrêtage'!M94</f>
        <v>15988.430935064936</v>
      </c>
      <c r="D94" s="41">
        <v>209184</v>
      </c>
      <c r="E94" s="14">
        <v>23238</v>
      </c>
      <c r="F94" s="52">
        <v>65440</v>
      </c>
      <c r="G94" s="52">
        <f t="shared" si="8"/>
        <v>297862</v>
      </c>
      <c r="H94" s="14">
        <f t="shared" si="12"/>
        <v>127907.44748051949</v>
      </c>
      <c r="I94" s="41">
        <f t="shared" si="9"/>
        <v>169954.55251948052</v>
      </c>
      <c r="J94" s="4">
        <f t="shared" si="13"/>
        <v>-122043.24285897502</v>
      </c>
      <c r="K94" s="19">
        <v>47032</v>
      </c>
      <c r="L94" s="14">
        <f t="shared" si="14"/>
        <v>15988.430935064936</v>
      </c>
      <c r="M94" s="19">
        <f t="shared" si="10"/>
        <v>31043.569064935065</v>
      </c>
      <c r="N94" s="4">
        <f t="shared" si="15"/>
        <v>-22292.182130084282</v>
      </c>
      <c r="O94" s="174">
        <f t="shared" si="11"/>
        <v>-144335.42498905931</v>
      </c>
      <c r="P94" s="347">
        <f>O94/'D) Ecrêtage'!C94</f>
        <v>-9.0274915390547097</v>
      </c>
      <c r="Q94" s="167"/>
    </row>
    <row r="95" spans="1:17" x14ac:dyDescent="0.25">
      <c r="A95" s="165">
        <f>'A) Base RI'!A97</f>
        <v>5552</v>
      </c>
      <c r="B95" s="42" t="str">
        <f>'A) Base RI'!B97</f>
        <v>Bullet</v>
      </c>
      <c r="C95" s="41">
        <f>'D) Ecrêtage'!M95</f>
        <v>15525.607571428574</v>
      </c>
      <c r="D95" s="41">
        <v>278485</v>
      </c>
      <c r="E95" s="14">
        <v>17963</v>
      </c>
      <c r="F95" s="52">
        <v>35421</v>
      </c>
      <c r="G95" s="52">
        <f t="shared" si="8"/>
        <v>331869</v>
      </c>
      <c r="H95" s="14">
        <f t="shared" si="12"/>
        <v>124204.86057142859</v>
      </c>
      <c r="I95" s="41">
        <f t="shared" si="9"/>
        <v>207664.13942857139</v>
      </c>
      <c r="J95" s="4">
        <f t="shared" si="13"/>
        <v>-149122.24842271412</v>
      </c>
      <c r="K95" s="19">
        <v>64043</v>
      </c>
      <c r="L95" s="14">
        <f t="shared" si="14"/>
        <v>15525.607571428574</v>
      </c>
      <c r="M95" s="19">
        <f t="shared" si="10"/>
        <v>48517.392428571424</v>
      </c>
      <c r="N95" s="4">
        <f t="shared" si="15"/>
        <v>-34840.019400866811</v>
      </c>
      <c r="O95" s="174">
        <f t="shared" si="11"/>
        <v>-183962.26782358094</v>
      </c>
      <c r="P95" s="347">
        <f>O95/'D) Ecrêtage'!C95</f>
        <v>-11.848957728528612</v>
      </c>
      <c r="Q95" s="167"/>
    </row>
    <row r="96" spans="1:17" x14ac:dyDescent="0.25">
      <c r="A96" s="165">
        <f>'A) Base RI'!A98</f>
        <v>5553</v>
      </c>
      <c r="B96" s="42" t="str">
        <f>'A) Base RI'!B98</f>
        <v>Champagne</v>
      </c>
      <c r="C96" s="41">
        <f>'D) Ecrêtage'!M96</f>
        <v>43429.608412698406</v>
      </c>
      <c r="D96" s="41">
        <v>465493</v>
      </c>
      <c r="E96" s="14">
        <v>45436</v>
      </c>
      <c r="F96" s="52">
        <v>135149</v>
      </c>
      <c r="G96" s="52">
        <f t="shared" si="8"/>
        <v>646078</v>
      </c>
      <c r="H96" s="14">
        <f t="shared" si="12"/>
        <v>347436.86730158725</v>
      </c>
      <c r="I96" s="41">
        <f t="shared" si="9"/>
        <v>298641.13269841275</v>
      </c>
      <c r="J96" s="4">
        <f t="shared" si="13"/>
        <v>-214452.22705295956</v>
      </c>
      <c r="K96" s="19">
        <v>33352</v>
      </c>
      <c r="L96" s="14">
        <f t="shared" si="14"/>
        <v>43429.608412698406</v>
      </c>
      <c r="M96" s="19">
        <f t="shared" si="10"/>
        <v>0</v>
      </c>
      <c r="N96" s="4">
        <f t="shared" si="15"/>
        <v>0</v>
      </c>
      <c r="O96" s="174">
        <f t="shared" si="11"/>
        <v>-214452.22705295956</v>
      </c>
      <c r="P96" s="347">
        <f>O96/'D) Ecrêtage'!C96</f>
        <v>-4.9379267944367591</v>
      </c>
      <c r="Q96" s="167"/>
    </row>
    <row r="97" spans="1:17" x14ac:dyDescent="0.25">
      <c r="A97" s="165">
        <f>'A) Base RI'!A99</f>
        <v>5554</v>
      </c>
      <c r="B97" s="42" t="str">
        <f>'A) Base RI'!B99</f>
        <v>Concise</v>
      </c>
      <c r="C97" s="41">
        <f>'D) Ecrêtage'!M97</f>
        <v>29691.100933333331</v>
      </c>
      <c r="D97" s="41">
        <v>216329</v>
      </c>
      <c r="E97" s="14">
        <v>56181</v>
      </c>
      <c r="F97" s="52">
        <v>113971</v>
      </c>
      <c r="G97" s="52">
        <f t="shared" si="8"/>
        <v>386481</v>
      </c>
      <c r="H97" s="14">
        <f t="shared" si="12"/>
        <v>237528.80746666665</v>
      </c>
      <c r="I97" s="41">
        <f t="shared" si="9"/>
        <v>148952.19253333335</v>
      </c>
      <c r="J97" s="4">
        <f t="shared" si="13"/>
        <v>-106961.58671971285</v>
      </c>
      <c r="K97" s="19">
        <v>18943</v>
      </c>
      <c r="L97" s="14">
        <f t="shared" si="14"/>
        <v>29691.100933333331</v>
      </c>
      <c r="M97" s="19">
        <f t="shared" si="10"/>
        <v>0</v>
      </c>
      <c r="N97" s="4">
        <f t="shared" si="15"/>
        <v>0</v>
      </c>
      <c r="O97" s="174">
        <f t="shared" si="11"/>
        <v>-106961.58671971285</v>
      </c>
      <c r="P97" s="347">
        <f>O97/'D) Ecrêtage'!C97</f>
        <v>-3.6024796439808067</v>
      </c>
      <c r="Q97" s="167"/>
    </row>
    <row r="98" spans="1:17" x14ac:dyDescent="0.25">
      <c r="A98" s="165">
        <f>'A) Base RI'!A100</f>
        <v>5555</v>
      </c>
      <c r="B98" s="42" t="str">
        <f>'A) Base RI'!B100</f>
        <v>Corcelles-près-Concise</v>
      </c>
      <c r="C98" s="41">
        <f>'D) Ecrêtage'!M98</f>
        <v>9762.6867605633779</v>
      </c>
      <c r="D98" s="41">
        <v>163404</v>
      </c>
      <c r="E98" s="14">
        <v>14965</v>
      </c>
      <c r="F98" s="52">
        <v>39011</v>
      </c>
      <c r="G98" s="52">
        <f t="shared" si="8"/>
        <v>217380</v>
      </c>
      <c r="H98" s="14">
        <f t="shared" si="12"/>
        <v>78101.494084507023</v>
      </c>
      <c r="I98" s="41">
        <f t="shared" si="9"/>
        <v>139278.50591549298</v>
      </c>
      <c r="J98" s="4">
        <f t="shared" si="13"/>
        <v>-100014.97618330263</v>
      </c>
      <c r="K98" s="19">
        <v>23304</v>
      </c>
      <c r="L98" s="14">
        <f t="shared" si="14"/>
        <v>9762.6867605633779</v>
      </c>
      <c r="M98" s="19">
        <f t="shared" si="10"/>
        <v>13541.313239436622</v>
      </c>
      <c r="N98" s="4">
        <f t="shared" si="15"/>
        <v>-9723.9276960267962</v>
      </c>
      <c r="O98" s="174">
        <f t="shared" si="11"/>
        <v>-109738.90387932942</v>
      </c>
      <c r="P98" s="347">
        <f>O98/'D) Ecrêtage'!C98</f>
        <v>-11.240645794621058</v>
      </c>
      <c r="Q98" s="167"/>
    </row>
    <row r="99" spans="1:17" x14ac:dyDescent="0.25">
      <c r="A99" s="165">
        <f>'A) Base RI'!A101</f>
        <v>5556</v>
      </c>
      <c r="B99" s="42" t="str">
        <f>'A) Base RI'!B101</f>
        <v>Fiez</v>
      </c>
      <c r="C99" s="41">
        <f>'D) Ecrêtage'!M99</f>
        <v>10799.932053140095</v>
      </c>
      <c r="D99" s="41">
        <v>74252</v>
      </c>
      <c r="E99" s="14">
        <v>12388</v>
      </c>
      <c r="F99" s="52">
        <v>68286</v>
      </c>
      <c r="G99" s="52">
        <f t="shared" si="8"/>
        <v>154926</v>
      </c>
      <c r="H99" s="14">
        <f t="shared" si="12"/>
        <v>86399.456425120763</v>
      </c>
      <c r="I99" s="41">
        <f t="shared" si="9"/>
        <v>68526.543574879237</v>
      </c>
      <c r="J99" s="4">
        <f t="shared" si="13"/>
        <v>-49208.458825111586</v>
      </c>
      <c r="K99" s="19">
        <v>24711</v>
      </c>
      <c r="L99" s="14">
        <f t="shared" si="14"/>
        <v>10799.932053140095</v>
      </c>
      <c r="M99" s="19">
        <f t="shared" si="10"/>
        <v>13911.067946859905</v>
      </c>
      <c r="N99" s="4">
        <f t="shared" si="15"/>
        <v>-9989.4461119052794</v>
      </c>
      <c r="O99" s="174">
        <f t="shared" si="11"/>
        <v>-59197.904937016865</v>
      </c>
      <c r="P99" s="347">
        <f>O99/'D) Ecrêtage'!C99</f>
        <v>-5.4813219792253225</v>
      </c>
      <c r="Q99" s="167"/>
    </row>
    <row r="100" spans="1:17" x14ac:dyDescent="0.25">
      <c r="A100" s="165">
        <f>'A) Base RI'!A102</f>
        <v>5557</v>
      </c>
      <c r="B100" s="42" t="str">
        <f>'A) Base RI'!B102</f>
        <v>Fontaines-sur-Grandson</v>
      </c>
      <c r="C100" s="41">
        <f>'D) Ecrêtage'!M100</f>
        <v>4200.6523188405799</v>
      </c>
      <c r="D100" s="41">
        <v>21081</v>
      </c>
      <c r="E100" s="14">
        <v>5516</v>
      </c>
      <c r="F100" s="52">
        <v>27741</v>
      </c>
      <c r="G100" s="52">
        <f t="shared" si="8"/>
        <v>54338</v>
      </c>
      <c r="H100" s="14">
        <f t="shared" si="12"/>
        <v>33605.218550724639</v>
      </c>
      <c r="I100" s="41">
        <f t="shared" si="9"/>
        <v>20732.781449275361</v>
      </c>
      <c r="J100" s="4">
        <f t="shared" si="13"/>
        <v>-14888.073570526671</v>
      </c>
      <c r="K100" s="19">
        <v>19330</v>
      </c>
      <c r="L100" s="14">
        <f t="shared" si="14"/>
        <v>4200.6523188405799</v>
      </c>
      <c r="M100" s="19">
        <f t="shared" si="10"/>
        <v>15129.347681159419</v>
      </c>
      <c r="N100" s="4">
        <f t="shared" si="15"/>
        <v>-10864.284751289422</v>
      </c>
      <c r="O100" s="174">
        <f t="shared" si="11"/>
        <v>-25752.358321816093</v>
      </c>
      <c r="P100" s="347">
        <f>O100/'D) Ecrêtage'!C100</f>
        <v>-6.1305617240238508</v>
      </c>
      <c r="Q100" s="167"/>
    </row>
    <row r="101" spans="1:17" x14ac:dyDescent="0.25">
      <c r="A101" s="165">
        <f>'A) Base RI'!A103</f>
        <v>5559</v>
      </c>
      <c r="B101" s="42" t="str">
        <f>'A) Base RI'!B103</f>
        <v>Giez</v>
      </c>
      <c r="C101" s="41">
        <f>'D) Ecrêtage'!M101</f>
        <v>17998.483636363639</v>
      </c>
      <c r="D101" s="41">
        <v>80054</v>
      </c>
      <c r="E101" s="14">
        <v>11574</v>
      </c>
      <c r="F101" s="52">
        <v>50503</v>
      </c>
      <c r="G101" s="52">
        <f t="shared" si="8"/>
        <v>142131</v>
      </c>
      <c r="H101" s="14">
        <f t="shared" si="12"/>
        <v>143987.86909090911</v>
      </c>
      <c r="I101" s="41">
        <f t="shared" si="9"/>
        <v>0</v>
      </c>
      <c r="J101" s="4">
        <f t="shared" si="13"/>
        <v>0</v>
      </c>
      <c r="K101" s="19">
        <v>10261</v>
      </c>
      <c r="L101" s="14">
        <f t="shared" si="14"/>
        <v>17998.483636363639</v>
      </c>
      <c r="M101" s="19">
        <f t="shared" si="10"/>
        <v>0</v>
      </c>
      <c r="N101" s="4">
        <f t="shared" si="15"/>
        <v>0</v>
      </c>
      <c r="O101" s="174">
        <f t="shared" si="11"/>
        <v>0</v>
      </c>
      <c r="P101" s="347">
        <f>O101/'D) Ecrêtage'!C101</f>
        <v>0</v>
      </c>
      <c r="Q101" s="167"/>
    </row>
    <row r="102" spans="1:17" x14ac:dyDescent="0.25">
      <c r="A102" s="165">
        <f>'A) Base RI'!A104</f>
        <v>5560</v>
      </c>
      <c r="B102" s="42" t="str">
        <f>'A) Base RI'!B104</f>
        <v>Grandevent</v>
      </c>
      <c r="C102" s="41">
        <f>'D) Ecrêtage'!M102</f>
        <v>6396.1444117647052</v>
      </c>
      <c r="D102" s="41">
        <v>22448</v>
      </c>
      <c r="E102" s="14">
        <v>6811</v>
      </c>
      <c r="F102" s="52">
        <v>31297</v>
      </c>
      <c r="G102" s="52">
        <f t="shared" si="8"/>
        <v>60556</v>
      </c>
      <c r="H102" s="14">
        <f t="shared" si="12"/>
        <v>51169.155294117641</v>
      </c>
      <c r="I102" s="41">
        <f t="shared" si="9"/>
        <v>9386.8447058823585</v>
      </c>
      <c r="J102" s="4">
        <f t="shared" si="13"/>
        <v>-6740.6312519235025</v>
      </c>
      <c r="K102" s="19">
        <v>15089</v>
      </c>
      <c r="L102" s="14">
        <f t="shared" si="14"/>
        <v>6396.1444117647052</v>
      </c>
      <c r="M102" s="19">
        <f t="shared" si="10"/>
        <v>8692.8555882352957</v>
      </c>
      <c r="N102" s="4">
        <f t="shared" si="15"/>
        <v>-6242.2822452572755</v>
      </c>
      <c r="O102" s="174">
        <f t="shared" si="11"/>
        <v>-12982.913497180778</v>
      </c>
      <c r="P102" s="347">
        <f>O102/'D) Ecrêtage'!C102</f>
        <v>-2.0298030596840095</v>
      </c>
      <c r="Q102" s="167"/>
    </row>
    <row r="103" spans="1:17" x14ac:dyDescent="0.25">
      <c r="A103" s="165">
        <f>'A) Base RI'!A105</f>
        <v>5561</v>
      </c>
      <c r="B103" s="42" t="str">
        <f>'A) Base RI'!B105</f>
        <v>Grandson</v>
      </c>
      <c r="C103" s="41">
        <f>'D) Ecrêtage'!M103</f>
        <v>106507.86840579711</v>
      </c>
      <c r="D103" s="41">
        <v>1128426</v>
      </c>
      <c r="E103" s="14">
        <v>195549</v>
      </c>
      <c r="F103" s="52">
        <v>552092</v>
      </c>
      <c r="G103" s="52">
        <f t="shared" si="8"/>
        <v>1876067</v>
      </c>
      <c r="H103" s="14">
        <f t="shared" si="12"/>
        <v>852062.94724637689</v>
      </c>
      <c r="I103" s="41">
        <f t="shared" si="9"/>
        <v>1024004.0527536231</v>
      </c>
      <c r="J103" s="4">
        <f t="shared" si="13"/>
        <v>-735330.55423425906</v>
      </c>
      <c r="K103" s="19">
        <v>74856</v>
      </c>
      <c r="L103" s="14">
        <f t="shared" si="14"/>
        <v>106507.86840579711</v>
      </c>
      <c r="M103" s="19">
        <f t="shared" si="10"/>
        <v>0</v>
      </c>
      <c r="N103" s="4">
        <f t="shared" si="15"/>
        <v>0</v>
      </c>
      <c r="O103" s="174">
        <f t="shared" si="11"/>
        <v>-735330.55423425906</v>
      </c>
      <c r="P103" s="347">
        <f>O103/'D) Ecrêtage'!C103</f>
        <v>-6.9040021666064604</v>
      </c>
      <c r="Q103" s="167"/>
    </row>
    <row r="104" spans="1:17" x14ac:dyDescent="0.25">
      <c r="A104" s="165">
        <f>'A) Base RI'!A106</f>
        <v>5562</v>
      </c>
      <c r="B104" s="42" t="str">
        <f>'A) Base RI'!B106</f>
        <v>Mauborget</v>
      </c>
      <c r="C104" s="41">
        <f>'D) Ecrêtage'!M104</f>
        <v>3916.9319285714282</v>
      </c>
      <c r="D104" s="41">
        <v>43228</v>
      </c>
      <c r="E104" s="14">
        <v>3315</v>
      </c>
      <c r="F104" s="52">
        <v>5276</v>
      </c>
      <c r="G104" s="52">
        <f t="shared" si="8"/>
        <v>51819</v>
      </c>
      <c r="H104" s="14">
        <f t="shared" si="12"/>
        <v>31335.455428571426</v>
      </c>
      <c r="I104" s="41">
        <f t="shared" si="9"/>
        <v>20483.544571428574</v>
      </c>
      <c r="J104" s="4">
        <f t="shared" si="13"/>
        <v>-14709.098212929342</v>
      </c>
      <c r="K104" s="19">
        <v>-101</v>
      </c>
      <c r="L104" s="14">
        <f t="shared" si="14"/>
        <v>3916.9319285714282</v>
      </c>
      <c r="M104" s="19">
        <f t="shared" si="10"/>
        <v>0</v>
      </c>
      <c r="N104" s="4">
        <f t="shared" si="15"/>
        <v>0</v>
      </c>
      <c r="O104" s="174">
        <f t="shared" si="11"/>
        <v>-14709.098212929342</v>
      </c>
      <c r="P104" s="347">
        <f>O104/'D) Ecrêtage'!C104</f>
        <v>-3.7552601069311922</v>
      </c>
      <c r="Q104" s="167"/>
    </row>
    <row r="105" spans="1:17" x14ac:dyDescent="0.25">
      <c r="A105" s="165">
        <f>'A) Base RI'!A107</f>
        <v>5563</v>
      </c>
      <c r="B105" s="42" t="str">
        <f>'A) Base RI'!B107</f>
        <v>Mutrux</v>
      </c>
      <c r="C105" s="41">
        <f>'D) Ecrêtage'!M105</f>
        <v>4102.2142675159239</v>
      </c>
      <c r="D105" s="41">
        <v>36016</v>
      </c>
      <c r="E105" s="14">
        <v>4490</v>
      </c>
      <c r="F105" s="52">
        <v>19917</v>
      </c>
      <c r="G105" s="52">
        <f t="shared" si="8"/>
        <v>60423</v>
      </c>
      <c r="H105" s="14">
        <f t="shared" si="12"/>
        <v>32817.714140127391</v>
      </c>
      <c r="I105" s="41">
        <f t="shared" si="9"/>
        <v>27605.285859872609</v>
      </c>
      <c r="J105" s="4">
        <f t="shared" si="13"/>
        <v>-19823.173645211395</v>
      </c>
      <c r="K105" s="19">
        <v>3158</v>
      </c>
      <c r="L105" s="14">
        <f t="shared" si="14"/>
        <v>4102.2142675159239</v>
      </c>
      <c r="M105" s="19">
        <f t="shared" si="10"/>
        <v>0</v>
      </c>
      <c r="N105" s="4">
        <f t="shared" si="15"/>
        <v>0</v>
      </c>
      <c r="O105" s="174">
        <f t="shared" si="11"/>
        <v>-19823.173645211395</v>
      </c>
      <c r="P105" s="347">
        <f>O105/'D) Ecrêtage'!C105</f>
        <v>-4.8323106382288561</v>
      </c>
      <c r="Q105" s="167"/>
    </row>
    <row r="106" spans="1:17" x14ac:dyDescent="0.25">
      <c r="A106" s="165">
        <f>'A) Base RI'!A108</f>
        <v>5564</v>
      </c>
      <c r="B106" s="42" t="str">
        <f>'A) Base RI'!B108</f>
        <v>Novalles</v>
      </c>
      <c r="C106" s="41">
        <f>'D) Ecrêtage'!M106</f>
        <v>2120.1975328947365</v>
      </c>
      <c r="D106" s="41">
        <v>8097</v>
      </c>
      <c r="E106" s="14">
        <v>3075</v>
      </c>
      <c r="F106" s="52">
        <v>12092</v>
      </c>
      <c r="G106" s="52">
        <f t="shared" si="8"/>
        <v>23264</v>
      </c>
      <c r="H106" s="14">
        <f t="shared" si="12"/>
        <v>16961.580263157892</v>
      </c>
      <c r="I106" s="41">
        <f t="shared" si="9"/>
        <v>6302.4197368421083</v>
      </c>
      <c r="J106" s="4">
        <f t="shared" si="13"/>
        <v>-4525.72603169577</v>
      </c>
      <c r="K106" s="19">
        <v>5203</v>
      </c>
      <c r="L106" s="14">
        <f t="shared" si="14"/>
        <v>2120.1975328947365</v>
      </c>
      <c r="M106" s="19">
        <f t="shared" si="10"/>
        <v>3082.8024671052635</v>
      </c>
      <c r="N106" s="4">
        <f t="shared" si="15"/>
        <v>-2213.7401122929627</v>
      </c>
      <c r="O106" s="174">
        <f t="shared" si="11"/>
        <v>-6739.4661439887332</v>
      </c>
      <c r="P106" s="347">
        <f>O106/'D) Ecrêtage'!C106</f>
        <v>-3.1786972861850482</v>
      </c>
      <c r="Q106" s="167"/>
    </row>
    <row r="107" spans="1:17" x14ac:dyDescent="0.25">
      <c r="A107" s="165">
        <f>'A) Base RI'!A109</f>
        <v>5565</v>
      </c>
      <c r="B107" s="42" t="str">
        <f>'A) Base RI'!B109</f>
        <v>Onnens</v>
      </c>
      <c r="C107" s="41">
        <f>'D) Ecrêtage'!M107</f>
        <v>19222.665538461537</v>
      </c>
      <c r="D107" s="41">
        <v>87786</v>
      </c>
      <c r="E107" s="14">
        <v>22605</v>
      </c>
      <c r="F107" s="52">
        <v>78955</v>
      </c>
      <c r="G107" s="52">
        <f t="shared" si="8"/>
        <v>189346</v>
      </c>
      <c r="H107" s="14">
        <f t="shared" si="12"/>
        <v>153781.3243076923</v>
      </c>
      <c r="I107" s="41">
        <f t="shared" si="9"/>
        <v>35564.675692307705</v>
      </c>
      <c r="J107" s="4">
        <f t="shared" si="13"/>
        <v>-25538.758970398787</v>
      </c>
      <c r="K107" s="19">
        <v>26350</v>
      </c>
      <c r="L107" s="14">
        <f t="shared" si="14"/>
        <v>19222.665538461537</v>
      </c>
      <c r="M107" s="19">
        <f t="shared" si="10"/>
        <v>7127.3344615384631</v>
      </c>
      <c r="N107" s="4">
        <f t="shared" si="15"/>
        <v>-5118.0918529792107</v>
      </c>
      <c r="O107" s="174">
        <f t="shared" si="11"/>
        <v>-30656.850823377998</v>
      </c>
      <c r="P107" s="347">
        <f>O107/'D) Ecrêtage'!C107</f>
        <v>-1.5948282906987301</v>
      </c>
      <c r="Q107" s="167"/>
    </row>
    <row r="108" spans="1:17" x14ac:dyDescent="0.25">
      <c r="A108" s="165">
        <f>'A) Base RI'!A110</f>
        <v>5566</v>
      </c>
      <c r="B108" s="42" t="str">
        <f>'A) Base RI'!B110</f>
        <v>Provence</v>
      </c>
      <c r="C108" s="41">
        <f>'D) Ecrêtage'!M108</f>
        <v>7814.1319753086409</v>
      </c>
      <c r="D108" s="41">
        <v>290835</v>
      </c>
      <c r="E108" s="14">
        <v>11242</v>
      </c>
      <c r="F108" s="52">
        <v>37699</v>
      </c>
      <c r="G108" s="52">
        <f t="shared" si="8"/>
        <v>339776</v>
      </c>
      <c r="H108" s="14">
        <f t="shared" si="12"/>
        <v>62513.055802469127</v>
      </c>
      <c r="I108" s="41">
        <f t="shared" si="9"/>
        <v>277262.94419753086</v>
      </c>
      <c r="J108" s="4">
        <f t="shared" si="13"/>
        <v>-199100.69093686156</v>
      </c>
      <c r="K108" s="19">
        <v>7302</v>
      </c>
      <c r="L108" s="14">
        <f t="shared" si="14"/>
        <v>7814.1319753086409</v>
      </c>
      <c r="M108" s="19">
        <f t="shared" si="10"/>
        <v>0</v>
      </c>
      <c r="N108" s="4">
        <f t="shared" si="15"/>
        <v>0</v>
      </c>
      <c r="O108" s="174">
        <f t="shared" si="11"/>
        <v>-199100.69093686156</v>
      </c>
      <c r="P108" s="347">
        <f>O108/'D) Ecrêtage'!C108</f>
        <v>-25.479565941039475</v>
      </c>
      <c r="Q108" s="167"/>
    </row>
    <row r="109" spans="1:17" x14ac:dyDescent="0.25">
      <c r="A109" s="165">
        <f>'A) Base RI'!A111</f>
        <v>5568</v>
      </c>
      <c r="B109" s="42" t="str">
        <f>'A) Base RI'!B111</f>
        <v>Sainte-Croix</v>
      </c>
      <c r="C109" s="41">
        <f>'D) Ecrêtage'!M109</f>
        <v>93435.029714285716</v>
      </c>
      <c r="D109" s="41">
        <v>1718956</v>
      </c>
      <c r="E109" s="14">
        <v>356557</v>
      </c>
      <c r="F109" s="52">
        <v>188588</v>
      </c>
      <c r="G109" s="52">
        <f t="shared" si="8"/>
        <v>2264101</v>
      </c>
      <c r="H109" s="14">
        <f t="shared" si="12"/>
        <v>747480.23771428573</v>
      </c>
      <c r="I109" s="41">
        <f t="shared" si="9"/>
        <v>1516620.7622857143</v>
      </c>
      <c r="J109" s="4">
        <f t="shared" si="13"/>
        <v>-1089075.3632232563</v>
      </c>
      <c r="K109" s="19">
        <v>176995</v>
      </c>
      <c r="L109" s="14">
        <f t="shared" si="14"/>
        <v>93435.029714285716</v>
      </c>
      <c r="M109" s="19">
        <f t="shared" si="10"/>
        <v>83559.970285714284</v>
      </c>
      <c r="N109" s="4">
        <f t="shared" si="15"/>
        <v>-60003.863360466668</v>
      </c>
      <c r="O109" s="174">
        <f t="shared" si="11"/>
        <v>-1149079.226583723</v>
      </c>
      <c r="P109" s="347">
        <f>O109/'D) Ecrêtage'!C109</f>
        <v>-12.298163013352527</v>
      </c>
      <c r="Q109" s="167"/>
    </row>
    <row r="110" spans="1:17" x14ac:dyDescent="0.25">
      <c r="A110" s="165">
        <f>'A) Base RI'!A112</f>
        <v>5571</v>
      </c>
      <c r="B110" s="42" t="str">
        <f>'A) Base RI'!B112</f>
        <v>Tévenon</v>
      </c>
      <c r="C110" s="41">
        <f>'D) Ecrêtage'!M110</f>
        <v>20766.182465753427</v>
      </c>
      <c r="D110" s="8">
        <v>129787</v>
      </c>
      <c r="E110" s="8">
        <v>22906</v>
      </c>
      <c r="F110" s="8">
        <v>98450</v>
      </c>
      <c r="G110" s="52">
        <f t="shared" si="8"/>
        <v>251143</v>
      </c>
      <c r="H110" s="14">
        <f t="shared" si="12"/>
        <v>166129.45972602742</v>
      </c>
      <c r="I110" s="41">
        <f t="shared" si="9"/>
        <v>85013.540273972583</v>
      </c>
      <c r="J110" s="4">
        <f t="shared" si="13"/>
        <v>-61047.662378849484</v>
      </c>
      <c r="K110" s="19">
        <v>11176</v>
      </c>
      <c r="L110" s="14">
        <f t="shared" si="14"/>
        <v>20766.182465753427</v>
      </c>
      <c r="M110" s="19">
        <f t="shared" si="10"/>
        <v>0</v>
      </c>
      <c r="N110" s="4">
        <f t="shared" si="15"/>
        <v>0</v>
      </c>
      <c r="O110" s="174">
        <f t="shared" si="11"/>
        <v>-61047.662378849484</v>
      </c>
      <c r="P110" s="347">
        <f>O110/'D) Ecrêtage'!C110</f>
        <v>-2.9397633618757952</v>
      </c>
      <c r="Q110" s="167"/>
    </row>
    <row r="111" spans="1:17" x14ac:dyDescent="0.25">
      <c r="A111" s="165">
        <f>'A) Base RI'!A113</f>
        <v>5581</v>
      </c>
      <c r="B111" s="42" t="str">
        <f>'A) Base RI'!B113</f>
        <v>Belmont-sur-Lausanne</v>
      </c>
      <c r="C111" s="41">
        <f>'D) Ecrêtage'!M111</f>
        <v>173034.35179856114</v>
      </c>
      <c r="D111" s="41">
        <v>1090133</v>
      </c>
      <c r="E111" s="14">
        <v>975992</v>
      </c>
      <c r="F111" s="52">
        <v>200632</v>
      </c>
      <c r="G111" s="52">
        <f t="shared" si="8"/>
        <v>2266757</v>
      </c>
      <c r="H111" s="14">
        <f t="shared" si="12"/>
        <v>1384274.8143884891</v>
      </c>
      <c r="I111" s="41">
        <f t="shared" si="9"/>
        <v>882482.18561151088</v>
      </c>
      <c r="J111" s="4">
        <f t="shared" si="13"/>
        <v>-633704.63515509421</v>
      </c>
      <c r="K111" s="19">
        <v>23105</v>
      </c>
      <c r="L111" s="14">
        <f t="shared" si="14"/>
        <v>173034.35179856114</v>
      </c>
      <c r="M111" s="19">
        <f t="shared" si="10"/>
        <v>0</v>
      </c>
      <c r="N111" s="4">
        <f t="shared" si="15"/>
        <v>0</v>
      </c>
      <c r="O111" s="174">
        <f t="shared" si="11"/>
        <v>-633704.63515509421</v>
      </c>
      <c r="P111" s="347">
        <f>O111/'D) Ecrêtage'!C111</f>
        <v>-3.662305366351907</v>
      </c>
      <c r="Q111" s="167"/>
    </row>
    <row r="112" spans="1:17" x14ac:dyDescent="0.25">
      <c r="A112" s="165">
        <f>'A) Base RI'!A114</f>
        <v>5582</v>
      </c>
      <c r="B112" s="42" t="str">
        <f>'A) Base RI'!B114</f>
        <v>Cheseaux-sur-Lausanne</v>
      </c>
      <c r="C112" s="41">
        <f>'D) Ecrêtage'!M112</f>
        <v>165346.44872483221</v>
      </c>
      <c r="D112" s="41">
        <v>1041279</v>
      </c>
      <c r="E112" s="14">
        <v>388122</v>
      </c>
      <c r="F112" s="52">
        <v>196849</v>
      </c>
      <c r="G112" s="52">
        <f t="shared" si="8"/>
        <v>1626250</v>
      </c>
      <c r="H112" s="14">
        <f t="shared" si="12"/>
        <v>1322771.5897986577</v>
      </c>
      <c r="I112" s="41">
        <f t="shared" si="9"/>
        <v>303478.41020134231</v>
      </c>
      <c r="J112" s="4">
        <f t="shared" si="13"/>
        <v>-217925.84411301813</v>
      </c>
      <c r="K112" s="19">
        <v>102630</v>
      </c>
      <c r="L112" s="14">
        <f t="shared" si="14"/>
        <v>165346.44872483221</v>
      </c>
      <c r="M112" s="19">
        <f t="shared" si="10"/>
        <v>0</v>
      </c>
      <c r="N112" s="4">
        <f t="shared" si="15"/>
        <v>0</v>
      </c>
      <c r="O112" s="174">
        <f t="shared" si="11"/>
        <v>-217925.84411301813</v>
      </c>
      <c r="P112" s="347">
        <f>O112/'D) Ecrêtage'!C112</f>
        <v>-1.3179953110192768</v>
      </c>
      <c r="Q112" s="167"/>
    </row>
    <row r="113" spans="1:17" x14ac:dyDescent="0.25">
      <c r="A113" s="165">
        <f>'A) Base RI'!A115</f>
        <v>5583</v>
      </c>
      <c r="B113" s="42" t="str">
        <f>'A) Base RI'!B115</f>
        <v>Crissier</v>
      </c>
      <c r="C113" s="41">
        <f>'D) Ecrêtage'!M113</f>
        <v>323925.7196923077</v>
      </c>
      <c r="D113" s="41">
        <v>2129759</v>
      </c>
      <c r="E113" s="14">
        <v>2745952</v>
      </c>
      <c r="F113" s="52">
        <v>291189</v>
      </c>
      <c r="G113" s="52">
        <f t="shared" si="8"/>
        <v>5166900</v>
      </c>
      <c r="H113" s="14">
        <f t="shared" si="12"/>
        <v>2591405.7575384616</v>
      </c>
      <c r="I113" s="41">
        <f t="shared" si="9"/>
        <v>2575494.2424615384</v>
      </c>
      <c r="J113" s="4">
        <f t="shared" si="13"/>
        <v>-1849445.4232321742</v>
      </c>
      <c r="K113" s="19">
        <v>120049</v>
      </c>
      <c r="L113" s="14">
        <f t="shared" si="14"/>
        <v>323925.7196923077</v>
      </c>
      <c r="M113" s="19">
        <f t="shared" si="10"/>
        <v>0</v>
      </c>
      <c r="N113" s="4">
        <f t="shared" si="15"/>
        <v>0</v>
      </c>
      <c r="O113" s="174">
        <f t="shared" si="11"/>
        <v>-1849445.4232321742</v>
      </c>
      <c r="P113" s="347">
        <f>O113/'D) Ecrêtage'!C113</f>
        <v>-5.7094738416848632</v>
      </c>
      <c r="Q113" s="167"/>
    </row>
    <row r="114" spans="1:17" x14ac:dyDescent="0.25">
      <c r="A114" s="165">
        <f>'A) Base RI'!A116</f>
        <v>5584</v>
      </c>
      <c r="B114" s="42" t="str">
        <f>'A) Base RI'!B116</f>
        <v>Epalinges</v>
      </c>
      <c r="C114" s="41">
        <f>'D) Ecrêtage'!M114</f>
        <v>455923.60696969699</v>
      </c>
      <c r="D114" s="41">
        <v>4028564</v>
      </c>
      <c r="E114" s="14">
        <v>2670840</v>
      </c>
      <c r="F114" s="52">
        <v>644588</v>
      </c>
      <c r="G114" s="52">
        <f t="shared" si="8"/>
        <v>7343992</v>
      </c>
      <c r="H114" s="14">
        <f t="shared" si="12"/>
        <v>3647388.8557575759</v>
      </c>
      <c r="I114" s="41">
        <f t="shared" si="9"/>
        <v>3696603.1442424241</v>
      </c>
      <c r="J114" s="4">
        <f t="shared" si="13"/>
        <v>-2654506.3288864689</v>
      </c>
      <c r="K114" s="19">
        <v>365823</v>
      </c>
      <c r="L114" s="14">
        <f t="shared" si="14"/>
        <v>455923.60696969699</v>
      </c>
      <c r="M114" s="19">
        <f t="shared" si="10"/>
        <v>0</v>
      </c>
      <c r="N114" s="4">
        <f t="shared" si="15"/>
        <v>0</v>
      </c>
      <c r="O114" s="174">
        <f t="shared" si="11"/>
        <v>-2654506.3288864689</v>
      </c>
      <c r="P114" s="347">
        <f>O114/'D) Ecrêtage'!C114</f>
        <v>-5.8222612040856676</v>
      </c>
      <c r="Q114" s="167"/>
    </row>
    <row r="115" spans="1:17" x14ac:dyDescent="0.25">
      <c r="A115" s="165">
        <f>'A) Base RI'!A117</f>
        <v>5585</v>
      </c>
      <c r="B115" s="42" t="str">
        <f>'A) Base RI'!B117</f>
        <v>Jouxtens-Mézery</v>
      </c>
      <c r="C115" s="41">
        <f>'D) Ecrêtage'!M115</f>
        <v>133687.63661736436</v>
      </c>
      <c r="D115" s="41">
        <v>461560</v>
      </c>
      <c r="E115" s="14">
        <v>105416</v>
      </c>
      <c r="F115" s="52">
        <v>9372</v>
      </c>
      <c r="G115" s="52">
        <f t="shared" si="8"/>
        <v>576348</v>
      </c>
      <c r="H115" s="14">
        <f t="shared" si="12"/>
        <v>1069501.0929389149</v>
      </c>
      <c r="I115" s="41">
        <f t="shared" si="9"/>
        <v>0</v>
      </c>
      <c r="J115" s="4">
        <f t="shared" si="13"/>
        <v>0</v>
      </c>
      <c r="K115" s="19">
        <v>45040</v>
      </c>
      <c r="L115" s="14">
        <f t="shared" si="14"/>
        <v>133687.63661736436</v>
      </c>
      <c r="M115" s="19">
        <f t="shared" si="10"/>
        <v>0</v>
      </c>
      <c r="N115" s="4">
        <f t="shared" si="15"/>
        <v>0</v>
      </c>
      <c r="O115" s="174">
        <f t="shared" si="11"/>
        <v>0</v>
      </c>
      <c r="P115" s="347">
        <f>O115/'D) Ecrêtage'!C115</f>
        <v>0</v>
      </c>
      <c r="Q115" s="167"/>
    </row>
    <row r="116" spans="1:17" x14ac:dyDescent="0.25">
      <c r="A116" s="165">
        <f>'A) Base RI'!A118</f>
        <v>5586</v>
      </c>
      <c r="B116" s="42" t="str">
        <f>'A) Base RI'!B118</f>
        <v>Lausanne</v>
      </c>
      <c r="C116" s="41">
        <f>'D) Ecrêtage'!M116</f>
        <v>5897479.10464135</v>
      </c>
      <c r="D116" s="41">
        <v>55574214</v>
      </c>
      <c r="E116" s="14">
        <v>49210098</v>
      </c>
      <c r="F116" s="52">
        <v>2413764</v>
      </c>
      <c r="G116" s="52">
        <f t="shared" ref="G116:G166" si="16">D116+E116+F116</f>
        <v>107198076</v>
      </c>
      <c r="H116" s="14">
        <f t="shared" si="12"/>
        <v>47179832.8371308</v>
      </c>
      <c r="I116" s="41">
        <f t="shared" ref="I116:I166" si="17">IF(G116&gt;H116,G116-H116,0)</f>
        <v>60018243.1628692</v>
      </c>
      <c r="J116" s="4">
        <f t="shared" si="13"/>
        <v>-43098704.434266202</v>
      </c>
      <c r="K116" s="19">
        <v>3040499</v>
      </c>
      <c r="L116" s="14">
        <f t="shared" si="14"/>
        <v>5897479.10464135</v>
      </c>
      <c r="M116" s="19">
        <f t="shared" ref="M116:M166" si="18">IF(K116&gt;L116,K116-L116,0)</f>
        <v>0</v>
      </c>
      <c r="N116" s="4">
        <f t="shared" si="15"/>
        <v>0</v>
      </c>
      <c r="O116" s="174">
        <f t="shared" ref="O116:O166" si="19">N116+J116</f>
        <v>-43098704.434266202</v>
      </c>
      <c r="P116" s="347">
        <f>O116/'D) Ecrêtage'!C116</f>
        <v>-7.3079876451528714</v>
      </c>
      <c r="Q116" s="167"/>
    </row>
    <row r="117" spans="1:17" x14ac:dyDescent="0.25">
      <c r="A117" s="165">
        <f>'A) Base RI'!A119</f>
        <v>5587</v>
      </c>
      <c r="B117" s="42" t="str">
        <f>'A) Base RI'!B119</f>
        <v>Le Mont-sur-Lausanne</v>
      </c>
      <c r="C117" s="41">
        <f>'D) Ecrêtage'!M117</f>
        <v>380449.00348888891</v>
      </c>
      <c r="D117" s="41">
        <v>3751769</v>
      </c>
      <c r="E117" s="14">
        <v>1720645</v>
      </c>
      <c r="F117" s="52">
        <v>639068</v>
      </c>
      <c r="G117" s="52">
        <f t="shared" si="16"/>
        <v>6111482</v>
      </c>
      <c r="H117" s="14">
        <f t="shared" si="12"/>
        <v>3043592.0279111112</v>
      </c>
      <c r="I117" s="41">
        <f t="shared" si="17"/>
        <v>3067889.9720888888</v>
      </c>
      <c r="J117" s="4">
        <f t="shared" si="13"/>
        <v>-2203031.5480095311</v>
      </c>
      <c r="K117" s="19">
        <v>26121</v>
      </c>
      <c r="L117" s="14">
        <f t="shared" si="14"/>
        <v>380449.00348888891</v>
      </c>
      <c r="M117" s="19">
        <f t="shared" si="18"/>
        <v>0</v>
      </c>
      <c r="N117" s="4">
        <f t="shared" si="15"/>
        <v>0</v>
      </c>
      <c r="O117" s="174">
        <f t="shared" si="19"/>
        <v>-2203031.5480095311</v>
      </c>
      <c r="P117" s="347">
        <f>O117/'D) Ecrêtage'!C117</f>
        <v>-5.7906093268920102</v>
      </c>
      <c r="Q117" s="167"/>
    </row>
    <row r="118" spans="1:17" x14ac:dyDescent="0.25">
      <c r="A118" s="165">
        <f>'A) Base RI'!A120</f>
        <v>5588</v>
      </c>
      <c r="B118" s="42" t="str">
        <f>'A) Base RI'!B120</f>
        <v>Paudex</v>
      </c>
      <c r="C118" s="41">
        <f>'D) Ecrêtage'!M118</f>
        <v>131472.52830411893</v>
      </c>
      <c r="D118" s="41">
        <v>104540</v>
      </c>
      <c r="E118" s="14">
        <v>467856</v>
      </c>
      <c r="F118" s="52">
        <v>31158</v>
      </c>
      <c r="G118" s="52">
        <f t="shared" si="16"/>
        <v>603554</v>
      </c>
      <c r="H118" s="14">
        <f t="shared" si="12"/>
        <v>1051780.2264329514</v>
      </c>
      <c r="I118" s="41">
        <f t="shared" si="17"/>
        <v>0</v>
      </c>
      <c r="J118" s="4">
        <f t="shared" si="13"/>
        <v>0</v>
      </c>
      <c r="K118" s="19">
        <v>3491</v>
      </c>
      <c r="L118" s="14">
        <f t="shared" si="14"/>
        <v>131472.52830411893</v>
      </c>
      <c r="M118" s="19">
        <f t="shared" si="18"/>
        <v>0</v>
      </c>
      <c r="N118" s="4">
        <f t="shared" si="15"/>
        <v>0</v>
      </c>
      <c r="O118" s="174">
        <f t="shared" si="19"/>
        <v>0</v>
      </c>
      <c r="P118" s="347">
        <f>O118/'D) Ecrêtage'!C118</f>
        <v>0</v>
      </c>
      <c r="Q118" s="167"/>
    </row>
    <row r="119" spans="1:17" x14ac:dyDescent="0.25">
      <c r="A119" s="165">
        <f>'A) Base RI'!A121</f>
        <v>5589</v>
      </c>
      <c r="B119" s="42" t="str">
        <f>'A) Base RI'!B121</f>
        <v>Prilly</v>
      </c>
      <c r="C119" s="41">
        <f>'D) Ecrêtage'!M119</f>
        <v>462414.97306122456</v>
      </c>
      <c r="D119" s="41">
        <v>3982850</v>
      </c>
      <c r="E119" s="14">
        <v>3330940</v>
      </c>
      <c r="F119" s="52">
        <v>82976</v>
      </c>
      <c r="G119" s="52">
        <f t="shared" si="16"/>
        <v>7396766</v>
      </c>
      <c r="H119" s="14">
        <f t="shared" si="12"/>
        <v>3699319.7844897965</v>
      </c>
      <c r="I119" s="41">
        <f t="shared" si="17"/>
        <v>3697446.2155102035</v>
      </c>
      <c r="J119" s="4">
        <f t="shared" si="13"/>
        <v>-2655111.7328015496</v>
      </c>
      <c r="K119" s="19">
        <v>28559</v>
      </c>
      <c r="L119" s="14">
        <f t="shared" si="14"/>
        <v>462414.97306122456</v>
      </c>
      <c r="M119" s="19">
        <f t="shared" si="18"/>
        <v>0</v>
      </c>
      <c r="N119" s="4">
        <f t="shared" si="15"/>
        <v>0</v>
      </c>
      <c r="O119" s="174">
        <f t="shared" si="19"/>
        <v>-2655111.7328015496</v>
      </c>
      <c r="P119" s="347">
        <f>O119/'D) Ecrêtage'!C119</f>
        <v>-5.7418377160767413</v>
      </c>
      <c r="Q119" s="167"/>
    </row>
    <row r="120" spans="1:17" x14ac:dyDescent="0.25">
      <c r="A120" s="165">
        <f>'A) Base RI'!A122</f>
        <v>5590</v>
      </c>
      <c r="B120" s="42" t="str">
        <f>'A) Base RI'!B122</f>
        <v>Pully</v>
      </c>
      <c r="C120" s="41">
        <f>'D) Ecrêtage'!M120</f>
        <v>1264205.9412925458</v>
      </c>
      <c r="D120" s="41">
        <v>5488005</v>
      </c>
      <c r="E120" s="14">
        <v>7049679</v>
      </c>
      <c r="F120" s="52">
        <v>297251</v>
      </c>
      <c r="G120" s="52">
        <f t="shared" si="16"/>
        <v>12834935</v>
      </c>
      <c r="H120" s="14">
        <f t="shared" si="12"/>
        <v>10113647.530340366</v>
      </c>
      <c r="I120" s="41">
        <f t="shared" si="17"/>
        <v>2721287.4696596339</v>
      </c>
      <c r="J120" s="4">
        <f t="shared" si="13"/>
        <v>-1954138.5777864861</v>
      </c>
      <c r="K120" s="19">
        <v>499480</v>
      </c>
      <c r="L120" s="14">
        <f t="shared" si="14"/>
        <v>1264205.9412925458</v>
      </c>
      <c r="M120" s="19">
        <f t="shared" si="18"/>
        <v>0</v>
      </c>
      <c r="N120" s="4">
        <f t="shared" si="15"/>
        <v>0</v>
      </c>
      <c r="O120" s="174">
        <f t="shared" si="19"/>
        <v>-1954138.5777864861</v>
      </c>
      <c r="P120" s="347">
        <f>O120/'D) Ecrêtage'!C120</f>
        <v>-1.4298399615294335</v>
      </c>
      <c r="Q120" s="167"/>
    </row>
    <row r="121" spans="1:17" x14ac:dyDescent="0.25">
      <c r="A121" s="165">
        <f>'A) Base RI'!A123</f>
        <v>5591</v>
      </c>
      <c r="B121" s="42" t="str">
        <f>'A) Base RI'!B123</f>
        <v>Renens</v>
      </c>
      <c r="C121" s="41">
        <f>'D) Ecrêtage'!M121</f>
        <v>546895.28569608741</v>
      </c>
      <c r="D121" s="41">
        <v>3950430</v>
      </c>
      <c r="E121" s="14">
        <v>7249747</v>
      </c>
      <c r="F121" s="52">
        <v>247756</v>
      </c>
      <c r="G121" s="52">
        <f t="shared" si="16"/>
        <v>11447933</v>
      </c>
      <c r="H121" s="14">
        <f t="shared" si="12"/>
        <v>4375162.2855686992</v>
      </c>
      <c r="I121" s="41">
        <f t="shared" si="17"/>
        <v>7072770.7144313008</v>
      </c>
      <c r="J121" s="4">
        <f t="shared" si="13"/>
        <v>-5078909.9861755436</v>
      </c>
      <c r="K121" s="19">
        <v>27821</v>
      </c>
      <c r="L121" s="14">
        <f t="shared" si="14"/>
        <v>546895.28569608741</v>
      </c>
      <c r="M121" s="19">
        <f t="shared" si="18"/>
        <v>0</v>
      </c>
      <c r="N121" s="4">
        <f t="shared" si="15"/>
        <v>0</v>
      </c>
      <c r="O121" s="174">
        <f t="shared" si="19"/>
        <v>-5078909.9861755436</v>
      </c>
      <c r="P121" s="347">
        <f>O121/'D) Ecrêtage'!C121</f>
        <v>-9.2868052057006043</v>
      </c>
      <c r="Q121" s="167"/>
    </row>
    <row r="122" spans="1:17" x14ac:dyDescent="0.25">
      <c r="A122" s="165">
        <f>'A) Base RI'!A124</f>
        <v>5592</v>
      </c>
      <c r="B122" s="42" t="str">
        <f>'A) Base RI'!B124</f>
        <v>Romanel-sur-Lausanne</v>
      </c>
      <c r="C122" s="41">
        <f>'D) Ecrêtage'!M122</f>
        <v>110273.83828571429</v>
      </c>
      <c r="D122" s="41">
        <v>866143</v>
      </c>
      <c r="E122" s="14">
        <v>248083</v>
      </c>
      <c r="F122" s="52">
        <v>33815</v>
      </c>
      <c r="G122" s="52">
        <f t="shared" si="16"/>
        <v>1148041</v>
      </c>
      <c r="H122" s="14">
        <f t="shared" si="12"/>
        <v>882190.70628571429</v>
      </c>
      <c r="I122" s="41">
        <f t="shared" si="17"/>
        <v>265850.29371428571</v>
      </c>
      <c r="J122" s="4">
        <f t="shared" si="13"/>
        <v>-190905.3419218263</v>
      </c>
      <c r="K122" s="19">
        <v>12193</v>
      </c>
      <c r="L122" s="14">
        <f t="shared" si="14"/>
        <v>110273.83828571429</v>
      </c>
      <c r="M122" s="19">
        <f t="shared" si="18"/>
        <v>0</v>
      </c>
      <c r="N122" s="4">
        <f t="shared" si="15"/>
        <v>0</v>
      </c>
      <c r="O122" s="174">
        <f t="shared" si="19"/>
        <v>-190905.3419218263</v>
      </c>
      <c r="P122" s="347">
        <f>O122/'D) Ecrêtage'!C122</f>
        <v>-1.731193408061118</v>
      </c>
      <c r="Q122" s="167"/>
    </row>
    <row r="123" spans="1:17" x14ac:dyDescent="0.25">
      <c r="A123" s="165">
        <f>'A) Base RI'!A125</f>
        <v>5601</v>
      </c>
      <c r="B123" s="42" t="str">
        <f>'A) Base RI'!B125</f>
        <v>Chexbres</v>
      </c>
      <c r="C123" s="41">
        <f>'D) Ecrêtage'!M123</f>
        <v>104474.96078125002</v>
      </c>
      <c r="D123" s="41">
        <v>738666</v>
      </c>
      <c r="E123" s="14">
        <v>142918</v>
      </c>
      <c r="F123" s="52">
        <v>166452</v>
      </c>
      <c r="G123" s="52">
        <f t="shared" si="16"/>
        <v>1048036</v>
      </c>
      <c r="H123" s="14">
        <f t="shared" si="12"/>
        <v>835799.68625000014</v>
      </c>
      <c r="I123" s="41">
        <f t="shared" si="17"/>
        <v>212236.31374999986</v>
      </c>
      <c r="J123" s="4">
        <f t="shared" si="13"/>
        <v>-152405.49663720196</v>
      </c>
      <c r="K123" s="19">
        <v>73882</v>
      </c>
      <c r="L123" s="14">
        <f t="shared" si="14"/>
        <v>104474.96078125002</v>
      </c>
      <c r="M123" s="19">
        <f t="shared" si="18"/>
        <v>0</v>
      </c>
      <c r="N123" s="4">
        <f t="shared" si="15"/>
        <v>0</v>
      </c>
      <c r="O123" s="174">
        <f t="shared" si="19"/>
        <v>-152405.49663720196</v>
      </c>
      <c r="P123" s="347">
        <f>O123/'D) Ecrêtage'!C123</f>
        <v>-1.4587753419339302</v>
      </c>
      <c r="Q123" s="167"/>
    </row>
    <row r="124" spans="1:17" x14ac:dyDescent="0.25">
      <c r="A124" s="165">
        <f>'A) Base RI'!A126</f>
        <v>5604</v>
      </c>
      <c r="B124" s="42" t="str">
        <f>'A) Base RI'!B126</f>
        <v>Forel (Lavaux)</v>
      </c>
      <c r="C124" s="41">
        <f>'D) Ecrêtage'!M124</f>
        <v>65514.699852941172</v>
      </c>
      <c r="D124" s="41">
        <v>586633</v>
      </c>
      <c r="E124" s="14">
        <v>93744</v>
      </c>
      <c r="F124" s="52">
        <v>254755.55</v>
      </c>
      <c r="G124" s="52">
        <f t="shared" si="16"/>
        <v>935132.55</v>
      </c>
      <c r="H124" s="14">
        <f t="shared" si="12"/>
        <v>524117.59882352938</v>
      </c>
      <c r="I124" s="41">
        <f t="shared" si="17"/>
        <v>411014.95117647067</v>
      </c>
      <c r="J124" s="4">
        <f t="shared" si="13"/>
        <v>-295147.12469588098</v>
      </c>
      <c r="K124" s="19">
        <v>60557</v>
      </c>
      <c r="L124" s="14">
        <f t="shared" si="14"/>
        <v>65514.699852941172</v>
      </c>
      <c r="M124" s="19">
        <f t="shared" si="18"/>
        <v>0</v>
      </c>
      <c r="N124" s="4">
        <f t="shared" si="15"/>
        <v>0</v>
      </c>
      <c r="O124" s="174">
        <f t="shared" si="19"/>
        <v>-295147.12469588098</v>
      </c>
      <c r="P124" s="347">
        <f>O124/'D) Ecrêtage'!C124</f>
        <v>-4.5050519251158692</v>
      </c>
      <c r="Q124" s="167"/>
    </row>
    <row r="125" spans="1:17" x14ac:dyDescent="0.25">
      <c r="A125" s="165">
        <f>'A) Base RI'!A127</f>
        <v>5606</v>
      </c>
      <c r="B125" s="42" t="str">
        <f>'A) Base RI'!B127</f>
        <v>Lutry</v>
      </c>
      <c r="C125" s="41">
        <f>'D) Ecrêtage'!M125</f>
        <v>687879.74736869638</v>
      </c>
      <c r="D125" s="41">
        <v>3939350</v>
      </c>
      <c r="E125" s="14">
        <v>2499264</v>
      </c>
      <c r="F125" s="52">
        <v>1377940</v>
      </c>
      <c r="G125" s="52">
        <f t="shared" si="16"/>
        <v>7816554</v>
      </c>
      <c r="H125" s="14">
        <f t="shared" si="12"/>
        <v>5503037.978949571</v>
      </c>
      <c r="I125" s="41">
        <f t="shared" si="17"/>
        <v>2313516.021050429</v>
      </c>
      <c r="J125" s="4">
        <f t="shared" si="13"/>
        <v>-1661320.5908845759</v>
      </c>
      <c r="K125" s="19">
        <v>393974</v>
      </c>
      <c r="L125" s="14">
        <f t="shared" si="14"/>
        <v>687879.74736869638</v>
      </c>
      <c r="M125" s="19">
        <f t="shared" si="18"/>
        <v>0</v>
      </c>
      <c r="N125" s="4">
        <f t="shared" si="15"/>
        <v>0</v>
      </c>
      <c r="O125" s="174">
        <f t="shared" si="19"/>
        <v>-1661320.5908845759</v>
      </c>
      <c r="P125" s="347">
        <f>O125/'D) Ecrêtage'!C125</f>
        <v>-2.2375572319896562</v>
      </c>
      <c r="Q125" s="167"/>
    </row>
    <row r="126" spans="1:17" x14ac:dyDescent="0.25">
      <c r="A126" s="165">
        <f>'A) Base RI'!A128</f>
        <v>5607</v>
      </c>
      <c r="B126" s="42" t="str">
        <f>'A) Base RI'!B128</f>
        <v>Puidoux</v>
      </c>
      <c r="C126" s="41">
        <f>'D) Ecrêtage'!M126</f>
        <v>100862.46201406649</v>
      </c>
      <c r="D126" s="41">
        <v>952161</v>
      </c>
      <c r="E126" s="14">
        <v>230685</v>
      </c>
      <c r="F126" s="52">
        <v>426683</v>
      </c>
      <c r="G126" s="52">
        <f t="shared" si="16"/>
        <v>1609529</v>
      </c>
      <c r="H126" s="14">
        <f t="shared" si="12"/>
        <v>806899.69611253194</v>
      </c>
      <c r="I126" s="41">
        <f t="shared" si="17"/>
        <v>802629.30388746806</v>
      </c>
      <c r="J126" s="4">
        <f t="shared" si="13"/>
        <v>-576362.80763259041</v>
      </c>
      <c r="K126" s="19">
        <v>24187</v>
      </c>
      <c r="L126" s="14">
        <f t="shared" si="14"/>
        <v>100862.46201406649</v>
      </c>
      <c r="M126" s="19">
        <f t="shared" si="18"/>
        <v>0</v>
      </c>
      <c r="N126" s="4">
        <f t="shared" si="15"/>
        <v>0</v>
      </c>
      <c r="O126" s="174">
        <f t="shared" si="19"/>
        <v>-576362.80763259041</v>
      </c>
      <c r="P126" s="347">
        <f>O126/'D) Ecrêtage'!C126</f>
        <v>-5.7143440297165222</v>
      </c>
      <c r="Q126" s="167"/>
    </row>
    <row r="127" spans="1:17" x14ac:dyDescent="0.25">
      <c r="A127" s="165">
        <f>'A) Base RI'!A129</f>
        <v>5609</v>
      </c>
      <c r="B127" s="42" t="str">
        <f>'A) Base RI'!B129</f>
        <v>Rivaz</v>
      </c>
      <c r="C127" s="41">
        <f>'D) Ecrêtage'!M127</f>
        <v>16122.244409448818</v>
      </c>
      <c r="D127" s="41">
        <v>98833</v>
      </c>
      <c r="E127" s="14">
        <v>28272</v>
      </c>
      <c r="F127" s="52">
        <v>39029</v>
      </c>
      <c r="G127" s="52">
        <f t="shared" si="16"/>
        <v>166134</v>
      </c>
      <c r="H127" s="14">
        <f t="shared" si="12"/>
        <v>128977.95527559055</v>
      </c>
      <c r="I127" s="41">
        <f t="shared" si="17"/>
        <v>37156.044724409454</v>
      </c>
      <c r="J127" s="4">
        <f t="shared" si="13"/>
        <v>-26681.510573011987</v>
      </c>
      <c r="K127" s="19">
        <v>17422</v>
      </c>
      <c r="L127" s="14">
        <f t="shared" si="14"/>
        <v>16122.244409448818</v>
      </c>
      <c r="M127" s="19">
        <f t="shared" si="18"/>
        <v>1299.7555905511817</v>
      </c>
      <c r="N127" s="4">
        <f t="shared" si="15"/>
        <v>-933.34591420707193</v>
      </c>
      <c r="O127" s="174">
        <f t="shared" si="19"/>
        <v>-27614.856487219058</v>
      </c>
      <c r="P127" s="347">
        <f>O127/'D) Ecrêtage'!C127</f>
        <v>-1.7128419459411448</v>
      </c>
      <c r="Q127" s="167"/>
    </row>
    <row r="128" spans="1:17" x14ac:dyDescent="0.25">
      <c r="A128" s="165">
        <f>'A) Base RI'!A130</f>
        <v>5610</v>
      </c>
      <c r="B128" s="42" t="str">
        <f>'A) Base RI'!B130</f>
        <v>St-Saphorin (Lavaux)</v>
      </c>
      <c r="C128" s="41">
        <f>'D) Ecrêtage'!M128</f>
        <v>20953.215883284913</v>
      </c>
      <c r="D128" s="41">
        <v>135266</v>
      </c>
      <c r="E128" s="14">
        <v>31137</v>
      </c>
      <c r="F128" s="52">
        <v>62591</v>
      </c>
      <c r="G128" s="52">
        <f t="shared" si="16"/>
        <v>228994</v>
      </c>
      <c r="H128" s="14">
        <f t="shared" si="12"/>
        <v>167625.7270662793</v>
      </c>
      <c r="I128" s="41">
        <f t="shared" si="17"/>
        <v>61368.272933720698</v>
      </c>
      <c r="J128" s="4">
        <f t="shared" si="13"/>
        <v>-44068.151905654122</v>
      </c>
      <c r="K128" s="19">
        <v>3475</v>
      </c>
      <c r="L128" s="14">
        <f t="shared" si="14"/>
        <v>20953.215883284913</v>
      </c>
      <c r="M128" s="19">
        <f t="shared" si="18"/>
        <v>0</v>
      </c>
      <c r="N128" s="4">
        <f t="shared" si="15"/>
        <v>0</v>
      </c>
      <c r="O128" s="174">
        <f t="shared" si="19"/>
        <v>-44068.151905654122</v>
      </c>
      <c r="P128" s="347">
        <f>O128/'D) Ecrêtage'!C128</f>
        <v>-2.1010359730051116</v>
      </c>
      <c r="Q128" s="167"/>
    </row>
    <row r="129" spans="1:17" x14ac:dyDescent="0.25">
      <c r="A129" s="165">
        <f>'A) Base RI'!A131</f>
        <v>5611</v>
      </c>
      <c r="B129" s="42" t="str">
        <f>'A) Base RI'!B131</f>
        <v>Savigny</v>
      </c>
      <c r="C129" s="41">
        <f>'D) Ecrêtage'!M129</f>
        <v>130312.40671641791</v>
      </c>
      <c r="D129" s="41">
        <v>1262790</v>
      </c>
      <c r="E129" s="14">
        <v>149483</v>
      </c>
      <c r="F129" s="52">
        <v>392750</v>
      </c>
      <c r="G129" s="52">
        <f t="shared" si="16"/>
        <v>1805023</v>
      </c>
      <c r="H129" s="14">
        <f t="shared" si="12"/>
        <v>1042499.2537313433</v>
      </c>
      <c r="I129" s="41">
        <f t="shared" si="17"/>
        <v>762523.74626865669</v>
      </c>
      <c r="J129" s="4">
        <f t="shared" si="13"/>
        <v>-547563.27131004212</v>
      </c>
      <c r="K129" s="19">
        <v>21639</v>
      </c>
      <c r="L129" s="14">
        <f t="shared" si="14"/>
        <v>130312.40671641791</v>
      </c>
      <c r="M129" s="19">
        <f t="shared" si="18"/>
        <v>0</v>
      </c>
      <c r="N129" s="4">
        <f t="shared" si="15"/>
        <v>0</v>
      </c>
      <c r="O129" s="174">
        <f t="shared" si="19"/>
        <v>-547563.27131004212</v>
      </c>
      <c r="P129" s="347">
        <f>O129/'D) Ecrêtage'!C129</f>
        <v>-4.2019273920834985</v>
      </c>
      <c r="Q129" s="167"/>
    </row>
    <row r="130" spans="1:17" x14ac:dyDescent="0.25">
      <c r="A130" s="165">
        <f>'A) Base RI'!A132</f>
        <v>5613</v>
      </c>
      <c r="B130" s="42" t="str">
        <f>'A) Base RI'!B132</f>
        <v>Bourg-en-Lavaux</v>
      </c>
      <c r="C130" s="41">
        <f>'D) Ecrêtage'!M130</f>
        <v>293422.02834789746</v>
      </c>
      <c r="D130" s="41">
        <v>1590264</v>
      </c>
      <c r="E130" s="14">
        <v>390900</v>
      </c>
      <c r="F130" s="52">
        <v>705127</v>
      </c>
      <c r="G130" s="52">
        <f t="shared" si="16"/>
        <v>2686291</v>
      </c>
      <c r="H130" s="14">
        <f t="shared" si="12"/>
        <v>2347376.2267831797</v>
      </c>
      <c r="I130" s="41">
        <f t="shared" si="17"/>
        <v>338914.77321682032</v>
      </c>
      <c r="J130" s="4">
        <f t="shared" si="13"/>
        <v>-243372.46259675111</v>
      </c>
      <c r="K130" s="19">
        <v>219396</v>
      </c>
      <c r="L130" s="14">
        <f t="shared" si="14"/>
        <v>293422.02834789746</v>
      </c>
      <c r="M130" s="19">
        <f t="shared" si="18"/>
        <v>0</v>
      </c>
      <c r="N130" s="4">
        <f t="shared" si="15"/>
        <v>0</v>
      </c>
      <c r="O130" s="174">
        <f t="shared" si="19"/>
        <v>-243372.46259675111</v>
      </c>
      <c r="P130" s="347">
        <f>O130/'D) Ecrêtage'!C130</f>
        <v>-0.82315286790965603</v>
      </c>
      <c r="Q130" s="167"/>
    </row>
    <row r="131" spans="1:17" x14ac:dyDescent="0.25">
      <c r="A131" s="165">
        <f>'A) Base RI'!A133</f>
        <v>5621</v>
      </c>
      <c r="B131" s="42" t="str">
        <f>'A) Base RI'!B133</f>
        <v>Aclens</v>
      </c>
      <c r="C131" s="41">
        <f>'D) Ecrêtage'!M131</f>
        <v>32596.490883992956</v>
      </c>
      <c r="D131" s="41">
        <v>163363</v>
      </c>
      <c r="E131" s="14">
        <v>16696</v>
      </c>
      <c r="F131" s="52">
        <v>51560</v>
      </c>
      <c r="G131" s="52">
        <f t="shared" si="16"/>
        <v>231619</v>
      </c>
      <c r="H131" s="14">
        <f t="shared" si="12"/>
        <v>260771.92707194365</v>
      </c>
      <c r="I131" s="41">
        <f t="shared" si="17"/>
        <v>0</v>
      </c>
      <c r="J131" s="4">
        <f t="shared" si="13"/>
        <v>0</v>
      </c>
      <c r="K131" s="19">
        <v>27649</v>
      </c>
      <c r="L131" s="14">
        <f t="shared" si="14"/>
        <v>32596.490883992956</v>
      </c>
      <c r="M131" s="19">
        <f t="shared" si="18"/>
        <v>0</v>
      </c>
      <c r="N131" s="4">
        <f t="shared" si="15"/>
        <v>0</v>
      </c>
      <c r="O131" s="174">
        <f t="shared" si="19"/>
        <v>0</v>
      </c>
      <c r="P131" s="347">
        <f>O131/'D) Ecrêtage'!C131</f>
        <v>0</v>
      </c>
      <c r="Q131" s="167"/>
    </row>
    <row r="132" spans="1:17" x14ac:dyDescent="0.25">
      <c r="A132" s="165">
        <f>'A) Base RI'!A134</f>
        <v>5622</v>
      </c>
      <c r="B132" s="42" t="str">
        <f>'A) Base RI'!B134</f>
        <v>Bremblens</v>
      </c>
      <c r="C132" s="41">
        <f>'D) Ecrêtage'!M132</f>
        <v>28064.668505419701</v>
      </c>
      <c r="D132" s="41">
        <v>103653</v>
      </c>
      <c r="E132" s="14">
        <v>15361</v>
      </c>
      <c r="F132" s="52">
        <v>59742</v>
      </c>
      <c r="G132" s="52">
        <f t="shared" si="16"/>
        <v>178756</v>
      </c>
      <c r="H132" s="14">
        <f t="shared" si="12"/>
        <v>224517.3480433576</v>
      </c>
      <c r="I132" s="41">
        <f t="shared" si="17"/>
        <v>0</v>
      </c>
      <c r="J132" s="4">
        <f t="shared" si="13"/>
        <v>0</v>
      </c>
      <c r="K132" s="19">
        <v>44172</v>
      </c>
      <c r="L132" s="14">
        <f t="shared" si="14"/>
        <v>28064.668505419701</v>
      </c>
      <c r="M132" s="19">
        <f t="shared" si="18"/>
        <v>16107.331494580299</v>
      </c>
      <c r="N132" s="4">
        <f t="shared" si="15"/>
        <v>-11566.56847528552</v>
      </c>
      <c r="O132" s="174">
        <f t="shared" si="19"/>
        <v>-11566.56847528552</v>
      </c>
      <c r="P132" s="347">
        <f>O132/'D) Ecrêtage'!C132</f>
        <v>-0.41123692588191141</v>
      </c>
      <c r="Q132" s="167"/>
    </row>
    <row r="133" spans="1:17" x14ac:dyDescent="0.25">
      <c r="A133" s="165">
        <f>'A) Base RI'!A135</f>
        <v>5623</v>
      </c>
      <c r="B133" s="42" t="str">
        <f>'A) Base RI'!B135</f>
        <v>Buchillon</v>
      </c>
      <c r="C133" s="41">
        <f>'D) Ecrêtage'!M133</f>
        <v>69073.160217996425</v>
      </c>
      <c r="D133" s="41">
        <v>159362</v>
      </c>
      <c r="E133" s="14">
        <v>48967</v>
      </c>
      <c r="F133" s="52">
        <v>67766</v>
      </c>
      <c r="G133" s="52">
        <f t="shared" si="16"/>
        <v>276095</v>
      </c>
      <c r="H133" s="14">
        <f t="shared" si="12"/>
        <v>552585.2817439714</v>
      </c>
      <c r="I133" s="41">
        <f t="shared" si="17"/>
        <v>0</v>
      </c>
      <c r="J133" s="4">
        <f t="shared" si="13"/>
        <v>0</v>
      </c>
      <c r="K133" s="19">
        <v>9284</v>
      </c>
      <c r="L133" s="14">
        <f t="shared" si="14"/>
        <v>69073.160217996425</v>
      </c>
      <c r="M133" s="19">
        <f t="shared" si="18"/>
        <v>0</v>
      </c>
      <c r="N133" s="4">
        <f t="shared" si="15"/>
        <v>0</v>
      </c>
      <c r="O133" s="174">
        <f t="shared" si="19"/>
        <v>0</v>
      </c>
      <c r="P133" s="347">
        <f>O133/'D) Ecrêtage'!C133</f>
        <v>0</v>
      </c>
      <c r="Q133" s="167"/>
    </row>
    <row r="134" spans="1:17" x14ac:dyDescent="0.25">
      <c r="A134" s="165">
        <f>'A) Base RI'!A136</f>
        <v>5624</v>
      </c>
      <c r="B134" s="42" t="str">
        <f>'A) Base RI'!B136</f>
        <v>Bussigny</v>
      </c>
      <c r="C134" s="41">
        <f>'D) Ecrêtage'!M134</f>
        <v>312174.83774193545</v>
      </c>
      <c r="D134" s="41">
        <v>1238862</v>
      </c>
      <c r="E134" s="14">
        <v>2377992</v>
      </c>
      <c r="F134" s="52">
        <v>246061</v>
      </c>
      <c r="G134" s="52">
        <f t="shared" si="16"/>
        <v>3862915</v>
      </c>
      <c r="H134" s="14">
        <f t="shared" ref="H134:H192" si="20">C134*I$4</f>
        <v>2497398.7019354836</v>
      </c>
      <c r="I134" s="41">
        <f t="shared" si="17"/>
        <v>1365516.2980645164</v>
      </c>
      <c r="J134" s="4">
        <f t="shared" ref="J134:J192" si="21">-I134*J$4</f>
        <v>-980568.24440448172</v>
      </c>
      <c r="K134" s="19">
        <v>201509</v>
      </c>
      <c r="L134" s="14">
        <f t="shared" ref="L134:L192" si="22">C134*M$4</f>
        <v>312174.83774193545</v>
      </c>
      <c r="M134" s="19">
        <f t="shared" si="18"/>
        <v>0</v>
      </c>
      <c r="N134" s="4">
        <f t="shared" ref="N134:N192" si="23">-M134*N$4</f>
        <v>0</v>
      </c>
      <c r="O134" s="174">
        <f t="shared" si="19"/>
        <v>-980568.24440448172</v>
      </c>
      <c r="P134" s="347">
        <f>O134/'D) Ecrêtage'!C134</f>
        <v>-3.1410867432406095</v>
      </c>
      <c r="Q134" s="167"/>
    </row>
    <row r="135" spans="1:17" x14ac:dyDescent="0.25">
      <c r="A135" s="165">
        <f>'A) Base RI'!A137</f>
        <v>5625</v>
      </c>
      <c r="B135" s="42" t="str">
        <f>'A) Base RI'!B137</f>
        <v>Bussy-Chardonney</v>
      </c>
      <c r="C135" s="41">
        <f>'D) Ecrêtage'!M135</f>
        <v>16172.617200854704</v>
      </c>
      <c r="D135" s="41">
        <v>54297</v>
      </c>
      <c r="E135" s="14">
        <v>30102</v>
      </c>
      <c r="F135" s="52">
        <v>55772</v>
      </c>
      <c r="G135" s="52">
        <f t="shared" si="16"/>
        <v>140171</v>
      </c>
      <c r="H135" s="14">
        <f t="shared" si="20"/>
        <v>129380.93760683763</v>
      </c>
      <c r="I135" s="41">
        <f t="shared" si="17"/>
        <v>10790.06239316237</v>
      </c>
      <c r="J135" s="4">
        <f t="shared" si="21"/>
        <v>-7748.272615182038</v>
      </c>
      <c r="K135" s="19">
        <v>7156</v>
      </c>
      <c r="L135" s="14">
        <f t="shared" si="22"/>
        <v>16172.617200854704</v>
      </c>
      <c r="M135" s="19">
        <f t="shared" si="18"/>
        <v>0</v>
      </c>
      <c r="N135" s="4">
        <f t="shared" si="23"/>
        <v>0</v>
      </c>
      <c r="O135" s="174">
        <f t="shared" si="19"/>
        <v>-7748.272615182038</v>
      </c>
      <c r="P135" s="347">
        <f>O135/'D) Ecrêtage'!C135</f>
        <v>-0.47909825100989534</v>
      </c>
      <c r="Q135" s="167"/>
    </row>
    <row r="136" spans="1:17" x14ac:dyDescent="0.25">
      <c r="A136" s="165">
        <f>'A) Base RI'!A138</f>
        <v>5627</v>
      </c>
      <c r="B136" s="42" t="str">
        <f>'A) Base RI'!B138</f>
        <v>Chavannes-près-Renens</v>
      </c>
      <c r="C136" s="41">
        <f>'D) Ecrêtage'!M136</f>
        <v>162511.92244725736</v>
      </c>
      <c r="D136" s="41">
        <v>773671</v>
      </c>
      <c r="E136" s="14">
        <v>2212177</v>
      </c>
      <c r="F136" s="52">
        <v>2295</v>
      </c>
      <c r="G136" s="52">
        <f t="shared" si="16"/>
        <v>2988143</v>
      </c>
      <c r="H136" s="14">
        <f t="shared" si="20"/>
        <v>1300095.3795780588</v>
      </c>
      <c r="I136" s="41">
        <f t="shared" si="17"/>
        <v>1688047.6204219412</v>
      </c>
      <c r="J136" s="4">
        <f t="shared" si="21"/>
        <v>-1212175.85903182</v>
      </c>
      <c r="K136" s="19">
        <v>8052</v>
      </c>
      <c r="L136" s="14">
        <f t="shared" si="22"/>
        <v>162511.92244725736</v>
      </c>
      <c r="M136" s="19">
        <f t="shared" si="18"/>
        <v>0</v>
      </c>
      <c r="N136" s="4">
        <f t="shared" si="23"/>
        <v>0</v>
      </c>
      <c r="O136" s="174">
        <f t="shared" si="19"/>
        <v>-1212175.85903182</v>
      </c>
      <c r="P136" s="347">
        <f>O136/'D) Ecrêtage'!C136</f>
        <v>-7.4589964894743472</v>
      </c>
      <c r="Q136" s="167"/>
    </row>
    <row r="137" spans="1:17" x14ac:dyDescent="0.25">
      <c r="A137" s="165">
        <f>'A) Base RI'!A139</f>
        <v>5628</v>
      </c>
      <c r="B137" s="42" t="str">
        <f>'A) Base RI'!B139</f>
        <v>Chigny</v>
      </c>
      <c r="C137" s="41">
        <f>'D) Ecrêtage'!M137</f>
        <v>18826.519594643647</v>
      </c>
      <c r="D137" s="41">
        <v>16054</v>
      </c>
      <c r="E137" s="14">
        <v>25602</v>
      </c>
      <c r="F137" s="52">
        <v>64982</v>
      </c>
      <c r="G137" s="52">
        <f t="shared" si="16"/>
        <v>106638</v>
      </c>
      <c r="H137" s="14">
        <f t="shared" si="20"/>
        <v>150612.15675714918</v>
      </c>
      <c r="I137" s="41">
        <f t="shared" si="17"/>
        <v>0</v>
      </c>
      <c r="J137" s="4">
        <f t="shared" si="21"/>
        <v>0</v>
      </c>
      <c r="K137" s="19">
        <v>986</v>
      </c>
      <c r="L137" s="14">
        <f t="shared" si="22"/>
        <v>18826.519594643647</v>
      </c>
      <c r="M137" s="19">
        <f t="shared" si="18"/>
        <v>0</v>
      </c>
      <c r="N137" s="4">
        <f t="shared" si="23"/>
        <v>0</v>
      </c>
      <c r="O137" s="174">
        <f t="shared" si="19"/>
        <v>0</v>
      </c>
      <c r="P137" s="347">
        <f>O137/'D) Ecrêtage'!C137</f>
        <v>0</v>
      </c>
      <c r="Q137" s="167"/>
    </row>
    <row r="138" spans="1:17" x14ac:dyDescent="0.25">
      <c r="A138" s="165">
        <f>'A) Base RI'!A140</f>
        <v>5629</v>
      </c>
      <c r="B138" s="42" t="str">
        <f>'A) Base RI'!B140</f>
        <v>Clarmont</v>
      </c>
      <c r="C138" s="41">
        <f>'D) Ecrêtage'!M138</f>
        <v>7581.8990666666659</v>
      </c>
      <c r="D138" s="41">
        <v>104969</v>
      </c>
      <c r="E138" s="14">
        <v>4810</v>
      </c>
      <c r="F138" s="52">
        <v>20127</v>
      </c>
      <c r="G138" s="52">
        <f t="shared" si="16"/>
        <v>129906</v>
      </c>
      <c r="H138" s="14">
        <f t="shared" si="20"/>
        <v>60655.192533333327</v>
      </c>
      <c r="I138" s="41">
        <f t="shared" si="17"/>
        <v>69250.80746666668</v>
      </c>
      <c r="J138" s="4">
        <f t="shared" si="21"/>
        <v>-49728.547947344829</v>
      </c>
      <c r="K138" s="19">
        <v>203</v>
      </c>
      <c r="L138" s="14">
        <f t="shared" si="22"/>
        <v>7581.8990666666659</v>
      </c>
      <c r="M138" s="19">
        <f t="shared" si="18"/>
        <v>0</v>
      </c>
      <c r="N138" s="4">
        <f t="shared" si="23"/>
        <v>0</v>
      </c>
      <c r="O138" s="174">
        <f t="shared" si="19"/>
        <v>-49728.547947344829</v>
      </c>
      <c r="P138" s="347">
        <f>O138/'D) Ecrêtage'!C138</f>
        <v>-6.5588512205303822</v>
      </c>
      <c r="Q138" s="167"/>
    </row>
    <row r="139" spans="1:17" x14ac:dyDescent="0.25">
      <c r="A139" s="165">
        <f>'A) Base RI'!A141</f>
        <v>5631</v>
      </c>
      <c r="B139" s="42" t="str">
        <f>'A) Base RI'!B141</f>
        <v>Denens</v>
      </c>
      <c r="C139" s="41">
        <f>'D) Ecrêtage'!M139</f>
        <v>34218.35955882354</v>
      </c>
      <c r="D139" s="41">
        <v>108985</v>
      </c>
      <c r="E139" s="14">
        <v>44030</v>
      </c>
      <c r="F139" s="52">
        <v>72987</v>
      </c>
      <c r="G139" s="52">
        <f t="shared" si="16"/>
        <v>226002</v>
      </c>
      <c r="H139" s="14">
        <f t="shared" si="20"/>
        <v>273746.87647058832</v>
      </c>
      <c r="I139" s="41">
        <f t="shared" si="17"/>
        <v>0</v>
      </c>
      <c r="J139" s="4">
        <f t="shared" si="21"/>
        <v>0</v>
      </c>
      <c r="K139" s="19">
        <v>4109</v>
      </c>
      <c r="L139" s="14">
        <f t="shared" si="22"/>
        <v>34218.35955882354</v>
      </c>
      <c r="M139" s="19">
        <f t="shared" si="18"/>
        <v>0</v>
      </c>
      <c r="N139" s="4">
        <f t="shared" si="23"/>
        <v>0</v>
      </c>
      <c r="O139" s="174">
        <f t="shared" si="19"/>
        <v>0</v>
      </c>
      <c r="P139" s="347">
        <f>O139/'D) Ecrêtage'!C139</f>
        <v>0</v>
      </c>
      <c r="Q139" s="167"/>
    </row>
    <row r="140" spans="1:17" x14ac:dyDescent="0.25">
      <c r="A140" s="165">
        <f>'A) Base RI'!A142</f>
        <v>5632</v>
      </c>
      <c r="B140" s="42" t="str">
        <f>'A) Base RI'!B142</f>
        <v>Denges</v>
      </c>
      <c r="C140" s="41">
        <f>'D) Ecrêtage'!M140</f>
        <v>70599.599193548376</v>
      </c>
      <c r="D140" s="41">
        <v>171821</v>
      </c>
      <c r="E140" s="14">
        <v>355987</v>
      </c>
      <c r="F140" s="52">
        <v>66092</v>
      </c>
      <c r="G140" s="52">
        <f t="shared" si="16"/>
        <v>593900</v>
      </c>
      <c r="H140" s="14">
        <f t="shared" si="20"/>
        <v>564796.79354838701</v>
      </c>
      <c r="I140" s="41">
        <f t="shared" si="17"/>
        <v>29103.20645161299</v>
      </c>
      <c r="J140" s="4">
        <f t="shared" si="21"/>
        <v>-20898.820539343735</v>
      </c>
      <c r="K140" s="19">
        <v>10541</v>
      </c>
      <c r="L140" s="14">
        <f t="shared" si="22"/>
        <v>70599.599193548376</v>
      </c>
      <c r="M140" s="19">
        <f t="shared" si="18"/>
        <v>0</v>
      </c>
      <c r="N140" s="4">
        <f t="shared" si="23"/>
        <v>0</v>
      </c>
      <c r="O140" s="174">
        <f t="shared" si="19"/>
        <v>-20898.820539343735</v>
      </c>
      <c r="P140" s="347">
        <f>O140/'D) Ecrêtage'!C140</f>
        <v>-0.29601896863535648</v>
      </c>
      <c r="Q140" s="167"/>
    </row>
    <row r="141" spans="1:17" x14ac:dyDescent="0.25">
      <c r="A141" s="165">
        <f>'A) Base RI'!A143</f>
        <v>5633</v>
      </c>
      <c r="B141" s="42" t="str">
        <f>'A) Base RI'!B143</f>
        <v>Echandens</v>
      </c>
      <c r="C141" s="41">
        <f>'D) Ecrêtage'!M141</f>
        <v>123013.45645161292</v>
      </c>
      <c r="D141" s="41">
        <v>820945</v>
      </c>
      <c r="E141" s="14">
        <v>600822</v>
      </c>
      <c r="F141" s="52">
        <v>126204</v>
      </c>
      <c r="G141" s="52">
        <f t="shared" si="16"/>
        <v>1547971</v>
      </c>
      <c r="H141" s="14">
        <f t="shared" si="20"/>
        <v>984107.65161290334</v>
      </c>
      <c r="I141" s="41">
        <f t="shared" si="17"/>
        <v>563863.34838709666</v>
      </c>
      <c r="J141" s="4">
        <f t="shared" si="21"/>
        <v>-404906.55028845719</v>
      </c>
      <c r="K141" s="19">
        <v>36791</v>
      </c>
      <c r="L141" s="14">
        <f t="shared" si="22"/>
        <v>123013.45645161292</v>
      </c>
      <c r="M141" s="19">
        <f t="shared" si="18"/>
        <v>0</v>
      </c>
      <c r="N141" s="4">
        <f t="shared" si="23"/>
        <v>0</v>
      </c>
      <c r="O141" s="174">
        <f t="shared" si="19"/>
        <v>-404906.55028845719</v>
      </c>
      <c r="P141" s="347">
        <f>O141/'D) Ecrêtage'!C141</f>
        <v>-3.2915630693437699</v>
      </c>
      <c r="Q141" s="167"/>
    </row>
    <row r="142" spans="1:17" x14ac:dyDescent="0.25">
      <c r="A142" s="165">
        <f>'A) Base RI'!A144</f>
        <v>5634</v>
      </c>
      <c r="B142" s="42" t="str">
        <f>'A) Base RI'!B144</f>
        <v>Echichens</v>
      </c>
      <c r="C142" s="41">
        <f>'D) Ecrêtage'!M142</f>
        <v>121660.2017647059</v>
      </c>
      <c r="D142" s="41">
        <v>261472</v>
      </c>
      <c r="E142" s="14">
        <v>356034</v>
      </c>
      <c r="F142" s="52">
        <v>162572</v>
      </c>
      <c r="G142" s="52">
        <f t="shared" si="16"/>
        <v>780078</v>
      </c>
      <c r="H142" s="14">
        <f t="shared" si="20"/>
        <v>973281.61411764717</v>
      </c>
      <c r="I142" s="41">
        <f t="shared" si="17"/>
        <v>0</v>
      </c>
      <c r="J142" s="4">
        <f t="shared" si="21"/>
        <v>0</v>
      </c>
      <c r="K142" s="19">
        <v>9734</v>
      </c>
      <c r="L142" s="14">
        <f t="shared" si="22"/>
        <v>121660.2017647059</v>
      </c>
      <c r="M142" s="19">
        <f t="shared" si="18"/>
        <v>0</v>
      </c>
      <c r="N142" s="4">
        <f t="shared" si="23"/>
        <v>0</v>
      </c>
      <c r="O142" s="174">
        <f t="shared" si="19"/>
        <v>0</v>
      </c>
      <c r="P142" s="347">
        <f>O142/'D) Ecrêtage'!C142</f>
        <v>0</v>
      </c>
      <c r="Q142" s="167"/>
    </row>
    <row r="143" spans="1:17" x14ac:dyDescent="0.25">
      <c r="A143" s="165">
        <f>'A) Base RI'!A145</f>
        <v>5635</v>
      </c>
      <c r="B143" s="42" t="str">
        <f>'A) Base RI'!B145</f>
        <v>Ecublens</v>
      </c>
      <c r="C143" s="41">
        <f>'D) Ecrêtage'!M143</f>
        <v>470087.75038200343</v>
      </c>
      <c r="D143" s="41">
        <v>3241880</v>
      </c>
      <c r="E143" s="14">
        <v>3705808</v>
      </c>
      <c r="F143" s="52">
        <v>208286</v>
      </c>
      <c r="G143" s="52">
        <f t="shared" si="16"/>
        <v>7155974</v>
      </c>
      <c r="H143" s="14">
        <f t="shared" si="20"/>
        <v>3760702.0030560275</v>
      </c>
      <c r="I143" s="41">
        <f t="shared" si="17"/>
        <v>3395271.9969439725</v>
      </c>
      <c r="J143" s="4">
        <f t="shared" si="21"/>
        <v>-2438122.4200970693</v>
      </c>
      <c r="K143" s="19">
        <v>145283</v>
      </c>
      <c r="L143" s="14">
        <f t="shared" si="22"/>
        <v>470087.75038200343</v>
      </c>
      <c r="M143" s="19">
        <f t="shared" si="18"/>
        <v>0</v>
      </c>
      <c r="N143" s="4">
        <f t="shared" si="23"/>
        <v>0</v>
      </c>
      <c r="O143" s="174">
        <f t="shared" si="19"/>
        <v>-2438122.4200970693</v>
      </c>
      <c r="P143" s="347">
        <f>O143/'D) Ecrêtage'!C143</f>
        <v>-5.1865261711580413</v>
      </c>
      <c r="Q143" s="167"/>
    </row>
    <row r="144" spans="1:17" x14ac:dyDescent="0.25">
      <c r="A144" s="165">
        <f>'A) Base RI'!A146</f>
        <v>5636</v>
      </c>
      <c r="B144" s="42" t="str">
        <f>'A) Base RI'!B146</f>
        <v>Etoy</v>
      </c>
      <c r="C144" s="41">
        <f>'D) Ecrêtage'!M144</f>
        <v>158779.04229508198</v>
      </c>
      <c r="D144" s="41">
        <v>531801</v>
      </c>
      <c r="E144" s="14">
        <v>274569</v>
      </c>
      <c r="F144" s="52">
        <v>350638</v>
      </c>
      <c r="G144" s="52">
        <f t="shared" si="16"/>
        <v>1157008</v>
      </c>
      <c r="H144" s="14">
        <f t="shared" si="20"/>
        <v>1270232.3383606558</v>
      </c>
      <c r="I144" s="41">
        <f t="shared" si="17"/>
        <v>0</v>
      </c>
      <c r="J144" s="4">
        <f t="shared" si="21"/>
        <v>0</v>
      </c>
      <c r="K144" s="19">
        <v>10601</v>
      </c>
      <c r="L144" s="14">
        <f t="shared" si="22"/>
        <v>158779.04229508198</v>
      </c>
      <c r="M144" s="19">
        <f t="shared" si="18"/>
        <v>0</v>
      </c>
      <c r="N144" s="4">
        <f t="shared" si="23"/>
        <v>0</v>
      </c>
      <c r="O144" s="174">
        <f t="shared" si="19"/>
        <v>0</v>
      </c>
      <c r="P144" s="347">
        <f>O144/'D) Ecrêtage'!C144</f>
        <v>0</v>
      </c>
      <c r="Q144" s="167"/>
    </row>
    <row r="145" spans="1:17" x14ac:dyDescent="0.25">
      <c r="A145" s="165">
        <f>'A) Base RI'!A147</f>
        <v>5637</v>
      </c>
      <c r="B145" s="42" t="str">
        <f>'A) Base RI'!B147</f>
        <v>Lavigny</v>
      </c>
      <c r="C145" s="41">
        <f>'D) Ecrêtage'!M145</f>
        <v>31075.388277404931</v>
      </c>
      <c r="D145" s="41">
        <v>380706</v>
      </c>
      <c r="E145" s="14">
        <v>68596</v>
      </c>
      <c r="F145" s="52">
        <v>122142</v>
      </c>
      <c r="G145" s="52">
        <f t="shared" si="16"/>
        <v>571444</v>
      </c>
      <c r="H145" s="14">
        <f t="shared" si="20"/>
        <v>248603.10621923945</v>
      </c>
      <c r="I145" s="41">
        <f t="shared" si="17"/>
        <v>322840.89378076058</v>
      </c>
      <c r="J145" s="4">
        <f t="shared" si="21"/>
        <v>-231829.91582398332</v>
      </c>
      <c r="K145" s="19"/>
      <c r="L145" s="14">
        <f t="shared" si="22"/>
        <v>31075.388277404931</v>
      </c>
      <c r="M145" s="19">
        <f t="shared" si="18"/>
        <v>0</v>
      </c>
      <c r="N145" s="4">
        <f t="shared" si="23"/>
        <v>0</v>
      </c>
      <c r="O145" s="174">
        <f t="shared" si="19"/>
        <v>-231829.91582398332</v>
      </c>
      <c r="P145" s="347">
        <f>O145/'D) Ecrêtage'!C145</f>
        <v>-7.4602419688042323</v>
      </c>
      <c r="Q145" s="167"/>
    </row>
    <row r="146" spans="1:17" x14ac:dyDescent="0.25">
      <c r="A146" s="165">
        <f>'A) Base RI'!A148</f>
        <v>5638</v>
      </c>
      <c r="B146" s="42" t="str">
        <f>'A) Base RI'!B148</f>
        <v>Lonay</v>
      </c>
      <c r="C146" s="41">
        <f>'D) Ecrêtage'!M146</f>
        <v>149153.52002347697</v>
      </c>
      <c r="D146" s="41">
        <v>707431</v>
      </c>
      <c r="E146" s="14">
        <v>672048</v>
      </c>
      <c r="F146" s="52">
        <v>88856</v>
      </c>
      <c r="G146" s="52">
        <f t="shared" si="16"/>
        <v>1468335</v>
      </c>
      <c r="H146" s="14">
        <f t="shared" si="20"/>
        <v>1193228.1601878158</v>
      </c>
      <c r="I146" s="41">
        <f t="shared" si="17"/>
        <v>275106.83981218422</v>
      </c>
      <c r="J146" s="4">
        <f t="shared" si="21"/>
        <v>-197552.40660302472</v>
      </c>
      <c r="K146" s="19">
        <v>7103</v>
      </c>
      <c r="L146" s="14">
        <f t="shared" si="22"/>
        <v>149153.52002347697</v>
      </c>
      <c r="M146" s="19">
        <f t="shared" si="18"/>
        <v>0</v>
      </c>
      <c r="N146" s="4">
        <f t="shared" si="23"/>
        <v>0</v>
      </c>
      <c r="O146" s="174">
        <f t="shared" si="19"/>
        <v>-197552.40660302472</v>
      </c>
      <c r="P146" s="347">
        <f>O146/'D) Ecrêtage'!C146</f>
        <v>-1.2956331686204923</v>
      </c>
      <c r="Q146" s="167"/>
    </row>
    <row r="147" spans="1:17" x14ac:dyDescent="0.25">
      <c r="A147" s="165">
        <f>'A) Base RI'!A149</f>
        <v>5639</v>
      </c>
      <c r="B147" s="42" t="str">
        <f>'A) Base RI'!B149</f>
        <v>Lully</v>
      </c>
      <c r="C147" s="41">
        <f>'D) Ecrêtage'!M147</f>
        <v>42112.878690942372</v>
      </c>
      <c r="D147" s="41">
        <v>330048</v>
      </c>
      <c r="E147" s="14">
        <v>135832</v>
      </c>
      <c r="F147" s="52">
        <v>12215</v>
      </c>
      <c r="G147" s="52">
        <f t="shared" si="16"/>
        <v>478095</v>
      </c>
      <c r="H147" s="14">
        <f t="shared" si="20"/>
        <v>336903.02952753898</v>
      </c>
      <c r="I147" s="41">
        <f t="shared" si="17"/>
        <v>141191.97047246102</v>
      </c>
      <c r="J147" s="4">
        <f t="shared" si="21"/>
        <v>-101389.02245724003</v>
      </c>
      <c r="K147" s="19">
        <v>22383</v>
      </c>
      <c r="L147" s="14">
        <f t="shared" si="22"/>
        <v>42112.878690942372</v>
      </c>
      <c r="M147" s="19">
        <f t="shared" si="18"/>
        <v>0</v>
      </c>
      <c r="N147" s="4">
        <f t="shared" si="23"/>
        <v>0</v>
      </c>
      <c r="O147" s="174">
        <f t="shared" si="19"/>
        <v>-101389.02245724003</v>
      </c>
      <c r="P147" s="347">
        <f>O147/'D) Ecrêtage'!C147</f>
        <v>-2.3958598271457401</v>
      </c>
      <c r="Q147" s="167"/>
    </row>
    <row r="148" spans="1:17" x14ac:dyDescent="0.25">
      <c r="A148" s="165">
        <f>'A) Base RI'!A150</f>
        <v>5640</v>
      </c>
      <c r="B148" s="42" t="str">
        <f>'A) Base RI'!B150</f>
        <v>Lussy-sur-Morges</v>
      </c>
      <c r="C148" s="41">
        <f>'D) Ecrêtage'!M148</f>
        <v>42867.270859356686</v>
      </c>
      <c r="D148" s="41">
        <v>146250</v>
      </c>
      <c r="E148" s="14">
        <v>97596</v>
      </c>
      <c r="F148" s="52">
        <v>68916</v>
      </c>
      <c r="G148" s="52">
        <f t="shared" si="16"/>
        <v>312762</v>
      </c>
      <c r="H148" s="14">
        <f t="shared" si="20"/>
        <v>342938.16687485349</v>
      </c>
      <c r="I148" s="41">
        <f t="shared" si="17"/>
        <v>0</v>
      </c>
      <c r="J148" s="4">
        <f t="shared" si="21"/>
        <v>0</v>
      </c>
      <c r="K148" s="19">
        <v>15365</v>
      </c>
      <c r="L148" s="14">
        <f t="shared" si="22"/>
        <v>42867.270859356686</v>
      </c>
      <c r="M148" s="19">
        <f t="shared" si="18"/>
        <v>0</v>
      </c>
      <c r="N148" s="4">
        <f t="shared" si="23"/>
        <v>0</v>
      </c>
      <c r="O148" s="174">
        <f t="shared" si="19"/>
        <v>0</v>
      </c>
      <c r="P148" s="347">
        <f>O148/'D) Ecrêtage'!C148</f>
        <v>0</v>
      </c>
      <c r="Q148" s="167"/>
    </row>
    <row r="149" spans="1:17" x14ac:dyDescent="0.25">
      <c r="A149" s="165">
        <f>'A) Base RI'!A151</f>
        <v>5642</v>
      </c>
      <c r="B149" s="42" t="str">
        <f>'A) Base RI'!B151</f>
        <v>Morges</v>
      </c>
      <c r="C149" s="41">
        <f>'D) Ecrêtage'!M149</f>
        <v>715380.13065693423</v>
      </c>
      <c r="D149" s="41">
        <v>3419227</v>
      </c>
      <c r="E149" s="14">
        <v>3537380</v>
      </c>
      <c r="F149" s="52">
        <v>486171</v>
      </c>
      <c r="G149" s="52">
        <f t="shared" si="16"/>
        <v>7442778</v>
      </c>
      <c r="H149" s="14">
        <f t="shared" si="20"/>
        <v>5723041.0452554738</v>
      </c>
      <c r="I149" s="41">
        <f t="shared" si="17"/>
        <v>1719736.9547445262</v>
      </c>
      <c r="J149" s="4">
        <f t="shared" si="21"/>
        <v>-1234931.7609328718</v>
      </c>
      <c r="K149" s="19">
        <v>61820</v>
      </c>
      <c r="L149" s="14">
        <f t="shared" si="22"/>
        <v>715380.13065693423</v>
      </c>
      <c r="M149" s="19">
        <f t="shared" si="18"/>
        <v>0</v>
      </c>
      <c r="N149" s="4">
        <f t="shared" si="23"/>
        <v>0</v>
      </c>
      <c r="O149" s="174">
        <f t="shared" si="19"/>
        <v>-1234931.7609328718</v>
      </c>
      <c r="P149" s="347">
        <f>O149/'D) Ecrêtage'!C149</f>
        <v>-1.7262595199545629</v>
      </c>
      <c r="Q149" s="167"/>
    </row>
    <row r="150" spans="1:17" x14ac:dyDescent="0.25">
      <c r="A150" s="165">
        <f>'A) Base RI'!A152</f>
        <v>5643</v>
      </c>
      <c r="B150" s="42" t="str">
        <f>'A) Base RI'!B152</f>
        <v>Préverenges</v>
      </c>
      <c r="C150" s="41">
        <f>'D) Ecrêtage'!M150</f>
        <v>249793.53640625</v>
      </c>
      <c r="D150" s="41">
        <v>125103</v>
      </c>
      <c r="E150" s="14">
        <v>1008472</v>
      </c>
      <c r="F150" s="52">
        <v>115483</v>
      </c>
      <c r="G150" s="52">
        <f t="shared" si="16"/>
        <v>1249058</v>
      </c>
      <c r="H150" s="14">
        <f t="shared" si="20"/>
        <v>1998348.29125</v>
      </c>
      <c r="I150" s="41">
        <f t="shared" si="17"/>
        <v>0</v>
      </c>
      <c r="J150" s="4">
        <f t="shared" si="21"/>
        <v>0</v>
      </c>
      <c r="K150" s="19">
        <v>150</v>
      </c>
      <c r="L150" s="14">
        <f t="shared" si="22"/>
        <v>249793.53640625</v>
      </c>
      <c r="M150" s="19">
        <f t="shared" si="18"/>
        <v>0</v>
      </c>
      <c r="N150" s="4">
        <f t="shared" si="23"/>
        <v>0</v>
      </c>
      <c r="O150" s="174">
        <f t="shared" si="19"/>
        <v>0</v>
      </c>
      <c r="P150" s="347">
        <f>O150/'D) Ecrêtage'!C150</f>
        <v>0</v>
      </c>
      <c r="Q150" s="167"/>
    </row>
    <row r="151" spans="1:17" x14ac:dyDescent="0.25">
      <c r="A151" s="165">
        <f>'A) Base RI'!A153</f>
        <v>5644</v>
      </c>
      <c r="B151" s="42" t="str">
        <f>'A) Base RI'!B153</f>
        <v>Reverolle</v>
      </c>
      <c r="C151" s="41">
        <f>'D) Ecrêtage'!M151</f>
        <v>15594.857631578949</v>
      </c>
      <c r="D151" s="41">
        <v>157917</v>
      </c>
      <c r="E151" s="14">
        <v>22095</v>
      </c>
      <c r="F151" s="52">
        <v>46132</v>
      </c>
      <c r="G151" s="52">
        <f t="shared" si="16"/>
        <v>226144</v>
      </c>
      <c r="H151" s="14">
        <f t="shared" si="20"/>
        <v>124758.86105263159</v>
      </c>
      <c r="I151" s="41">
        <f t="shared" si="17"/>
        <v>101385.13894736841</v>
      </c>
      <c r="J151" s="4">
        <f t="shared" si="21"/>
        <v>-72803.999371692917</v>
      </c>
      <c r="K151" s="19">
        <v>10509</v>
      </c>
      <c r="L151" s="14">
        <f t="shared" si="22"/>
        <v>15594.857631578949</v>
      </c>
      <c r="M151" s="19">
        <f t="shared" si="18"/>
        <v>0</v>
      </c>
      <c r="N151" s="4">
        <f t="shared" si="23"/>
        <v>0</v>
      </c>
      <c r="O151" s="174">
        <f t="shared" si="19"/>
        <v>-72803.999371692917</v>
      </c>
      <c r="P151" s="347">
        <f>O151/'D) Ecrêtage'!C151</f>
        <v>-4.6684619437799677</v>
      </c>
      <c r="Q151" s="167"/>
    </row>
    <row r="152" spans="1:17" x14ac:dyDescent="0.25">
      <c r="A152" s="165">
        <f>'A) Base RI'!A154</f>
        <v>5645</v>
      </c>
      <c r="B152" s="42" t="str">
        <f>'A) Base RI'!B154</f>
        <v>Romanel-sur-Morges</v>
      </c>
      <c r="C152" s="41">
        <f>'D) Ecrêtage'!M152</f>
        <v>25296.466659002461</v>
      </c>
      <c r="D152" s="41">
        <v>64418</v>
      </c>
      <c r="E152" s="14">
        <v>13499</v>
      </c>
      <c r="F152" s="52">
        <v>47371</v>
      </c>
      <c r="G152" s="52">
        <f t="shared" si="16"/>
        <v>125288</v>
      </c>
      <c r="H152" s="14">
        <f t="shared" si="20"/>
        <v>202371.73327201969</v>
      </c>
      <c r="I152" s="41">
        <f t="shared" si="17"/>
        <v>0</v>
      </c>
      <c r="J152" s="4">
        <f t="shared" si="21"/>
        <v>0</v>
      </c>
      <c r="K152" s="19">
        <v>8769</v>
      </c>
      <c r="L152" s="14">
        <f t="shared" si="22"/>
        <v>25296.466659002461</v>
      </c>
      <c r="M152" s="19">
        <f t="shared" si="18"/>
        <v>0</v>
      </c>
      <c r="N152" s="4">
        <f t="shared" si="23"/>
        <v>0</v>
      </c>
      <c r="O152" s="174">
        <f t="shared" si="19"/>
        <v>0</v>
      </c>
      <c r="P152" s="347">
        <f>O152/'D) Ecrêtage'!C152</f>
        <v>0</v>
      </c>
      <c r="Q152" s="167"/>
    </row>
    <row r="153" spans="1:17" x14ac:dyDescent="0.25">
      <c r="A153" s="165">
        <f>'A) Base RI'!A155</f>
        <v>5646</v>
      </c>
      <c r="B153" s="42" t="str">
        <f>'A) Base RI'!B155</f>
        <v>Saint-Prex</v>
      </c>
      <c r="C153" s="41">
        <f>'D) Ecrêtage'!M153</f>
        <v>306907.65312217548</v>
      </c>
      <c r="D153" s="41">
        <v>670009</v>
      </c>
      <c r="E153" s="14">
        <v>422590</v>
      </c>
      <c r="F153" s="52">
        <v>167532</v>
      </c>
      <c r="G153" s="52">
        <f t="shared" si="16"/>
        <v>1260131</v>
      </c>
      <c r="H153" s="14">
        <f t="shared" si="20"/>
        <v>2455261.2249774039</v>
      </c>
      <c r="I153" s="41">
        <f t="shared" si="17"/>
        <v>0</v>
      </c>
      <c r="J153" s="4">
        <f t="shared" si="21"/>
        <v>0</v>
      </c>
      <c r="K153" s="19">
        <v>16268</v>
      </c>
      <c r="L153" s="14">
        <f t="shared" si="22"/>
        <v>306907.65312217548</v>
      </c>
      <c r="M153" s="19">
        <f t="shared" si="18"/>
        <v>0</v>
      </c>
      <c r="N153" s="4">
        <f t="shared" si="23"/>
        <v>0</v>
      </c>
      <c r="O153" s="174">
        <f t="shared" si="19"/>
        <v>0</v>
      </c>
      <c r="P153" s="347">
        <f>O153/'D) Ecrêtage'!C153</f>
        <v>0</v>
      </c>
      <c r="Q153" s="167"/>
    </row>
    <row r="154" spans="1:17" x14ac:dyDescent="0.25">
      <c r="A154" s="165">
        <f>'A) Base RI'!A156</f>
        <v>5648</v>
      </c>
      <c r="B154" s="42" t="str">
        <f>'A) Base RI'!B156</f>
        <v>Saint-Sulpice</v>
      </c>
      <c r="C154" s="41">
        <f>'D) Ecrêtage'!M154</f>
        <v>282446.6454565766</v>
      </c>
      <c r="D154" s="41">
        <v>382687</v>
      </c>
      <c r="E154" s="14">
        <v>1749230</v>
      </c>
      <c r="F154" s="52">
        <v>208577</v>
      </c>
      <c r="G154" s="52">
        <f t="shared" si="16"/>
        <v>2340494</v>
      </c>
      <c r="H154" s="14">
        <f t="shared" si="20"/>
        <v>2259573.1636526128</v>
      </c>
      <c r="I154" s="41">
        <f t="shared" si="17"/>
        <v>80920.836347387172</v>
      </c>
      <c r="J154" s="4">
        <f t="shared" si="21"/>
        <v>-58108.718691507587</v>
      </c>
      <c r="K154" s="19">
        <v>55285</v>
      </c>
      <c r="L154" s="14">
        <f t="shared" si="22"/>
        <v>282446.6454565766</v>
      </c>
      <c r="M154" s="19">
        <f t="shared" si="18"/>
        <v>0</v>
      </c>
      <c r="N154" s="4">
        <f t="shared" si="23"/>
        <v>0</v>
      </c>
      <c r="O154" s="174">
        <f t="shared" si="19"/>
        <v>-58108.718691507587</v>
      </c>
      <c r="P154" s="347">
        <f>O154/'D) Ecrêtage'!C154</f>
        <v>-0.18907251975468664</v>
      </c>
      <c r="Q154" s="167"/>
    </row>
    <row r="155" spans="1:17" x14ac:dyDescent="0.25">
      <c r="A155" s="165">
        <f>'A) Base RI'!A157</f>
        <v>5649</v>
      </c>
      <c r="B155" s="42" t="str">
        <f>'A) Base RI'!B157</f>
        <v>Tolochenaz</v>
      </c>
      <c r="C155" s="41">
        <f>'D) Ecrêtage'!M155</f>
        <v>107438.09926130871</v>
      </c>
      <c r="D155" s="41">
        <v>372931</v>
      </c>
      <c r="E155" s="14">
        <v>554523</v>
      </c>
      <c r="F155" s="52">
        <v>28916</v>
      </c>
      <c r="G155" s="52">
        <f t="shared" si="16"/>
        <v>956370</v>
      </c>
      <c r="H155" s="14">
        <f t="shared" si="20"/>
        <v>859504.79409046972</v>
      </c>
      <c r="I155" s="41">
        <f t="shared" si="17"/>
        <v>96865.205909530283</v>
      </c>
      <c r="J155" s="4">
        <f t="shared" si="21"/>
        <v>-69558.265278280174</v>
      </c>
      <c r="K155" s="19">
        <v>8469</v>
      </c>
      <c r="L155" s="14">
        <f t="shared" si="22"/>
        <v>107438.09926130871</v>
      </c>
      <c r="M155" s="19">
        <f t="shared" si="18"/>
        <v>0</v>
      </c>
      <c r="N155" s="4">
        <f t="shared" si="23"/>
        <v>0</v>
      </c>
      <c r="O155" s="174">
        <f t="shared" si="19"/>
        <v>-69558.265278280174</v>
      </c>
      <c r="P155" s="347">
        <f>O155/'D) Ecrêtage'!C155</f>
        <v>-0.63604778996434441</v>
      </c>
      <c r="Q155" s="167"/>
    </row>
    <row r="156" spans="1:17" x14ac:dyDescent="0.25">
      <c r="A156" s="165">
        <f>'A) Base RI'!A158</f>
        <v>5650</v>
      </c>
      <c r="B156" s="42" t="str">
        <f>'A) Base RI'!B158</f>
        <v>Vaux-sur-Morges</v>
      </c>
      <c r="C156" s="41">
        <f>'D) Ecrêtage'!M156</f>
        <v>112157.36408583977</v>
      </c>
      <c r="D156" s="41">
        <v>20801</v>
      </c>
      <c r="E156" s="14">
        <v>12165</v>
      </c>
      <c r="F156" s="52">
        <v>24815</v>
      </c>
      <c r="G156" s="52">
        <f t="shared" si="16"/>
        <v>57781</v>
      </c>
      <c r="H156" s="14">
        <f t="shared" si="20"/>
        <v>897258.91268671816</v>
      </c>
      <c r="I156" s="41">
        <f t="shared" si="17"/>
        <v>0</v>
      </c>
      <c r="J156" s="4">
        <f t="shared" si="21"/>
        <v>0</v>
      </c>
      <c r="K156" s="19">
        <v>1407</v>
      </c>
      <c r="L156" s="14">
        <f t="shared" si="22"/>
        <v>112157.36408583977</v>
      </c>
      <c r="M156" s="19">
        <f t="shared" si="18"/>
        <v>0</v>
      </c>
      <c r="N156" s="4">
        <f t="shared" si="23"/>
        <v>0</v>
      </c>
      <c r="O156" s="174">
        <f t="shared" si="19"/>
        <v>0</v>
      </c>
      <c r="P156" s="347">
        <f>O156/'D) Ecrêtage'!C156</f>
        <v>0</v>
      </c>
      <c r="Q156" s="167"/>
    </row>
    <row r="157" spans="1:17" x14ac:dyDescent="0.25">
      <c r="A157" s="165">
        <f>'A) Base RI'!A159</f>
        <v>5651</v>
      </c>
      <c r="B157" s="42" t="str">
        <f>'A) Base RI'!B159</f>
        <v>Villars-Sainte-Croix</v>
      </c>
      <c r="C157" s="41">
        <f>'D) Ecrêtage'!M157</f>
        <v>37823.297796610175</v>
      </c>
      <c r="D157" s="41">
        <v>114058</v>
      </c>
      <c r="E157" s="14">
        <v>71045</v>
      </c>
      <c r="F157" s="52">
        <v>31738</v>
      </c>
      <c r="G157" s="52">
        <f t="shared" si="16"/>
        <v>216841</v>
      </c>
      <c r="H157" s="14">
        <f t="shared" si="20"/>
        <v>302586.3823728814</v>
      </c>
      <c r="I157" s="41">
        <f t="shared" si="17"/>
        <v>0</v>
      </c>
      <c r="J157" s="4">
        <f t="shared" si="21"/>
        <v>0</v>
      </c>
      <c r="K157" s="19">
        <v>22791</v>
      </c>
      <c r="L157" s="14">
        <f t="shared" si="22"/>
        <v>37823.297796610175</v>
      </c>
      <c r="M157" s="19">
        <f t="shared" si="18"/>
        <v>0</v>
      </c>
      <c r="N157" s="4">
        <f t="shared" si="23"/>
        <v>0</v>
      </c>
      <c r="O157" s="174">
        <f t="shared" si="19"/>
        <v>0</v>
      </c>
      <c r="P157" s="347">
        <f>O157/'D) Ecrêtage'!C157</f>
        <v>0</v>
      </c>
      <c r="Q157" s="167"/>
    </row>
    <row r="158" spans="1:17" x14ac:dyDescent="0.25">
      <c r="A158" s="165">
        <f>'A) Base RI'!A160</f>
        <v>5652</v>
      </c>
      <c r="B158" s="42" t="str">
        <f>'A) Base RI'!B160</f>
        <v>Villars-sous-Yens</v>
      </c>
      <c r="C158" s="41">
        <f>'D) Ecrêtage'!M158</f>
        <v>23640.281403508772</v>
      </c>
      <c r="D158" s="41">
        <v>253752</v>
      </c>
      <c r="E158" s="14">
        <v>57152</v>
      </c>
      <c r="F158" s="52">
        <v>57575</v>
      </c>
      <c r="G158" s="52">
        <f t="shared" si="16"/>
        <v>368479</v>
      </c>
      <c r="H158" s="14">
        <f t="shared" si="20"/>
        <v>189122.25122807018</v>
      </c>
      <c r="I158" s="41">
        <f t="shared" si="17"/>
        <v>179356.74877192982</v>
      </c>
      <c r="J158" s="4">
        <f t="shared" si="21"/>
        <v>-128794.89795520371</v>
      </c>
      <c r="K158" s="19">
        <v>1052</v>
      </c>
      <c r="L158" s="14">
        <f t="shared" si="22"/>
        <v>23640.281403508772</v>
      </c>
      <c r="M158" s="19">
        <f t="shared" si="18"/>
        <v>0</v>
      </c>
      <c r="N158" s="4">
        <f t="shared" si="23"/>
        <v>0</v>
      </c>
      <c r="O158" s="174">
        <f t="shared" si="19"/>
        <v>-128794.89795520371</v>
      </c>
      <c r="P158" s="347">
        <f>O158/'D) Ecrêtage'!C158</f>
        <v>-5.4481118797548458</v>
      </c>
      <c r="Q158" s="167"/>
    </row>
    <row r="159" spans="1:17" x14ac:dyDescent="0.25">
      <c r="A159" s="165">
        <f>'A) Base RI'!A161</f>
        <v>5653</v>
      </c>
      <c r="B159" s="42" t="str">
        <f>'A) Base RI'!B161</f>
        <v>Vufflens-le-Château</v>
      </c>
      <c r="C159" s="41">
        <f>'D) Ecrêtage'!M159</f>
        <v>56039.298149185466</v>
      </c>
      <c r="D159" s="41">
        <v>84304</v>
      </c>
      <c r="E159" s="14">
        <v>64005</v>
      </c>
      <c r="F159" s="52">
        <v>11250</v>
      </c>
      <c r="G159" s="52">
        <f t="shared" si="16"/>
        <v>159559</v>
      </c>
      <c r="H159" s="14">
        <f t="shared" si="20"/>
        <v>448314.38519348373</v>
      </c>
      <c r="I159" s="41">
        <f t="shared" si="17"/>
        <v>0</v>
      </c>
      <c r="J159" s="4">
        <f t="shared" si="21"/>
        <v>0</v>
      </c>
      <c r="K159" s="19">
        <v>7155</v>
      </c>
      <c r="L159" s="14">
        <f t="shared" si="22"/>
        <v>56039.298149185466</v>
      </c>
      <c r="M159" s="19">
        <f t="shared" si="18"/>
        <v>0</v>
      </c>
      <c r="N159" s="4">
        <f t="shared" si="23"/>
        <v>0</v>
      </c>
      <c r="O159" s="174">
        <f t="shared" si="19"/>
        <v>0</v>
      </c>
      <c r="P159" s="347">
        <f>O159/'D) Ecrêtage'!C159</f>
        <v>0</v>
      </c>
      <c r="Q159" s="167"/>
    </row>
    <row r="160" spans="1:17" x14ac:dyDescent="0.25">
      <c r="A160" s="165">
        <f>'A) Base RI'!A162</f>
        <v>5654</v>
      </c>
      <c r="B160" s="42" t="str">
        <f>'A) Base RI'!B162</f>
        <v>Vullierens</v>
      </c>
      <c r="C160" s="41">
        <f>'D) Ecrêtage'!M160</f>
        <v>16948.890394736845</v>
      </c>
      <c r="D160" s="41">
        <v>230185</v>
      </c>
      <c r="E160" s="14">
        <v>14182</v>
      </c>
      <c r="F160" s="52">
        <v>56376</v>
      </c>
      <c r="G160" s="52">
        <f t="shared" si="16"/>
        <v>300743</v>
      </c>
      <c r="H160" s="14">
        <f t="shared" si="20"/>
        <v>135591.12315789476</v>
      </c>
      <c r="I160" s="41">
        <f t="shared" si="17"/>
        <v>165151.87684210524</v>
      </c>
      <c r="J160" s="4">
        <f t="shared" si="21"/>
        <v>-118594.4731415553</v>
      </c>
      <c r="K160" s="19">
        <v>8507</v>
      </c>
      <c r="L160" s="14">
        <f t="shared" si="22"/>
        <v>16948.890394736845</v>
      </c>
      <c r="M160" s="19">
        <f t="shared" si="18"/>
        <v>0</v>
      </c>
      <c r="N160" s="4">
        <f t="shared" si="23"/>
        <v>0</v>
      </c>
      <c r="O160" s="174">
        <f t="shared" si="19"/>
        <v>-118594.4731415553</v>
      </c>
      <c r="P160" s="347">
        <f>O160/'D) Ecrêtage'!C160</f>
        <v>-6.9971821387424011</v>
      </c>
      <c r="Q160" s="167"/>
    </row>
    <row r="161" spans="1:17" x14ac:dyDescent="0.25">
      <c r="A161" s="165">
        <f>'A) Base RI'!A163</f>
        <v>5655</v>
      </c>
      <c r="B161" s="42" t="str">
        <f>'A) Base RI'!B163</f>
        <v>Yens</v>
      </c>
      <c r="C161" s="41">
        <f>'D) Ecrêtage'!M161</f>
        <v>68107.282191780832</v>
      </c>
      <c r="D161" s="41">
        <v>199274</v>
      </c>
      <c r="E161" s="14">
        <v>102952</v>
      </c>
      <c r="F161" s="52">
        <v>149685</v>
      </c>
      <c r="G161" s="52">
        <f t="shared" si="16"/>
        <v>451911</v>
      </c>
      <c r="H161" s="14">
        <f t="shared" si="20"/>
        <v>544858.25753424666</v>
      </c>
      <c r="I161" s="41">
        <f t="shared" si="17"/>
        <v>0</v>
      </c>
      <c r="J161" s="4">
        <f t="shared" si="21"/>
        <v>0</v>
      </c>
      <c r="K161" s="19">
        <v>30451</v>
      </c>
      <c r="L161" s="14">
        <f t="shared" si="22"/>
        <v>68107.282191780832</v>
      </c>
      <c r="M161" s="19">
        <f t="shared" si="18"/>
        <v>0</v>
      </c>
      <c r="N161" s="4">
        <f t="shared" si="23"/>
        <v>0</v>
      </c>
      <c r="O161" s="174">
        <f t="shared" si="19"/>
        <v>0</v>
      </c>
      <c r="P161" s="347">
        <f>O161/'D) Ecrêtage'!C161</f>
        <v>0</v>
      </c>
      <c r="Q161" s="167"/>
    </row>
    <row r="162" spans="1:17" x14ac:dyDescent="0.25">
      <c r="A162" s="165">
        <f>'A) Base RI'!A164</f>
        <v>5661</v>
      </c>
      <c r="B162" s="42" t="str">
        <f>'A) Base RI'!B164</f>
        <v>Boulens</v>
      </c>
      <c r="C162" s="41">
        <f>'D) Ecrêtage'!M162</f>
        <v>7277.4751898734185</v>
      </c>
      <c r="D162" s="41">
        <v>45703</v>
      </c>
      <c r="E162" s="14">
        <v>7155</v>
      </c>
      <c r="F162" s="52">
        <v>31566</v>
      </c>
      <c r="G162" s="52">
        <f t="shared" si="16"/>
        <v>84424</v>
      </c>
      <c r="H162" s="14">
        <f t="shared" si="20"/>
        <v>58219.801518987348</v>
      </c>
      <c r="I162" s="41">
        <f t="shared" si="17"/>
        <v>26204.198481012652</v>
      </c>
      <c r="J162" s="4">
        <f t="shared" si="21"/>
        <v>-18817.062042374211</v>
      </c>
      <c r="K162" s="19">
        <v>44658</v>
      </c>
      <c r="L162" s="14">
        <f t="shared" si="22"/>
        <v>7277.4751898734185</v>
      </c>
      <c r="M162" s="19">
        <f t="shared" si="18"/>
        <v>37380.524810126582</v>
      </c>
      <c r="N162" s="4">
        <f t="shared" si="23"/>
        <v>-26842.708241518332</v>
      </c>
      <c r="O162" s="174">
        <f t="shared" si="19"/>
        <v>-45659.770283892547</v>
      </c>
      <c r="P162" s="347">
        <f>O162/'D) Ecrêtage'!C162</f>
        <v>-6.2741224246876115</v>
      </c>
      <c r="Q162" s="167"/>
    </row>
    <row r="163" spans="1:17" x14ac:dyDescent="0.25">
      <c r="A163" s="165">
        <f>'A) Base RI'!A165</f>
        <v>5663</v>
      </c>
      <c r="B163" s="42" t="str">
        <f>'A) Base RI'!B165</f>
        <v>Bussy-sur-Moudon</v>
      </c>
      <c r="C163" s="41">
        <f>'D) Ecrêtage'!M163</f>
        <v>4999.1039999999994</v>
      </c>
      <c r="D163" s="41">
        <v>40878</v>
      </c>
      <c r="E163" s="14">
        <v>4504</v>
      </c>
      <c r="F163" s="52">
        <v>11187</v>
      </c>
      <c r="G163" s="52">
        <f t="shared" si="16"/>
        <v>56569</v>
      </c>
      <c r="H163" s="14">
        <f t="shared" si="20"/>
        <v>39992.831999999995</v>
      </c>
      <c r="I163" s="41">
        <f t="shared" si="17"/>
        <v>16576.168000000005</v>
      </c>
      <c r="J163" s="4">
        <f t="shared" si="21"/>
        <v>-11903.236876595522</v>
      </c>
      <c r="K163" s="19">
        <v>36223</v>
      </c>
      <c r="L163" s="14">
        <f t="shared" si="22"/>
        <v>4999.1039999999994</v>
      </c>
      <c r="M163" s="19">
        <f t="shared" si="18"/>
        <v>31223.896000000001</v>
      </c>
      <c r="N163" s="4">
        <f t="shared" si="23"/>
        <v>-22421.673712415519</v>
      </c>
      <c r="O163" s="174">
        <f t="shared" si="19"/>
        <v>-34324.910589011037</v>
      </c>
      <c r="P163" s="347">
        <f>O163/'D) Ecrêtage'!C163</f>
        <v>-6.8662125430899303</v>
      </c>
      <c r="Q163" s="167"/>
    </row>
    <row r="164" spans="1:17" x14ac:dyDescent="0.25">
      <c r="A164" s="165">
        <f>'A) Base RI'!A166</f>
        <v>5665</v>
      </c>
      <c r="B164" s="42" t="str">
        <f>'A) Base RI'!B166</f>
        <v>Chavannes-sur-Moudon</v>
      </c>
      <c r="C164" s="41">
        <f>'D) Ecrêtage'!M164</f>
        <v>4834.5158333333329</v>
      </c>
      <c r="D164" s="41">
        <v>46004</v>
      </c>
      <c r="E164" s="14">
        <v>5327</v>
      </c>
      <c r="F164" s="52">
        <v>13463</v>
      </c>
      <c r="G164" s="52">
        <f t="shared" si="16"/>
        <v>64794</v>
      </c>
      <c r="H164" s="14">
        <f t="shared" si="20"/>
        <v>38676.126666666663</v>
      </c>
      <c r="I164" s="41">
        <f t="shared" si="17"/>
        <v>26117.873333333337</v>
      </c>
      <c r="J164" s="4">
        <f t="shared" si="21"/>
        <v>-18755.072523371149</v>
      </c>
      <c r="K164" s="19">
        <v>5169</v>
      </c>
      <c r="L164" s="14">
        <f t="shared" si="22"/>
        <v>4834.5158333333329</v>
      </c>
      <c r="M164" s="19">
        <f t="shared" si="18"/>
        <v>334.48416666666708</v>
      </c>
      <c r="N164" s="4">
        <f t="shared" si="23"/>
        <v>-240.19087326479757</v>
      </c>
      <c r="O164" s="174">
        <f t="shared" si="19"/>
        <v>-18995.263396635946</v>
      </c>
      <c r="P164" s="347">
        <f>O164/'D) Ecrêtage'!C164</f>
        <v>-3.9290932228758408</v>
      </c>
      <c r="Q164" s="167"/>
    </row>
    <row r="165" spans="1:17" x14ac:dyDescent="0.25">
      <c r="A165" s="165">
        <f>'A) Base RI'!A167</f>
        <v>5669</v>
      </c>
      <c r="B165" s="42" t="str">
        <f>'A) Base RI'!B167</f>
        <v>Curtilles</v>
      </c>
      <c r="C165" s="41">
        <f>'D) Ecrêtage'!M165</f>
        <v>8707.7998611111107</v>
      </c>
      <c r="D165" s="41">
        <v>50019</v>
      </c>
      <c r="E165" s="14">
        <v>13991</v>
      </c>
      <c r="F165" s="52">
        <v>19147</v>
      </c>
      <c r="G165" s="52">
        <f t="shared" si="16"/>
        <v>83157</v>
      </c>
      <c r="H165" s="14">
        <f t="shared" si="20"/>
        <v>69662.398888888885</v>
      </c>
      <c r="I165" s="41">
        <f t="shared" si="17"/>
        <v>13494.601111111115</v>
      </c>
      <c r="J165" s="4">
        <f t="shared" si="21"/>
        <v>-9690.3840248677916</v>
      </c>
      <c r="K165" s="19">
        <v>222</v>
      </c>
      <c r="L165" s="14">
        <f t="shared" si="22"/>
        <v>8707.7998611111107</v>
      </c>
      <c r="M165" s="19">
        <f t="shared" si="18"/>
        <v>0</v>
      </c>
      <c r="N165" s="4">
        <f t="shared" si="23"/>
        <v>0</v>
      </c>
      <c r="O165" s="174">
        <f t="shared" si="19"/>
        <v>-9690.3840248677916</v>
      </c>
      <c r="P165" s="347">
        <f>O165/'D) Ecrêtage'!C165</f>
        <v>-1.1128395437916396</v>
      </c>
      <c r="Q165" s="167"/>
    </row>
    <row r="166" spans="1:17" x14ac:dyDescent="0.25">
      <c r="A166" s="165">
        <f>'A) Base RI'!A168</f>
        <v>5671</v>
      </c>
      <c r="B166" s="42" t="str">
        <f>'A) Base RI'!B168</f>
        <v>Dompierre</v>
      </c>
      <c r="C166" s="41">
        <f>'D) Ecrêtage'!M166</f>
        <v>6226.6947500000006</v>
      </c>
      <c r="D166" s="41">
        <v>103828</v>
      </c>
      <c r="E166" s="14">
        <v>5647</v>
      </c>
      <c r="F166" s="52">
        <v>33668</v>
      </c>
      <c r="G166" s="52">
        <f t="shared" si="16"/>
        <v>143143</v>
      </c>
      <c r="H166" s="14">
        <f t="shared" si="20"/>
        <v>49813.558000000005</v>
      </c>
      <c r="I166" s="41">
        <f t="shared" si="17"/>
        <v>93329.441999999995</v>
      </c>
      <c r="J166" s="4">
        <f t="shared" si="21"/>
        <v>-67019.256542675153</v>
      </c>
      <c r="K166" s="19">
        <v>2997</v>
      </c>
      <c r="L166" s="14">
        <f t="shared" si="22"/>
        <v>6226.6947500000006</v>
      </c>
      <c r="M166" s="19">
        <f t="shared" si="18"/>
        <v>0</v>
      </c>
      <c r="N166" s="4">
        <f t="shared" si="23"/>
        <v>0</v>
      </c>
      <c r="O166" s="174">
        <f t="shared" si="19"/>
        <v>-67019.256542675153</v>
      </c>
      <c r="P166" s="347">
        <f>O166/'D) Ecrêtage'!C166</f>
        <v>-10.763215354771511</v>
      </c>
      <c r="Q166" s="167"/>
    </row>
    <row r="167" spans="1:17" x14ac:dyDescent="0.25">
      <c r="A167" s="165">
        <f>'A) Base RI'!A169</f>
        <v>5673</v>
      </c>
      <c r="B167" s="42" t="str">
        <f>'A) Base RI'!B169</f>
        <v>Hermenches</v>
      </c>
      <c r="C167" s="41">
        <f>'D) Ecrêtage'!M167</f>
        <v>8854.2944888888887</v>
      </c>
      <c r="D167" s="41">
        <v>123751</v>
      </c>
      <c r="E167" s="14">
        <v>8596</v>
      </c>
      <c r="F167" s="52">
        <v>22878</v>
      </c>
      <c r="G167" s="52">
        <f t="shared" ref="G167:G219" si="24">D167+E167+F167</f>
        <v>155225</v>
      </c>
      <c r="H167" s="14">
        <f t="shared" si="20"/>
        <v>70834.35591111111</v>
      </c>
      <c r="I167" s="41">
        <f t="shared" ref="I167:I219" si="25">IF(G167&gt;H167,G167-H167,0)</f>
        <v>84390.64408888889</v>
      </c>
      <c r="J167" s="4">
        <f t="shared" si="21"/>
        <v>-60600.3647380088</v>
      </c>
      <c r="K167" s="19">
        <v>-4113</v>
      </c>
      <c r="L167" s="14">
        <f t="shared" si="22"/>
        <v>8854.2944888888887</v>
      </c>
      <c r="M167" s="19">
        <f t="shared" ref="M167:M219" si="26">IF(K167&gt;L167,K167-L167,0)</f>
        <v>0</v>
      </c>
      <c r="N167" s="4">
        <f t="shared" si="23"/>
        <v>0</v>
      </c>
      <c r="O167" s="174">
        <f t="shared" ref="O167:O219" si="27">N167+J167</f>
        <v>-60600.3647380088</v>
      </c>
      <c r="P167" s="347">
        <f>O167/'D) Ecrêtage'!C167</f>
        <v>-6.8441776828244443</v>
      </c>
      <c r="Q167" s="167"/>
    </row>
    <row r="168" spans="1:17" x14ac:dyDescent="0.25">
      <c r="A168" s="165">
        <f>'A) Base RI'!A170</f>
        <v>5674</v>
      </c>
      <c r="B168" s="42" t="str">
        <f>'A) Base RI'!B170</f>
        <v>Lovatens</v>
      </c>
      <c r="C168" s="41">
        <f>'D) Ecrêtage'!M168</f>
        <v>3347.4317333333333</v>
      </c>
      <c r="D168" s="41">
        <v>31251</v>
      </c>
      <c r="E168" s="14">
        <v>3201</v>
      </c>
      <c r="F168" s="52">
        <v>9434</v>
      </c>
      <c r="G168" s="52">
        <f t="shared" si="24"/>
        <v>43886</v>
      </c>
      <c r="H168" s="14">
        <f t="shared" si="20"/>
        <v>26779.453866666667</v>
      </c>
      <c r="I168" s="41">
        <f t="shared" si="25"/>
        <v>17106.546133333333</v>
      </c>
      <c r="J168" s="4">
        <f t="shared" si="21"/>
        <v>-12284.097914878506</v>
      </c>
      <c r="K168" s="19">
        <v>1906</v>
      </c>
      <c r="L168" s="14">
        <f t="shared" si="22"/>
        <v>3347.4317333333333</v>
      </c>
      <c r="M168" s="19">
        <f t="shared" si="26"/>
        <v>0</v>
      </c>
      <c r="N168" s="4">
        <f t="shared" si="23"/>
        <v>0</v>
      </c>
      <c r="O168" s="174">
        <f t="shared" si="27"/>
        <v>-12284.097914878506</v>
      </c>
      <c r="P168" s="347">
        <f>O168/'D) Ecrêtage'!C168</f>
        <v>-3.6697082699416681</v>
      </c>
      <c r="Q168" s="167"/>
    </row>
    <row r="169" spans="1:17" x14ac:dyDescent="0.25">
      <c r="A169" s="165">
        <f>'A) Base RI'!A171</f>
        <v>5675</v>
      </c>
      <c r="B169" s="42" t="str">
        <f>'A) Base RI'!B171</f>
        <v>Lucens</v>
      </c>
      <c r="C169" s="41">
        <f>'D) Ecrêtage'!M169</f>
        <v>91702.321238938035</v>
      </c>
      <c r="D169" s="41">
        <v>713286</v>
      </c>
      <c r="E169" s="14">
        <v>198042</v>
      </c>
      <c r="F169" s="52">
        <v>245141</v>
      </c>
      <c r="G169" s="52">
        <f t="shared" ref="G169" si="28">D169+E169+F169</f>
        <v>1156469</v>
      </c>
      <c r="H169" s="14">
        <f t="shared" ref="H169" si="29">C169*I$4</f>
        <v>733618.56991150428</v>
      </c>
      <c r="I169" s="41">
        <f t="shared" ref="I169" si="30">IF(G169&gt;H169,G169-H169,0)</f>
        <v>422850.43008849572</v>
      </c>
      <c r="J169" s="4">
        <f t="shared" ref="J169" si="31">-I169*J$4</f>
        <v>-303646.10401593766</v>
      </c>
      <c r="K169" s="19">
        <v>74195</v>
      </c>
      <c r="L169" s="14">
        <f t="shared" ref="L169" si="32">C169*M$4</f>
        <v>91702.321238938035</v>
      </c>
      <c r="M169" s="19">
        <f t="shared" ref="M169" si="33">IF(K169&gt;L169,K169-L169,0)</f>
        <v>0</v>
      </c>
      <c r="N169" s="4">
        <f t="shared" ref="N169" si="34">-M169*N$4</f>
        <v>0</v>
      </c>
      <c r="O169" s="174">
        <f t="shared" ref="O169" si="35">N169+J169</f>
        <v>-303646.10401593766</v>
      </c>
      <c r="P169" s="347">
        <f>O169/'D) Ecrêtage'!C169</f>
        <v>-3.3112150261143602</v>
      </c>
      <c r="Q169" s="167"/>
    </row>
    <row r="170" spans="1:17" x14ac:dyDescent="0.25">
      <c r="A170" s="165">
        <f>'A) Base RI'!A172</f>
        <v>5678</v>
      </c>
      <c r="B170" s="42" t="str">
        <f>'A) Base RI'!B172</f>
        <v>Moudon</v>
      </c>
      <c r="C170" s="41">
        <f>'D) Ecrêtage'!M170</f>
        <v>122060.45639999998</v>
      </c>
      <c r="D170" s="41">
        <v>1691725</v>
      </c>
      <c r="E170" s="14">
        <v>323252</v>
      </c>
      <c r="F170" s="52">
        <v>385970</v>
      </c>
      <c r="G170" s="52">
        <f t="shared" si="24"/>
        <v>2400947</v>
      </c>
      <c r="H170" s="14">
        <f t="shared" si="20"/>
        <v>976483.65119999985</v>
      </c>
      <c r="I170" s="41">
        <f t="shared" si="25"/>
        <v>1424463.3488000003</v>
      </c>
      <c r="J170" s="4">
        <f t="shared" si="21"/>
        <v>-1022897.7326240243</v>
      </c>
      <c r="K170" s="19">
        <v>345961</v>
      </c>
      <c r="L170" s="14">
        <f t="shared" si="22"/>
        <v>122060.45639999998</v>
      </c>
      <c r="M170" s="19">
        <f t="shared" si="26"/>
        <v>223900.54360000003</v>
      </c>
      <c r="N170" s="4">
        <f t="shared" si="23"/>
        <v>-160781.50313566459</v>
      </c>
      <c r="O170" s="174">
        <f t="shared" si="27"/>
        <v>-1183679.2357596888</v>
      </c>
      <c r="P170" s="347">
        <f>O170/'D) Ecrêtage'!C170</f>
        <v>-9.6974832855015354</v>
      </c>
      <c r="Q170" s="167"/>
    </row>
    <row r="171" spans="1:17" x14ac:dyDescent="0.25">
      <c r="A171" s="165">
        <f>'A) Base RI'!A173</f>
        <v>5680</v>
      </c>
      <c r="B171" s="42" t="str">
        <f>'A) Base RI'!B173</f>
        <v>Ogens</v>
      </c>
      <c r="C171" s="41">
        <f>'D) Ecrêtage'!M171</f>
        <v>8163.3689316239324</v>
      </c>
      <c r="D171" s="41">
        <v>27922</v>
      </c>
      <c r="E171" s="14">
        <v>7867</v>
      </c>
      <c r="F171" s="52">
        <v>27330</v>
      </c>
      <c r="G171" s="52">
        <f t="shared" si="24"/>
        <v>63119</v>
      </c>
      <c r="H171" s="14">
        <f t="shared" si="20"/>
        <v>65306.95145299146</v>
      </c>
      <c r="I171" s="41">
        <f t="shared" si="25"/>
        <v>0</v>
      </c>
      <c r="J171" s="4">
        <f t="shared" si="21"/>
        <v>0</v>
      </c>
      <c r="K171" s="19">
        <v>2668</v>
      </c>
      <c r="L171" s="14">
        <f t="shared" si="22"/>
        <v>8163.3689316239324</v>
      </c>
      <c r="M171" s="19">
        <f t="shared" si="26"/>
        <v>0</v>
      </c>
      <c r="N171" s="4">
        <f t="shared" si="23"/>
        <v>0</v>
      </c>
      <c r="O171" s="174">
        <f t="shared" si="27"/>
        <v>0</v>
      </c>
      <c r="P171" s="347">
        <f>O171/'D) Ecrêtage'!C171</f>
        <v>0</v>
      </c>
      <c r="Q171" s="167"/>
    </row>
    <row r="172" spans="1:17" x14ac:dyDescent="0.25">
      <c r="A172" s="165">
        <f>'A) Base RI'!A174</f>
        <v>5683</v>
      </c>
      <c r="B172" s="42" t="str">
        <f>'A) Base RI'!B174</f>
        <v>Prévonloup</v>
      </c>
      <c r="C172" s="41">
        <f>'D) Ecrêtage'!M172</f>
        <v>3618.5018918918922</v>
      </c>
      <c r="D172" s="41">
        <v>36161</v>
      </c>
      <c r="E172" s="14">
        <v>3955</v>
      </c>
      <c r="F172" s="52">
        <v>12977</v>
      </c>
      <c r="G172" s="52">
        <f t="shared" si="24"/>
        <v>53093</v>
      </c>
      <c r="H172" s="14">
        <f t="shared" si="20"/>
        <v>28948.015135135138</v>
      </c>
      <c r="I172" s="41">
        <f t="shared" si="25"/>
        <v>24144.984864864862</v>
      </c>
      <c r="J172" s="4">
        <f t="shared" si="21"/>
        <v>-17338.354330645063</v>
      </c>
      <c r="K172" s="19">
        <v>3378</v>
      </c>
      <c r="L172" s="14">
        <f t="shared" si="22"/>
        <v>3618.5018918918922</v>
      </c>
      <c r="M172" s="19">
        <f t="shared" si="26"/>
        <v>0</v>
      </c>
      <c r="N172" s="4">
        <f t="shared" si="23"/>
        <v>0</v>
      </c>
      <c r="O172" s="174">
        <f t="shared" si="27"/>
        <v>-17338.354330645063</v>
      </c>
      <c r="P172" s="347">
        <f>O172/'D) Ecrêtage'!C172</f>
        <v>-4.7915836024559608</v>
      </c>
      <c r="Q172" s="167"/>
    </row>
    <row r="173" spans="1:17" x14ac:dyDescent="0.25">
      <c r="A173" s="165">
        <f>'A) Base RI'!A175</f>
        <v>5684</v>
      </c>
      <c r="B173" s="42" t="str">
        <f>'A) Base RI'!B175</f>
        <v>Rossenges</v>
      </c>
      <c r="C173" s="41">
        <f>'D) Ecrêtage'!M173</f>
        <v>2611.7396666666664</v>
      </c>
      <c r="D173" s="41">
        <v>4977</v>
      </c>
      <c r="E173" s="14">
        <v>1440</v>
      </c>
      <c r="F173" s="52">
        <v>3776</v>
      </c>
      <c r="G173" s="52">
        <f t="shared" si="24"/>
        <v>10193</v>
      </c>
      <c r="H173" s="14">
        <f t="shared" si="20"/>
        <v>20893.917333333331</v>
      </c>
      <c r="I173" s="41">
        <f t="shared" si="25"/>
        <v>0</v>
      </c>
      <c r="J173" s="4">
        <f t="shared" si="21"/>
        <v>0</v>
      </c>
      <c r="K173" s="19"/>
      <c r="L173" s="14">
        <f t="shared" si="22"/>
        <v>2611.7396666666664</v>
      </c>
      <c r="M173" s="19">
        <f t="shared" si="26"/>
        <v>0</v>
      </c>
      <c r="N173" s="4">
        <f t="shared" si="23"/>
        <v>0</v>
      </c>
      <c r="O173" s="174">
        <f t="shared" si="27"/>
        <v>0</v>
      </c>
      <c r="P173" s="347">
        <f>O173/'D) Ecrêtage'!C173</f>
        <v>0</v>
      </c>
      <c r="Q173" s="167"/>
    </row>
    <row r="174" spans="1:17" x14ac:dyDescent="0.25">
      <c r="A174" s="165">
        <f>'A) Base RI'!A176</f>
        <v>5688</v>
      </c>
      <c r="B174" s="42" t="str">
        <f>'A) Base RI'!B176</f>
        <v>Syens</v>
      </c>
      <c r="C174" s="41">
        <f>'D) Ecrêtage'!M174</f>
        <v>5385.636772486775</v>
      </c>
      <c r="D174" s="41">
        <v>36182</v>
      </c>
      <c r="E174" s="14">
        <v>4321</v>
      </c>
      <c r="F174" s="52">
        <v>7844</v>
      </c>
      <c r="G174" s="52">
        <f t="shared" si="24"/>
        <v>48347</v>
      </c>
      <c r="H174" s="14">
        <f t="shared" si="20"/>
        <v>43085.0941798942</v>
      </c>
      <c r="I174" s="41">
        <f t="shared" si="25"/>
        <v>5261.9058201057996</v>
      </c>
      <c r="J174" s="4">
        <f t="shared" si="21"/>
        <v>-3778.5398530622965</v>
      </c>
      <c r="K174" s="19">
        <v>10615</v>
      </c>
      <c r="L174" s="14">
        <f t="shared" si="22"/>
        <v>5385.636772486775</v>
      </c>
      <c r="M174" s="19">
        <f t="shared" si="26"/>
        <v>5229.363227513225</v>
      </c>
      <c r="N174" s="4">
        <f t="shared" si="23"/>
        <v>-3755.1712320270872</v>
      </c>
      <c r="O174" s="174">
        <f t="shared" si="27"/>
        <v>-7533.7110850893841</v>
      </c>
      <c r="P174" s="347">
        <f>O174/'D) Ecrêtage'!C174</f>
        <v>-1.3988524297769811</v>
      </c>
      <c r="Q174" s="167"/>
    </row>
    <row r="175" spans="1:17" x14ac:dyDescent="0.25">
      <c r="A175" s="165">
        <f>'A) Base RI'!A177</f>
        <v>5690</v>
      </c>
      <c r="B175" s="42" t="str">
        <f>'A) Base RI'!B177</f>
        <v>Villars-le-Comte</v>
      </c>
      <c r="C175" s="41">
        <f>'D) Ecrêtage'!M175</f>
        <v>3375.6488157894737</v>
      </c>
      <c r="D175" s="41">
        <v>16324</v>
      </c>
      <c r="E175" s="14">
        <v>3498</v>
      </c>
      <c r="F175" s="52">
        <v>9635</v>
      </c>
      <c r="G175" s="52">
        <f t="shared" si="24"/>
        <v>29457</v>
      </c>
      <c r="H175" s="14">
        <f t="shared" si="20"/>
        <v>27005.19052631579</v>
      </c>
      <c r="I175" s="41">
        <f t="shared" si="25"/>
        <v>2451.8094736842104</v>
      </c>
      <c r="J175" s="4">
        <f t="shared" si="21"/>
        <v>-1760.6282068053449</v>
      </c>
      <c r="K175" s="19">
        <v>4050</v>
      </c>
      <c r="L175" s="14">
        <f t="shared" si="22"/>
        <v>3375.6488157894737</v>
      </c>
      <c r="M175" s="19">
        <f t="shared" si="26"/>
        <v>674.3511842105263</v>
      </c>
      <c r="N175" s="4">
        <f t="shared" si="23"/>
        <v>-484.24713623019471</v>
      </c>
      <c r="O175" s="174">
        <f t="shared" si="27"/>
        <v>-2244.8753430355396</v>
      </c>
      <c r="P175" s="347">
        <f>O175/'D) Ecrêtage'!C175</f>
        <v>-0.66502040512485106</v>
      </c>
      <c r="Q175" s="167"/>
    </row>
    <row r="176" spans="1:17" x14ac:dyDescent="0.25">
      <c r="A176" s="165">
        <f>'A) Base RI'!A178</f>
        <v>5692</v>
      </c>
      <c r="B176" s="42" t="str">
        <f>'A) Base RI'!B178</f>
        <v>Vucherens</v>
      </c>
      <c r="C176" s="41">
        <f>'D) Ecrêtage'!M176</f>
        <v>15125.888354430383</v>
      </c>
      <c r="D176" s="41">
        <v>106870</v>
      </c>
      <c r="E176" s="14">
        <v>18243</v>
      </c>
      <c r="F176" s="52">
        <v>60870</v>
      </c>
      <c r="G176" s="52">
        <f t="shared" si="24"/>
        <v>185983</v>
      </c>
      <c r="H176" s="14">
        <f t="shared" si="20"/>
        <v>121007.10683544306</v>
      </c>
      <c r="I176" s="41">
        <f t="shared" si="25"/>
        <v>64975.893164556939</v>
      </c>
      <c r="J176" s="4">
        <f t="shared" si="21"/>
        <v>-46658.760191504145</v>
      </c>
      <c r="K176" s="19">
        <v>40833</v>
      </c>
      <c r="L176" s="14">
        <f t="shared" si="22"/>
        <v>15125.888354430383</v>
      </c>
      <c r="M176" s="19">
        <f t="shared" si="26"/>
        <v>25707.111645569617</v>
      </c>
      <c r="N176" s="4">
        <f t="shared" si="23"/>
        <v>-18460.107265461014</v>
      </c>
      <c r="O176" s="174">
        <f t="shared" si="27"/>
        <v>-65118.867456965163</v>
      </c>
      <c r="P176" s="347">
        <f>O176/'D) Ecrêtage'!C176</f>
        <v>-4.305126808495304</v>
      </c>
      <c r="Q176" s="167"/>
    </row>
    <row r="177" spans="1:17" x14ac:dyDescent="0.25">
      <c r="A177" s="165">
        <f>'A) Base RI'!A179</f>
        <v>5693</v>
      </c>
      <c r="B177" s="42" t="str">
        <f>'A) Base RI'!B179</f>
        <v>Montanaire</v>
      </c>
      <c r="C177" s="41">
        <f>'D) Ecrêtage'!M177</f>
        <v>62987.795555555575</v>
      </c>
      <c r="D177" s="41">
        <v>755502</v>
      </c>
      <c r="E177" s="14">
        <v>55689</v>
      </c>
      <c r="F177" s="52">
        <v>245671</v>
      </c>
      <c r="G177" s="52">
        <f t="shared" si="24"/>
        <v>1056862</v>
      </c>
      <c r="H177" s="14">
        <f t="shared" si="20"/>
        <v>503902.3644444446</v>
      </c>
      <c r="I177" s="41">
        <f>IF(G177&gt;H177,G177-H177,0)</f>
        <v>552959.63555555535</v>
      </c>
      <c r="J177" s="4">
        <f t="shared" si="21"/>
        <v>-397076.66604330414</v>
      </c>
      <c r="K177" s="19">
        <v>124672</v>
      </c>
      <c r="L177" s="14">
        <f t="shared" si="22"/>
        <v>62987.795555555575</v>
      </c>
      <c r="M177" s="19">
        <f>IF(K177&gt;L177,K177-L177,0)</f>
        <v>61684.204444444425</v>
      </c>
      <c r="N177" s="4">
        <f t="shared" si="23"/>
        <v>-44295.020239090729</v>
      </c>
      <c r="O177" s="174">
        <f>N177+J177</f>
        <v>-441371.68628239486</v>
      </c>
      <c r="P177" s="347">
        <f>O177/'D) Ecrêtage'!C177</f>
        <v>-7.0072572375247306</v>
      </c>
      <c r="Q177" s="167"/>
    </row>
    <row r="178" spans="1:17" x14ac:dyDescent="0.25">
      <c r="A178" s="165">
        <f>'A) Base RI'!A180</f>
        <v>5701</v>
      </c>
      <c r="B178" s="42" t="str">
        <f>'A) Base RI'!B180</f>
        <v>Arnex-sur-Nyon</v>
      </c>
      <c r="C178" s="41">
        <f>'D) Ecrêtage'!M178</f>
        <v>13660.306397009143</v>
      </c>
      <c r="D178" s="41">
        <v>4785</v>
      </c>
      <c r="E178" s="14">
        <v>6532</v>
      </c>
      <c r="F178" s="52">
        <v>38355</v>
      </c>
      <c r="G178" s="52">
        <f t="shared" si="24"/>
        <v>49672</v>
      </c>
      <c r="H178" s="14">
        <f t="shared" si="20"/>
        <v>109282.45117607314</v>
      </c>
      <c r="I178" s="41">
        <f>IF(G178&gt;H178,G178-H178,0)</f>
        <v>0</v>
      </c>
      <c r="J178" s="4">
        <f t="shared" si="21"/>
        <v>0</v>
      </c>
      <c r="K178" s="19"/>
      <c r="L178" s="14">
        <f t="shared" si="22"/>
        <v>13660.306397009143</v>
      </c>
      <c r="M178" s="19">
        <f t="shared" si="26"/>
        <v>0</v>
      </c>
      <c r="N178" s="4">
        <f t="shared" si="23"/>
        <v>0</v>
      </c>
      <c r="O178" s="174">
        <f t="shared" si="27"/>
        <v>0</v>
      </c>
      <c r="P178" s="347">
        <f>O178/'D) Ecrêtage'!C178</f>
        <v>0</v>
      </c>
      <c r="Q178" s="167"/>
    </row>
    <row r="179" spans="1:17" x14ac:dyDescent="0.25">
      <c r="A179" s="165">
        <f>'A) Base RI'!A181</f>
        <v>5702</v>
      </c>
      <c r="B179" s="42" t="str">
        <f>'A) Base RI'!B181</f>
        <v>Arzier-Le Muids</v>
      </c>
      <c r="C179" s="41">
        <f>'D) Ecrêtage'!M179</f>
        <v>137174.35355135452</v>
      </c>
      <c r="D179" s="41">
        <v>805433</v>
      </c>
      <c r="E179" s="14">
        <v>197274</v>
      </c>
      <c r="F179" s="52">
        <v>107666</v>
      </c>
      <c r="G179" s="52">
        <f t="shared" si="24"/>
        <v>1110373</v>
      </c>
      <c r="H179" s="14">
        <f t="shared" si="20"/>
        <v>1097394.8284108362</v>
      </c>
      <c r="I179" s="41">
        <f t="shared" si="25"/>
        <v>12978.171589163831</v>
      </c>
      <c r="J179" s="4">
        <f t="shared" si="21"/>
        <v>-9319.5393923926913</v>
      </c>
      <c r="K179" s="19">
        <v>501231</v>
      </c>
      <c r="L179" s="14">
        <f t="shared" si="22"/>
        <v>137174.35355135452</v>
      </c>
      <c r="M179" s="19">
        <f t="shared" si="26"/>
        <v>364056.64644864551</v>
      </c>
      <c r="N179" s="4">
        <f t="shared" si="23"/>
        <v>-261426.67588656282</v>
      </c>
      <c r="O179" s="174">
        <f t="shared" si="27"/>
        <v>-270746.21527895553</v>
      </c>
      <c r="P179" s="347">
        <f>O179/'D) Ecrêtage'!C179</f>
        <v>-1.9714050105042387</v>
      </c>
      <c r="Q179" s="167"/>
    </row>
    <row r="180" spans="1:17" x14ac:dyDescent="0.25">
      <c r="A180" s="165">
        <f>'A) Base RI'!A182</f>
        <v>5703</v>
      </c>
      <c r="B180" s="42" t="str">
        <f>'A) Base RI'!B182</f>
        <v>Bassins</v>
      </c>
      <c r="C180" s="41">
        <f>'D) Ecrêtage'!M180</f>
        <v>51617.647746478862</v>
      </c>
      <c r="D180" s="41">
        <v>271519</v>
      </c>
      <c r="E180" s="14">
        <v>157203</v>
      </c>
      <c r="F180" s="52">
        <v>155084</v>
      </c>
      <c r="G180" s="52">
        <f t="shared" si="24"/>
        <v>583806</v>
      </c>
      <c r="H180" s="14">
        <f t="shared" si="20"/>
        <v>412941.1819718309</v>
      </c>
      <c r="I180" s="41">
        <f t="shared" si="25"/>
        <v>170864.8180281691</v>
      </c>
      <c r="J180" s="4">
        <f t="shared" si="21"/>
        <v>-122696.89851512636</v>
      </c>
      <c r="K180" s="19">
        <v>357121</v>
      </c>
      <c r="L180" s="14">
        <f t="shared" si="22"/>
        <v>51617.647746478862</v>
      </c>
      <c r="M180" s="19">
        <f t="shared" si="26"/>
        <v>305503.35225352115</v>
      </c>
      <c r="N180" s="4">
        <f t="shared" si="23"/>
        <v>-219379.94164077388</v>
      </c>
      <c r="O180" s="174">
        <f t="shared" si="27"/>
        <v>-342076.84015590022</v>
      </c>
      <c r="P180" s="347">
        <f>O180/'D) Ecrêtage'!C180</f>
        <v>-6.6271295785506856</v>
      </c>
      <c r="Q180" s="167"/>
    </row>
    <row r="181" spans="1:17" x14ac:dyDescent="0.25">
      <c r="A181" s="165">
        <f>'A) Base RI'!A183</f>
        <v>5704</v>
      </c>
      <c r="B181" s="42" t="str">
        <f>'A) Base RI'!B183</f>
        <v>Begnins</v>
      </c>
      <c r="C181" s="41">
        <f>'D) Ecrêtage'!M181</f>
        <v>106633.49455692498</v>
      </c>
      <c r="D181" s="41">
        <v>566032</v>
      </c>
      <c r="E181" s="14">
        <v>58376</v>
      </c>
      <c r="F181" s="52">
        <v>184284</v>
      </c>
      <c r="G181" s="52">
        <f t="shared" si="24"/>
        <v>808692</v>
      </c>
      <c r="H181" s="14">
        <f t="shared" si="20"/>
        <v>853067.95645539986</v>
      </c>
      <c r="I181" s="41">
        <f t="shared" si="25"/>
        <v>0</v>
      </c>
      <c r="J181" s="4">
        <f t="shared" si="21"/>
        <v>0</v>
      </c>
      <c r="K181" s="19">
        <v>38230</v>
      </c>
      <c r="L181" s="14">
        <f t="shared" si="22"/>
        <v>106633.49455692498</v>
      </c>
      <c r="M181" s="19">
        <f t="shared" si="26"/>
        <v>0</v>
      </c>
      <c r="N181" s="4">
        <f t="shared" si="23"/>
        <v>0</v>
      </c>
      <c r="O181" s="174">
        <f t="shared" si="27"/>
        <v>0</v>
      </c>
      <c r="P181" s="347">
        <f>O181/'D) Ecrêtage'!C181</f>
        <v>0</v>
      </c>
      <c r="Q181" s="167"/>
    </row>
    <row r="182" spans="1:17" x14ac:dyDescent="0.25">
      <c r="A182" s="165">
        <f>'A) Base RI'!A184</f>
        <v>5705</v>
      </c>
      <c r="B182" s="42" t="str">
        <f>'A) Base RI'!B184</f>
        <v>Bogis-Bossey</v>
      </c>
      <c r="C182" s="41">
        <f>'D) Ecrêtage'!M182</f>
        <v>48425.798700716397</v>
      </c>
      <c r="D182" s="41">
        <v>194808</v>
      </c>
      <c r="E182" s="14">
        <v>37459</v>
      </c>
      <c r="F182" s="52">
        <v>58429</v>
      </c>
      <c r="G182" s="52">
        <f t="shared" si="24"/>
        <v>290696</v>
      </c>
      <c r="H182" s="14">
        <f t="shared" si="20"/>
        <v>387406.38960573118</v>
      </c>
      <c r="I182" s="41">
        <f t="shared" si="25"/>
        <v>0</v>
      </c>
      <c r="J182" s="4">
        <f t="shared" si="21"/>
        <v>0</v>
      </c>
      <c r="K182" s="19">
        <v>9824</v>
      </c>
      <c r="L182" s="14">
        <f t="shared" si="22"/>
        <v>48425.798700716397</v>
      </c>
      <c r="M182" s="19">
        <f t="shared" si="26"/>
        <v>0</v>
      </c>
      <c r="N182" s="4">
        <f t="shared" si="23"/>
        <v>0</v>
      </c>
      <c r="O182" s="174">
        <f t="shared" si="27"/>
        <v>0</v>
      </c>
      <c r="P182" s="347">
        <f>O182/'D) Ecrêtage'!C182</f>
        <v>0</v>
      </c>
      <c r="Q182" s="167"/>
    </row>
    <row r="183" spans="1:17" x14ac:dyDescent="0.25">
      <c r="A183" s="165">
        <f>'A) Base RI'!A185</f>
        <v>5706</v>
      </c>
      <c r="B183" s="42" t="str">
        <f>'A) Base RI'!B185</f>
        <v>Borex</v>
      </c>
      <c r="C183" s="41">
        <f>'D) Ecrêtage'!M183</f>
        <v>60160.097854151689</v>
      </c>
      <c r="D183" s="41">
        <v>172022</v>
      </c>
      <c r="E183" s="14">
        <v>32985</v>
      </c>
      <c r="F183" s="52">
        <v>150945</v>
      </c>
      <c r="G183" s="52">
        <f t="shared" si="24"/>
        <v>355952</v>
      </c>
      <c r="H183" s="14">
        <f t="shared" si="20"/>
        <v>481280.78283321351</v>
      </c>
      <c r="I183" s="41">
        <f t="shared" si="25"/>
        <v>0</v>
      </c>
      <c r="J183" s="4">
        <f t="shared" si="21"/>
        <v>0</v>
      </c>
      <c r="K183" s="19"/>
      <c r="L183" s="14">
        <f t="shared" si="22"/>
        <v>60160.097854151689</v>
      </c>
      <c r="M183" s="19">
        <f t="shared" si="26"/>
        <v>0</v>
      </c>
      <c r="N183" s="4">
        <f t="shared" si="23"/>
        <v>0</v>
      </c>
      <c r="O183" s="174">
        <f t="shared" si="27"/>
        <v>0</v>
      </c>
      <c r="P183" s="347">
        <f>O183/'D) Ecrêtage'!C183</f>
        <v>0</v>
      </c>
      <c r="Q183" s="167"/>
    </row>
    <row r="184" spans="1:17" x14ac:dyDescent="0.25">
      <c r="A184" s="165">
        <f>'A) Base RI'!A186</f>
        <v>5707</v>
      </c>
      <c r="B184" s="42" t="str">
        <f>'A) Base RI'!B186</f>
        <v>Chavannes-de-Bogis</v>
      </c>
      <c r="C184" s="41">
        <f>'D) Ecrêtage'!M184</f>
        <v>83013.30450324282</v>
      </c>
      <c r="D184" s="41">
        <v>78236</v>
      </c>
      <c r="E184" s="14">
        <v>41892</v>
      </c>
      <c r="F184" s="52">
        <v>75176</v>
      </c>
      <c r="G184" s="52">
        <f t="shared" si="24"/>
        <v>195304</v>
      </c>
      <c r="H184" s="14">
        <f t="shared" si="20"/>
        <v>664106.43602594256</v>
      </c>
      <c r="I184" s="41">
        <f t="shared" si="25"/>
        <v>0</v>
      </c>
      <c r="J184" s="4">
        <f t="shared" si="21"/>
        <v>0</v>
      </c>
      <c r="K184" s="19">
        <v>12060</v>
      </c>
      <c r="L184" s="14">
        <f t="shared" si="22"/>
        <v>83013.30450324282</v>
      </c>
      <c r="M184" s="19">
        <f t="shared" si="26"/>
        <v>0</v>
      </c>
      <c r="N184" s="4">
        <f t="shared" si="23"/>
        <v>0</v>
      </c>
      <c r="O184" s="174">
        <f t="shared" si="27"/>
        <v>0</v>
      </c>
      <c r="P184" s="347">
        <f>O184/'D) Ecrêtage'!C184</f>
        <v>0</v>
      </c>
      <c r="Q184" s="167"/>
    </row>
    <row r="185" spans="1:17" x14ac:dyDescent="0.25">
      <c r="A185" s="165">
        <f>'A) Base RI'!A187</f>
        <v>5708</v>
      </c>
      <c r="B185" s="42" t="str">
        <f>'A) Base RI'!B187</f>
        <v>Chavannes-des-Bois</v>
      </c>
      <c r="C185" s="41">
        <f>'D) Ecrêtage'!M185</f>
        <v>57303.315617106862</v>
      </c>
      <c r="D185" s="41">
        <v>94635</v>
      </c>
      <c r="E185" s="14">
        <v>18267</v>
      </c>
      <c r="F185" s="52">
        <v>77263</v>
      </c>
      <c r="G185" s="52">
        <f t="shared" si="24"/>
        <v>190165</v>
      </c>
      <c r="H185" s="14">
        <f t="shared" si="20"/>
        <v>458426.5249368549</v>
      </c>
      <c r="I185" s="41">
        <f t="shared" si="25"/>
        <v>0</v>
      </c>
      <c r="J185" s="4">
        <f t="shared" si="21"/>
        <v>0</v>
      </c>
      <c r="K185" s="19">
        <v>1275</v>
      </c>
      <c r="L185" s="14">
        <f t="shared" si="22"/>
        <v>57303.315617106862</v>
      </c>
      <c r="M185" s="19">
        <f t="shared" si="26"/>
        <v>0</v>
      </c>
      <c r="N185" s="4">
        <f t="shared" si="23"/>
        <v>0</v>
      </c>
      <c r="O185" s="174">
        <f t="shared" si="27"/>
        <v>0</v>
      </c>
      <c r="P185" s="347">
        <f>O185/'D) Ecrêtage'!C185</f>
        <v>0</v>
      </c>
      <c r="Q185" s="167"/>
    </row>
    <row r="186" spans="1:17" x14ac:dyDescent="0.25">
      <c r="A186" s="165">
        <f>'A) Base RI'!A188</f>
        <v>5709</v>
      </c>
      <c r="B186" s="42" t="str">
        <f>'A) Base RI'!B188</f>
        <v>Chéserex</v>
      </c>
      <c r="C186" s="41">
        <f>'D) Ecrêtage'!M186</f>
        <v>100633.87651707719</v>
      </c>
      <c r="D186" s="41">
        <v>335647</v>
      </c>
      <c r="E186" s="14">
        <v>42115</v>
      </c>
      <c r="F186" s="52">
        <v>182192</v>
      </c>
      <c r="G186" s="52">
        <f t="shared" si="24"/>
        <v>559954</v>
      </c>
      <c r="H186" s="14">
        <f t="shared" si="20"/>
        <v>805071.01213661756</v>
      </c>
      <c r="I186" s="41">
        <f t="shared" si="25"/>
        <v>0</v>
      </c>
      <c r="J186" s="4">
        <f t="shared" si="21"/>
        <v>0</v>
      </c>
      <c r="K186" s="19">
        <v>43491</v>
      </c>
      <c r="L186" s="14">
        <f t="shared" si="22"/>
        <v>100633.87651707719</v>
      </c>
      <c r="M186" s="19">
        <f t="shared" si="26"/>
        <v>0</v>
      </c>
      <c r="N186" s="4">
        <f t="shared" si="23"/>
        <v>0</v>
      </c>
      <c r="O186" s="174">
        <f t="shared" si="27"/>
        <v>0</v>
      </c>
      <c r="P186" s="347">
        <f>O186/'D) Ecrêtage'!C186</f>
        <v>0</v>
      </c>
      <c r="Q186" s="167"/>
    </row>
    <row r="187" spans="1:17" x14ac:dyDescent="0.25">
      <c r="A187" s="165">
        <f>'A) Base RI'!A189</f>
        <v>5710</v>
      </c>
      <c r="B187" s="42" t="str">
        <f>'A) Base RI'!B189</f>
        <v>Coinsins</v>
      </c>
      <c r="C187" s="41">
        <f>'D) Ecrêtage'!M187</f>
        <v>78275.084040994145</v>
      </c>
      <c r="D187" s="41">
        <v>135546</v>
      </c>
      <c r="E187" s="14">
        <v>14680</v>
      </c>
      <c r="F187" s="52">
        <v>45122</v>
      </c>
      <c r="G187" s="52">
        <f t="shared" si="24"/>
        <v>195348</v>
      </c>
      <c r="H187" s="14">
        <f t="shared" si="20"/>
        <v>626200.67232795316</v>
      </c>
      <c r="I187" s="41">
        <f t="shared" si="25"/>
        <v>0</v>
      </c>
      <c r="J187" s="4">
        <f t="shared" si="21"/>
        <v>0</v>
      </c>
      <c r="K187" s="19">
        <v>-1153</v>
      </c>
      <c r="L187" s="14">
        <f t="shared" si="22"/>
        <v>78275.084040994145</v>
      </c>
      <c r="M187" s="19">
        <f t="shared" si="26"/>
        <v>0</v>
      </c>
      <c r="N187" s="4">
        <f t="shared" si="23"/>
        <v>0</v>
      </c>
      <c r="O187" s="174">
        <f t="shared" si="27"/>
        <v>0</v>
      </c>
      <c r="P187" s="347">
        <f>O187/'D) Ecrêtage'!C187</f>
        <v>0</v>
      </c>
      <c r="Q187" s="167"/>
    </row>
    <row r="188" spans="1:17" x14ac:dyDescent="0.25">
      <c r="A188" s="165">
        <f>'A) Base RI'!A190</f>
        <v>5711</v>
      </c>
      <c r="B188" s="42" t="str">
        <f>'A) Base RI'!B190</f>
        <v>Commugny</v>
      </c>
      <c r="C188" s="41">
        <f>'D) Ecrêtage'!M188</f>
        <v>210519.71244284327</v>
      </c>
      <c r="D188" s="41">
        <v>709524</v>
      </c>
      <c r="E188" s="14">
        <v>117943</v>
      </c>
      <c r="F188" s="52">
        <v>179207</v>
      </c>
      <c r="G188" s="52">
        <f t="shared" si="24"/>
        <v>1006674</v>
      </c>
      <c r="H188" s="14">
        <f t="shared" si="20"/>
        <v>1684157.6995427462</v>
      </c>
      <c r="I188" s="41">
        <f t="shared" si="25"/>
        <v>0</v>
      </c>
      <c r="J188" s="4">
        <f t="shared" si="21"/>
        <v>0</v>
      </c>
      <c r="K188" s="19">
        <v>28702</v>
      </c>
      <c r="L188" s="14">
        <f t="shared" si="22"/>
        <v>210519.71244284327</v>
      </c>
      <c r="M188" s="19">
        <f t="shared" si="26"/>
        <v>0</v>
      </c>
      <c r="N188" s="4">
        <f t="shared" si="23"/>
        <v>0</v>
      </c>
      <c r="O188" s="174">
        <f t="shared" si="27"/>
        <v>0</v>
      </c>
      <c r="P188" s="347">
        <f>O188/'D) Ecrêtage'!C188</f>
        <v>0</v>
      </c>
      <c r="Q188" s="167"/>
    </row>
    <row r="189" spans="1:17" x14ac:dyDescent="0.25">
      <c r="A189" s="165">
        <f>'A) Base RI'!A191</f>
        <v>5712</v>
      </c>
      <c r="B189" s="42" t="str">
        <f>'A) Base RI'!B191</f>
        <v>Coppet</v>
      </c>
      <c r="C189" s="41">
        <f>'D) Ecrêtage'!M189</f>
        <v>264743.7101481721</v>
      </c>
      <c r="D189" s="41">
        <v>598571</v>
      </c>
      <c r="E189" s="14">
        <v>224303</v>
      </c>
      <c r="F189" s="52">
        <v>190868</v>
      </c>
      <c r="G189" s="52">
        <f t="shared" si="24"/>
        <v>1013742</v>
      </c>
      <c r="H189" s="14">
        <f t="shared" si="20"/>
        <v>2117949.6811853768</v>
      </c>
      <c r="I189" s="41">
        <f t="shared" si="25"/>
        <v>0</v>
      </c>
      <c r="J189" s="4">
        <f t="shared" si="21"/>
        <v>0</v>
      </c>
      <c r="K189" s="19"/>
      <c r="L189" s="14">
        <f t="shared" si="22"/>
        <v>264743.7101481721</v>
      </c>
      <c r="M189" s="19">
        <f t="shared" si="26"/>
        <v>0</v>
      </c>
      <c r="N189" s="4">
        <f t="shared" si="23"/>
        <v>0</v>
      </c>
      <c r="O189" s="174">
        <f t="shared" si="27"/>
        <v>0</v>
      </c>
      <c r="P189" s="347">
        <f>O189/'D) Ecrêtage'!C189</f>
        <v>0</v>
      </c>
      <c r="Q189" s="167"/>
    </row>
    <row r="190" spans="1:17" x14ac:dyDescent="0.25">
      <c r="A190" s="165">
        <f>'A) Base RI'!A192</f>
        <v>5713</v>
      </c>
      <c r="B190" s="42" t="str">
        <f>'A) Base RI'!B192</f>
        <v>Crans-près-Céligny</v>
      </c>
      <c r="C190" s="41">
        <f>'D) Ecrêtage'!M190</f>
        <v>212144.04426696996</v>
      </c>
      <c r="D190" s="41">
        <v>1144944</v>
      </c>
      <c r="E190" s="14">
        <v>138914</v>
      </c>
      <c r="F190" s="52">
        <v>152150</v>
      </c>
      <c r="G190" s="52">
        <f>D190+E190+F190</f>
        <v>1436008</v>
      </c>
      <c r="H190" s="14">
        <f t="shared" si="20"/>
        <v>1697152.3541357596</v>
      </c>
      <c r="I190" s="41">
        <f t="shared" si="25"/>
        <v>0</v>
      </c>
      <c r="J190" s="4">
        <f t="shared" si="21"/>
        <v>0</v>
      </c>
      <c r="K190" s="19">
        <v>16583</v>
      </c>
      <c r="L190" s="14">
        <f t="shared" si="22"/>
        <v>212144.04426696996</v>
      </c>
      <c r="M190" s="19">
        <f t="shared" si="26"/>
        <v>0</v>
      </c>
      <c r="N190" s="4">
        <f t="shared" si="23"/>
        <v>0</v>
      </c>
      <c r="O190" s="174">
        <f t="shared" si="27"/>
        <v>0</v>
      </c>
      <c r="P190" s="347">
        <f>O190/'D) Ecrêtage'!C190</f>
        <v>0</v>
      </c>
      <c r="Q190" s="167"/>
    </row>
    <row r="191" spans="1:17" x14ac:dyDescent="0.25">
      <c r="A191" s="165">
        <f>'A) Base RI'!A193</f>
        <v>5714</v>
      </c>
      <c r="B191" s="42" t="str">
        <f>'A) Base RI'!B193</f>
        <v>Crassier</v>
      </c>
      <c r="C191" s="41">
        <f>'D) Ecrêtage'!M191</f>
        <v>72000.97268941706</v>
      </c>
      <c r="D191" s="41">
        <v>198549</v>
      </c>
      <c r="E191" s="14">
        <v>39926</v>
      </c>
      <c r="F191" s="52">
        <v>202744</v>
      </c>
      <c r="G191" s="52">
        <f t="shared" si="24"/>
        <v>441219</v>
      </c>
      <c r="H191" s="14">
        <f t="shared" si="20"/>
        <v>576007.78151533648</v>
      </c>
      <c r="I191" s="41">
        <f t="shared" si="25"/>
        <v>0</v>
      </c>
      <c r="J191" s="4">
        <f t="shared" si="21"/>
        <v>0</v>
      </c>
      <c r="K191" s="19">
        <v>7112</v>
      </c>
      <c r="L191" s="14">
        <f t="shared" si="22"/>
        <v>72000.97268941706</v>
      </c>
      <c r="M191" s="19">
        <f t="shared" si="26"/>
        <v>0</v>
      </c>
      <c r="N191" s="4">
        <f t="shared" si="23"/>
        <v>0</v>
      </c>
      <c r="O191" s="174">
        <f t="shared" si="27"/>
        <v>0</v>
      </c>
      <c r="P191" s="347">
        <f>O191/'D) Ecrêtage'!C191</f>
        <v>0</v>
      </c>
      <c r="Q191" s="167"/>
    </row>
    <row r="192" spans="1:17" x14ac:dyDescent="0.25">
      <c r="A192" s="165">
        <f>'A) Base RI'!A194</f>
        <v>5715</v>
      </c>
      <c r="B192" s="42" t="str">
        <f>'A) Base RI'!B194</f>
        <v>Duillier</v>
      </c>
      <c r="C192" s="41">
        <f>'D) Ecrêtage'!M192</f>
        <v>57401.609046070247</v>
      </c>
      <c r="D192" s="41">
        <v>165886</v>
      </c>
      <c r="E192" s="14">
        <v>34860</v>
      </c>
      <c r="F192" s="52">
        <v>105040</v>
      </c>
      <c r="G192" s="52">
        <f t="shared" si="24"/>
        <v>305786</v>
      </c>
      <c r="H192" s="14">
        <f t="shared" si="20"/>
        <v>459212.87236856198</v>
      </c>
      <c r="I192" s="41">
        <f t="shared" si="25"/>
        <v>0</v>
      </c>
      <c r="J192" s="4">
        <f t="shared" si="21"/>
        <v>0</v>
      </c>
      <c r="K192" s="19">
        <v>-773</v>
      </c>
      <c r="L192" s="14">
        <f t="shared" si="22"/>
        <v>57401.609046070247</v>
      </c>
      <c r="M192" s="19">
        <f t="shared" si="26"/>
        <v>0</v>
      </c>
      <c r="N192" s="4">
        <f t="shared" si="23"/>
        <v>0</v>
      </c>
      <c r="O192" s="174">
        <f t="shared" si="27"/>
        <v>0</v>
      </c>
      <c r="P192" s="347">
        <f>O192/'D) Ecrêtage'!C192</f>
        <v>0</v>
      </c>
      <c r="Q192" s="167"/>
    </row>
    <row r="193" spans="1:17" x14ac:dyDescent="0.25">
      <c r="A193" s="165">
        <f>'A) Base RI'!A195</f>
        <v>5716</v>
      </c>
      <c r="B193" s="42" t="str">
        <f>'A) Base RI'!B195</f>
        <v>Eysins</v>
      </c>
      <c r="C193" s="41">
        <f>'D) Ecrêtage'!M193</f>
        <v>112427.98831677147</v>
      </c>
      <c r="D193" s="41">
        <v>245365</v>
      </c>
      <c r="E193" s="14">
        <v>105255</v>
      </c>
      <c r="F193" s="52">
        <v>253610</v>
      </c>
      <c r="G193" s="52">
        <f t="shared" si="24"/>
        <v>604230</v>
      </c>
      <c r="H193" s="14">
        <f t="shared" ref="H193:H253" si="36">C193*I$4</f>
        <v>899423.90653417178</v>
      </c>
      <c r="I193" s="41">
        <f t="shared" si="25"/>
        <v>0</v>
      </c>
      <c r="J193" s="4">
        <f t="shared" ref="J193:J253" si="37">-I193*J$4</f>
        <v>0</v>
      </c>
      <c r="K193" s="19">
        <v>-618</v>
      </c>
      <c r="L193" s="14">
        <f t="shared" ref="L193:L253" si="38">C193*M$4</f>
        <v>112427.98831677147</v>
      </c>
      <c r="M193" s="19">
        <f t="shared" si="26"/>
        <v>0</v>
      </c>
      <c r="N193" s="4">
        <f t="shared" ref="N193:N253" si="39">-M193*N$4</f>
        <v>0</v>
      </c>
      <c r="O193" s="174">
        <f t="shared" si="27"/>
        <v>0</v>
      </c>
      <c r="P193" s="347">
        <f>O193/'D) Ecrêtage'!C193</f>
        <v>0</v>
      </c>
      <c r="Q193" s="167"/>
    </row>
    <row r="194" spans="1:17" x14ac:dyDescent="0.25">
      <c r="A194" s="165">
        <f>'A) Base RI'!A196</f>
        <v>5717</v>
      </c>
      <c r="B194" s="42" t="str">
        <f>'A) Base RI'!B196</f>
        <v>Founex</v>
      </c>
      <c r="C194" s="41">
        <f>'D) Ecrêtage'!M194</f>
        <v>297680.06872799026</v>
      </c>
      <c r="D194" s="41">
        <v>940556</v>
      </c>
      <c r="E194" s="14">
        <v>112627</v>
      </c>
      <c r="F194" s="52">
        <v>234715</v>
      </c>
      <c r="G194" s="52">
        <f t="shared" si="24"/>
        <v>1287898</v>
      </c>
      <c r="H194" s="14">
        <f t="shared" si="36"/>
        <v>2381440.5498239221</v>
      </c>
      <c r="I194" s="41">
        <f t="shared" si="25"/>
        <v>0</v>
      </c>
      <c r="J194" s="4">
        <f t="shared" si="37"/>
        <v>0</v>
      </c>
      <c r="K194" s="19">
        <v>2490</v>
      </c>
      <c r="L194" s="14">
        <f t="shared" si="38"/>
        <v>297680.06872799026</v>
      </c>
      <c r="M194" s="19">
        <f t="shared" si="26"/>
        <v>0</v>
      </c>
      <c r="N194" s="4">
        <f t="shared" si="39"/>
        <v>0</v>
      </c>
      <c r="O194" s="174">
        <f t="shared" si="27"/>
        <v>0</v>
      </c>
      <c r="P194" s="347">
        <f>O194/'D) Ecrêtage'!C194</f>
        <v>0</v>
      </c>
      <c r="Q194" s="167"/>
    </row>
    <row r="195" spans="1:17" x14ac:dyDescent="0.25">
      <c r="A195" s="165">
        <f>'A) Base RI'!A197</f>
        <v>5718</v>
      </c>
      <c r="B195" s="42" t="str">
        <f>'A) Base RI'!B197</f>
        <v>Genolier</v>
      </c>
      <c r="C195" s="41">
        <f>'D) Ecrêtage'!M195</f>
        <v>135930.25960105986</v>
      </c>
      <c r="D195" s="41">
        <v>497405</v>
      </c>
      <c r="E195" s="14">
        <v>167785</v>
      </c>
      <c r="F195" s="52">
        <v>111584</v>
      </c>
      <c r="G195" s="52">
        <f t="shared" si="24"/>
        <v>776774</v>
      </c>
      <c r="H195" s="14">
        <f t="shared" si="36"/>
        <v>1087442.0768084789</v>
      </c>
      <c r="I195" s="41">
        <f t="shared" si="25"/>
        <v>0</v>
      </c>
      <c r="J195" s="4">
        <f t="shared" si="37"/>
        <v>0</v>
      </c>
      <c r="K195" s="19">
        <v>132725</v>
      </c>
      <c r="L195" s="14">
        <f t="shared" si="38"/>
        <v>135930.25960105986</v>
      </c>
      <c r="M195" s="19">
        <f t="shared" si="26"/>
        <v>0</v>
      </c>
      <c r="N195" s="4">
        <f t="shared" si="39"/>
        <v>0</v>
      </c>
      <c r="O195" s="174">
        <f t="shared" si="27"/>
        <v>0</v>
      </c>
      <c r="P195" s="347">
        <f>O195/'D) Ecrêtage'!C195</f>
        <v>0</v>
      </c>
      <c r="Q195" s="167"/>
    </row>
    <row r="196" spans="1:17" s="341" customFormat="1" x14ac:dyDescent="0.25">
      <c r="A196" s="335">
        <f>'A) Base RI'!A198</f>
        <v>5719</v>
      </c>
      <c r="B196" s="336" t="str">
        <f>'A) Base RI'!B198</f>
        <v>Gingins</v>
      </c>
      <c r="C196" s="337">
        <f>'D) Ecrêtage'!M196</f>
        <v>88352.891449777657</v>
      </c>
      <c r="D196" s="337">
        <v>244478</v>
      </c>
      <c r="E196" s="338">
        <v>41840</v>
      </c>
      <c r="F196" s="339">
        <v>196775</v>
      </c>
      <c r="G196" s="339">
        <f t="shared" si="24"/>
        <v>483093</v>
      </c>
      <c r="H196" s="338">
        <f t="shared" si="36"/>
        <v>706823.13159822125</v>
      </c>
      <c r="I196" s="337">
        <f t="shared" si="25"/>
        <v>0</v>
      </c>
      <c r="J196" s="4">
        <f t="shared" si="37"/>
        <v>0</v>
      </c>
      <c r="K196" s="1">
        <v>73588</v>
      </c>
      <c r="L196" s="338">
        <f t="shared" si="38"/>
        <v>88352.891449777657</v>
      </c>
      <c r="M196" s="1">
        <f t="shared" si="26"/>
        <v>0</v>
      </c>
      <c r="N196" s="4">
        <f t="shared" si="39"/>
        <v>0</v>
      </c>
      <c r="O196" s="174">
        <f t="shared" si="27"/>
        <v>0</v>
      </c>
      <c r="P196" s="347">
        <f>O196/'D) Ecrêtage'!C196</f>
        <v>0</v>
      </c>
      <c r="Q196" s="340"/>
    </row>
    <row r="197" spans="1:17" x14ac:dyDescent="0.25">
      <c r="A197" s="165">
        <f>'A) Base RI'!A199</f>
        <v>5720</v>
      </c>
      <c r="B197" s="42" t="str">
        <f>'A) Base RI'!B199</f>
        <v>Givrins</v>
      </c>
      <c r="C197" s="41">
        <f>'D) Ecrêtage'!M197</f>
        <v>73498.475925076491</v>
      </c>
      <c r="D197" s="41">
        <v>341609</v>
      </c>
      <c r="E197" s="14">
        <v>63034</v>
      </c>
      <c r="F197" s="52">
        <v>67453</v>
      </c>
      <c r="G197" s="52">
        <f t="shared" si="24"/>
        <v>472096</v>
      </c>
      <c r="H197" s="14">
        <f t="shared" si="36"/>
        <v>587987.80740061193</v>
      </c>
      <c r="I197" s="41">
        <f t="shared" si="25"/>
        <v>0</v>
      </c>
      <c r="J197" s="4">
        <f t="shared" si="37"/>
        <v>0</v>
      </c>
      <c r="K197" s="19">
        <v>112876</v>
      </c>
      <c r="L197" s="14">
        <f t="shared" si="38"/>
        <v>73498.475925076491</v>
      </c>
      <c r="M197" s="19">
        <f t="shared" si="26"/>
        <v>39377.524074923509</v>
      </c>
      <c r="N197" s="4">
        <f t="shared" si="39"/>
        <v>-28276.74023801263</v>
      </c>
      <c r="O197" s="174">
        <f t="shared" si="27"/>
        <v>-28276.74023801263</v>
      </c>
      <c r="P197" s="347">
        <f>O197/'D) Ecrêtage'!C197</f>
        <v>-0.34893244150313862</v>
      </c>
      <c r="Q197" s="167"/>
    </row>
    <row r="198" spans="1:17" x14ac:dyDescent="0.25">
      <c r="A198" s="165">
        <f>'A) Base RI'!A200</f>
        <v>5721</v>
      </c>
      <c r="B198" s="42" t="str">
        <f>'A) Base RI'!B200</f>
        <v>Gland</v>
      </c>
      <c r="C198" s="41">
        <f>'D) Ecrêtage'!M198</f>
        <v>556574.85335272714</v>
      </c>
      <c r="D198" s="41">
        <v>1816964</v>
      </c>
      <c r="E198" s="14">
        <v>1264706</v>
      </c>
      <c r="F198" s="52">
        <v>44642</v>
      </c>
      <c r="G198" s="52">
        <f t="shared" si="24"/>
        <v>3126312</v>
      </c>
      <c r="H198" s="14">
        <f t="shared" si="36"/>
        <v>4452598.8268218171</v>
      </c>
      <c r="I198" s="41">
        <f t="shared" si="25"/>
        <v>0</v>
      </c>
      <c r="J198" s="4">
        <f t="shared" si="37"/>
        <v>0</v>
      </c>
      <c r="K198" s="19">
        <v>3632</v>
      </c>
      <c r="L198" s="14">
        <f t="shared" si="38"/>
        <v>556574.85335272714</v>
      </c>
      <c r="M198" s="19">
        <f t="shared" si="26"/>
        <v>0</v>
      </c>
      <c r="N198" s="4">
        <f t="shared" si="39"/>
        <v>0</v>
      </c>
      <c r="O198" s="174">
        <f t="shared" si="27"/>
        <v>0</v>
      </c>
      <c r="P198" s="347">
        <f>O198/'D) Ecrêtage'!C198</f>
        <v>0</v>
      </c>
      <c r="Q198" s="167"/>
    </row>
    <row r="199" spans="1:17" x14ac:dyDescent="0.25">
      <c r="A199" s="165">
        <f>'A) Base RI'!A201</f>
        <v>5722</v>
      </c>
      <c r="B199" s="42" t="str">
        <f>'A) Base RI'!B201</f>
        <v>Grens</v>
      </c>
      <c r="C199" s="41">
        <f>'D) Ecrêtage'!M199</f>
        <v>22380.908870006704</v>
      </c>
      <c r="D199" s="41">
        <v>60558</v>
      </c>
      <c r="E199" s="14">
        <v>18497</v>
      </c>
      <c r="F199" s="52">
        <v>63398</v>
      </c>
      <c r="G199" s="52">
        <f t="shared" si="24"/>
        <v>142453</v>
      </c>
      <c r="H199" s="14">
        <f t="shared" si="36"/>
        <v>179047.27096005363</v>
      </c>
      <c r="I199" s="41">
        <f t="shared" si="25"/>
        <v>0</v>
      </c>
      <c r="J199" s="4">
        <f t="shared" si="37"/>
        <v>0</v>
      </c>
      <c r="K199" s="19">
        <v>-1884</v>
      </c>
      <c r="L199" s="14">
        <f t="shared" si="38"/>
        <v>22380.908870006704</v>
      </c>
      <c r="M199" s="19">
        <f t="shared" si="26"/>
        <v>0</v>
      </c>
      <c r="N199" s="4">
        <f t="shared" si="39"/>
        <v>0</v>
      </c>
      <c r="O199" s="174">
        <f t="shared" si="27"/>
        <v>0</v>
      </c>
      <c r="P199" s="347">
        <f>O199/'D) Ecrêtage'!C199</f>
        <v>0</v>
      </c>
      <c r="Q199" s="167"/>
    </row>
    <row r="200" spans="1:17" x14ac:dyDescent="0.25">
      <c r="A200" s="165">
        <f>'A) Base RI'!A202</f>
        <v>5723</v>
      </c>
      <c r="B200" s="42" t="str">
        <f>'A) Base RI'!B202</f>
        <v>Mies</v>
      </c>
      <c r="C200" s="41">
        <f>'D) Ecrêtage'!M200</f>
        <v>208613.39926680108</v>
      </c>
      <c r="D200" s="41">
        <v>203135</v>
      </c>
      <c r="E200" s="14">
        <v>106673</v>
      </c>
      <c r="F200" s="52">
        <v>119306</v>
      </c>
      <c r="G200" s="52">
        <f t="shared" si="24"/>
        <v>429114</v>
      </c>
      <c r="H200" s="14">
        <f t="shared" si="36"/>
        <v>1668907.1941344086</v>
      </c>
      <c r="I200" s="41">
        <f t="shared" si="25"/>
        <v>0</v>
      </c>
      <c r="J200" s="4">
        <f t="shared" si="37"/>
        <v>0</v>
      </c>
      <c r="K200" s="19"/>
      <c r="L200" s="14">
        <f t="shared" si="38"/>
        <v>208613.39926680108</v>
      </c>
      <c r="M200" s="19">
        <f t="shared" si="26"/>
        <v>0</v>
      </c>
      <c r="N200" s="4">
        <f t="shared" si="39"/>
        <v>0</v>
      </c>
      <c r="O200" s="174">
        <f t="shared" si="27"/>
        <v>0</v>
      </c>
      <c r="P200" s="347">
        <f>O200/'D) Ecrêtage'!C200</f>
        <v>0</v>
      </c>
      <c r="Q200" s="167"/>
    </row>
    <row r="201" spans="1:17" x14ac:dyDescent="0.25">
      <c r="A201" s="165">
        <f>'A) Base RI'!A203</f>
        <v>5724</v>
      </c>
      <c r="B201" s="42" t="str">
        <f>'A) Base RI'!B203</f>
        <v>Nyon</v>
      </c>
      <c r="C201" s="41">
        <f>'D) Ecrêtage'!M201</f>
        <v>1304185.770987886</v>
      </c>
      <c r="D201" s="41">
        <v>6851465</v>
      </c>
      <c r="E201" s="14">
        <v>3615399</v>
      </c>
      <c r="F201" s="52">
        <v>152693</v>
      </c>
      <c r="G201" s="52">
        <f t="shared" si="24"/>
        <v>10619557</v>
      </c>
      <c r="H201" s="14">
        <f t="shared" si="36"/>
        <v>10433486.167903088</v>
      </c>
      <c r="I201" s="41">
        <f t="shared" si="25"/>
        <v>186070.83209691197</v>
      </c>
      <c r="J201" s="4">
        <f t="shared" si="37"/>
        <v>-133616.23689351938</v>
      </c>
      <c r="K201" s="19">
        <v>317858</v>
      </c>
      <c r="L201" s="14">
        <f t="shared" si="38"/>
        <v>1304185.770987886</v>
      </c>
      <c r="M201" s="19">
        <f t="shared" si="26"/>
        <v>0</v>
      </c>
      <c r="N201" s="4">
        <f t="shared" si="39"/>
        <v>0</v>
      </c>
      <c r="O201" s="174">
        <f t="shared" si="27"/>
        <v>-133616.23689351938</v>
      </c>
      <c r="P201" s="347">
        <f>O201/'D) Ecrêtage'!C201</f>
        <v>-9.7285299902454991E-2</v>
      </c>
      <c r="Q201" s="167"/>
    </row>
    <row r="202" spans="1:17" x14ac:dyDescent="0.25">
      <c r="A202" s="165">
        <f>'A) Base RI'!A204</f>
        <v>5725</v>
      </c>
      <c r="B202" s="42" t="str">
        <f>'A) Base RI'!B204</f>
        <v>Prangins</v>
      </c>
      <c r="C202" s="41">
        <f>'D) Ecrêtage'!M202</f>
        <v>263974.0731358112</v>
      </c>
      <c r="D202" s="41">
        <v>552202</v>
      </c>
      <c r="E202" s="14">
        <v>1013178</v>
      </c>
      <c r="F202" s="52">
        <v>67707</v>
      </c>
      <c r="G202" s="52">
        <f t="shared" si="24"/>
        <v>1633087</v>
      </c>
      <c r="H202" s="14">
        <f t="shared" si="36"/>
        <v>2111792.5850864896</v>
      </c>
      <c r="I202" s="41">
        <f t="shared" si="25"/>
        <v>0</v>
      </c>
      <c r="J202" s="4">
        <f t="shared" si="37"/>
        <v>0</v>
      </c>
      <c r="K202" s="19">
        <v>18788</v>
      </c>
      <c r="L202" s="14">
        <f t="shared" si="38"/>
        <v>263974.0731358112</v>
      </c>
      <c r="M202" s="19">
        <f t="shared" si="26"/>
        <v>0</v>
      </c>
      <c r="N202" s="4">
        <f t="shared" si="39"/>
        <v>0</v>
      </c>
      <c r="O202" s="174">
        <f t="shared" si="27"/>
        <v>0</v>
      </c>
      <c r="P202" s="347">
        <f>O202/'D) Ecrêtage'!C202</f>
        <v>0</v>
      </c>
      <c r="Q202" s="167"/>
    </row>
    <row r="203" spans="1:17" x14ac:dyDescent="0.25">
      <c r="A203" s="165">
        <f>'A) Base RI'!A205</f>
        <v>5726</v>
      </c>
      <c r="B203" s="42" t="str">
        <f>'A) Base RI'!B205</f>
        <v>La Rippe</v>
      </c>
      <c r="C203" s="41">
        <f>'D) Ecrêtage'!M203</f>
        <v>60375.551317460784</v>
      </c>
      <c r="D203" s="41">
        <v>237085</v>
      </c>
      <c r="E203" s="14">
        <v>36836</v>
      </c>
      <c r="F203" s="52">
        <v>176190</v>
      </c>
      <c r="G203" s="52">
        <f t="shared" si="24"/>
        <v>450111</v>
      </c>
      <c r="H203" s="14">
        <f t="shared" si="36"/>
        <v>483004.41053968627</v>
      </c>
      <c r="I203" s="41">
        <f t="shared" si="25"/>
        <v>0</v>
      </c>
      <c r="J203" s="4">
        <f t="shared" si="37"/>
        <v>0</v>
      </c>
      <c r="K203" s="19">
        <v>61189</v>
      </c>
      <c r="L203" s="14">
        <f t="shared" si="38"/>
        <v>60375.551317460784</v>
      </c>
      <c r="M203" s="19">
        <f t="shared" si="26"/>
        <v>813.44868253921595</v>
      </c>
      <c r="N203" s="4">
        <f t="shared" si="39"/>
        <v>-584.13213205964348</v>
      </c>
      <c r="O203" s="174">
        <f t="shared" si="27"/>
        <v>-584.13213205964348</v>
      </c>
      <c r="P203" s="347">
        <f>O203/'D) Ecrêtage'!C203</f>
        <v>-9.6662487062992419E-3</v>
      </c>
      <c r="Q203" s="167"/>
    </row>
    <row r="204" spans="1:17" x14ac:dyDescent="0.25">
      <c r="A204" s="165">
        <f>'A) Base RI'!A206</f>
        <v>5727</v>
      </c>
      <c r="B204" s="42" t="str">
        <f>'A) Base RI'!B206</f>
        <v>Saint-Cergue</v>
      </c>
      <c r="C204" s="41">
        <f>'D) Ecrêtage'!M204</f>
        <v>92384.571565656559</v>
      </c>
      <c r="D204" s="41">
        <v>712980</v>
      </c>
      <c r="E204" s="14">
        <v>194840</v>
      </c>
      <c r="F204" s="52">
        <v>71167</v>
      </c>
      <c r="G204" s="52">
        <f t="shared" si="24"/>
        <v>978987</v>
      </c>
      <c r="H204" s="14">
        <f t="shared" si="36"/>
        <v>739076.57252525247</v>
      </c>
      <c r="I204" s="41">
        <f t="shared" si="25"/>
        <v>239910.42747474753</v>
      </c>
      <c r="J204" s="4">
        <f t="shared" si="37"/>
        <v>-172278.0951180761</v>
      </c>
      <c r="K204" s="19">
        <v>42539</v>
      </c>
      <c r="L204" s="14">
        <f t="shared" si="38"/>
        <v>92384.571565656559</v>
      </c>
      <c r="M204" s="19">
        <f t="shared" si="26"/>
        <v>0</v>
      </c>
      <c r="N204" s="4">
        <f t="shared" si="39"/>
        <v>0</v>
      </c>
      <c r="O204" s="174">
        <f t="shared" si="27"/>
        <v>-172278.0951180761</v>
      </c>
      <c r="P204" s="347">
        <f>O204/'D) Ecrêtage'!C204</f>
        <v>-1.8647929215717607</v>
      </c>
      <c r="Q204" s="167"/>
    </row>
    <row r="205" spans="1:17" x14ac:dyDescent="0.25">
      <c r="A205" s="165">
        <f>'A) Base RI'!A207</f>
        <v>5728</v>
      </c>
      <c r="B205" s="42" t="str">
        <f>'A) Base RI'!B207</f>
        <v>Signy-Avenex</v>
      </c>
      <c r="C205" s="41">
        <f>'D) Ecrêtage'!M205</f>
        <v>31844.633660866617</v>
      </c>
      <c r="D205" s="41">
        <v>90706</v>
      </c>
      <c r="E205" s="14">
        <v>57478</v>
      </c>
      <c r="F205" s="52">
        <v>68825</v>
      </c>
      <c r="G205" s="52">
        <f t="shared" si="24"/>
        <v>217009</v>
      </c>
      <c r="H205" s="14">
        <f t="shared" si="36"/>
        <v>254757.06928693294</v>
      </c>
      <c r="I205" s="41">
        <f t="shared" si="25"/>
        <v>0</v>
      </c>
      <c r="J205" s="4">
        <f t="shared" si="37"/>
        <v>0</v>
      </c>
      <c r="K205" s="19"/>
      <c r="L205" s="14">
        <f t="shared" si="38"/>
        <v>31844.633660866617</v>
      </c>
      <c r="M205" s="19">
        <f t="shared" si="26"/>
        <v>0</v>
      </c>
      <c r="N205" s="4">
        <f t="shared" si="39"/>
        <v>0</v>
      </c>
      <c r="O205" s="174">
        <f t="shared" si="27"/>
        <v>0</v>
      </c>
      <c r="P205" s="347">
        <f>O205/'D) Ecrêtage'!C205</f>
        <v>0</v>
      </c>
      <c r="Q205" s="167"/>
    </row>
    <row r="206" spans="1:17" x14ac:dyDescent="0.25">
      <c r="A206" s="165">
        <f>'A) Base RI'!A208</f>
        <v>5729</v>
      </c>
      <c r="B206" s="42" t="str">
        <f>'A) Base RI'!B208</f>
        <v>Tannay</v>
      </c>
      <c r="C206" s="41">
        <f>'D) Ecrêtage'!M206</f>
        <v>121490.26557201984</v>
      </c>
      <c r="D206" s="41">
        <v>218144</v>
      </c>
      <c r="E206" s="14">
        <v>135655</v>
      </c>
      <c r="F206" s="52">
        <v>96510</v>
      </c>
      <c r="G206" s="52">
        <f t="shared" si="24"/>
        <v>450309</v>
      </c>
      <c r="H206" s="14">
        <f t="shared" si="36"/>
        <v>971922.12457615871</v>
      </c>
      <c r="I206" s="41">
        <f t="shared" si="25"/>
        <v>0</v>
      </c>
      <c r="J206" s="4">
        <f t="shared" si="37"/>
        <v>0</v>
      </c>
      <c r="K206" s="19"/>
      <c r="L206" s="14">
        <f t="shared" si="38"/>
        <v>121490.26557201984</v>
      </c>
      <c r="M206" s="19">
        <f t="shared" si="26"/>
        <v>0</v>
      </c>
      <c r="N206" s="4">
        <f t="shared" si="39"/>
        <v>0</v>
      </c>
      <c r="O206" s="174">
        <f t="shared" si="27"/>
        <v>0</v>
      </c>
      <c r="P206" s="347">
        <f>O206/'D) Ecrêtage'!C206</f>
        <v>0</v>
      </c>
      <c r="Q206" s="167"/>
    </row>
    <row r="207" spans="1:17" x14ac:dyDescent="0.25">
      <c r="A207" s="165">
        <f>'A) Base RI'!A209</f>
        <v>5730</v>
      </c>
      <c r="B207" s="42" t="str">
        <f>'A) Base RI'!B209</f>
        <v>Trélex</v>
      </c>
      <c r="C207" s="41">
        <f>'D) Ecrêtage'!M207</f>
        <v>126974.54932555581</v>
      </c>
      <c r="D207" s="41">
        <v>224213</v>
      </c>
      <c r="E207" s="14">
        <v>80047</v>
      </c>
      <c r="F207" s="52">
        <v>64703</v>
      </c>
      <c r="G207" s="52">
        <f t="shared" si="24"/>
        <v>368963</v>
      </c>
      <c r="H207" s="14">
        <f t="shared" si="36"/>
        <v>1015796.3946044465</v>
      </c>
      <c r="I207" s="41">
        <f t="shared" si="25"/>
        <v>0</v>
      </c>
      <c r="J207" s="4">
        <f t="shared" si="37"/>
        <v>0</v>
      </c>
      <c r="K207" s="19">
        <v>63162</v>
      </c>
      <c r="L207" s="14">
        <f t="shared" si="38"/>
        <v>126974.54932555581</v>
      </c>
      <c r="M207" s="19">
        <f t="shared" si="26"/>
        <v>0</v>
      </c>
      <c r="N207" s="4">
        <f t="shared" si="39"/>
        <v>0</v>
      </c>
      <c r="O207" s="174">
        <f t="shared" si="27"/>
        <v>0</v>
      </c>
      <c r="P207" s="347">
        <f>O207/'D) Ecrêtage'!C207</f>
        <v>0</v>
      </c>
      <c r="Q207" s="167"/>
    </row>
    <row r="208" spans="1:17" x14ac:dyDescent="0.25">
      <c r="A208" s="165">
        <f>'A) Base RI'!A210</f>
        <v>5731</v>
      </c>
      <c r="B208" s="42" t="str">
        <f>'A) Base RI'!B210</f>
        <v>Le Vaud</v>
      </c>
      <c r="C208" s="41">
        <f>'D) Ecrêtage'!M208</f>
        <v>46449.882799999999</v>
      </c>
      <c r="D208" s="41">
        <v>401379</v>
      </c>
      <c r="E208" s="14">
        <v>42562</v>
      </c>
      <c r="F208" s="52">
        <v>153754</v>
      </c>
      <c r="G208" s="52">
        <f t="shared" si="24"/>
        <v>597695</v>
      </c>
      <c r="H208" s="14">
        <f t="shared" si="36"/>
        <v>371599.0624</v>
      </c>
      <c r="I208" s="41">
        <f t="shared" si="25"/>
        <v>226095.9376</v>
      </c>
      <c r="J208" s="4">
        <f t="shared" si="37"/>
        <v>-162358.0010825638</v>
      </c>
      <c r="K208" s="19">
        <v>-101279</v>
      </c>
      <c r="L208" s="14">
        <f t="shared" si="38"/>
        <v>46449.882799999999</v>
      </c>
      <c r="M208" s="19">
        <f t="shared" si="26"/>
        <v>0</v>
      </c>
      <c r="N208" s="4">
        <f t="shared" si="39"/>
        <v>0</v>
      </c>
      <c r="O208" s="174">
        <f t="shared" si="27"/>
        <v>-162358.0010825638</v>
      </c>
      <c r="P208" s="347">
        <f>O208/'D) Ecrêtage'!C208</f>
        <v>-3.4953371525528114</v>
      </c>
      <c r="Q208" s="167"/>
    </row>
    <row r="209" spans="1:17" x14ac:dyDescent="0.25">
      <c r="A209" s="165">
        <f>'A) Base RI'!A211</f>
        <v>5732</v>
      </c>
      <c r="B209" s="42" t="str">
        <f>'A) Base RI'!B211</f>
        <v>Vich</v>
      </c>
      <c r="C209" s="41">
        <f>'D) Ecrêtage'!M209</f>
        <v>55139.937699210619</v>
      </c>
      <c r="D209" s="41">
        <v>200304</v>
      </c>
      <c r="E209" s="14">
        <v>28464</v>
      </c>
      <c r="F209" s="52">
        <v>84736</v>
      </c>
      <c r="G209" s="52">
        <f t="shared" si="24"/>
        <v>313504</v>
      </c>
      <c r="H209" s="14">
        <f t="shared" si="36"/>
        <v>441119.50159368495</v>
      </c>
      <c r="I209" s="41">
        <f t="shared" si="25"/>
        <v>0</v>
      </c>
      <c r="J209" s="4">
        <f t="shared" si="37"/>
        <v>0</v>
      </c>
      <c r="K209" s="19">
        <v>14203</v>
      </c>
      <c r="L209" s="14">
        <f t="shared" si="38"/>
        <v>55139.937699210619</v>
      </c>
      <c r="M209" s="19">
        <f t="shared" si="26"/>
        <v>0</v>
      </c>
      <c r="N209" s="4">
        <f t="shared" si="39"/>
        <v>0</v>
      </c>
      <c r="O209" s="174">
        <f t="shared" si="27"/>
        <v>0</v>
      </c>
      <c r="P209" s="347">
        <f>O209/'D) Ecrêtage'!C209</f>
        <v>0</v>
      </c>
      <c r="Q209" s="167"/>
    </row>
    <row r="210" spans="1:17" x14ac:dyDescent="0.25">
      <c r="A210" s="165">
        <f>'A) Base RI'!A212</f>
        <v>5741</v>
      </c>
      <c r="B210" s="42" t="str">
        <f>'A) Base RI'!B212</f>
        <v>L'Abergement</v>
      </c>
      <c r="C210" s="41">
        <f>'D) Ecrêtage'!M210</f>
        <v>6994.8889917695487</v>
      </c>
      <c r="D210" s="41">
        <v>109881</v>
      </c>
      <c r="E210" s="14">
        <v>7535</v>
      </c>
      <c r="F210" s="52">
        <v>33664</v>
      </c>
      <c r="G210" s="52">
        <f t="shared" si="24"/>
        <v>151080</v>
      </c>
      <c r="H210" s="14">
        <f t="shared" si="36"/>
        <v>55959.11193415639</v>
      </c>
      <c r="I210" s="41">
        <f t="shared" si="25"/>
        <v>95120.88806584361</v>
      </c>
      <c r="J210" s="4">
        <f t="shared" si="37"/>
        <v>-68305.682143174723</v>
      </c>
      <c r="K210" s="19">
        <v>28108</v>
      </c>
      <c r="L210" s="14">
        <f t="shared" si="38"/>
        <v>6994.8889917695487</v>
      </c>
      <c r="M210" s="19">
        <f t="shared" si="26"/>
        <v>21113.111008230451</v>
      </c>
      <c r="N210" s="4">
        <f t="shared" si="39"/>
        <v>-15161.18571752069</v>
      </c>
      <c r="O210" s="174">
        <f t="shared" si="27"/>
        <v>-83466.867860695405</v>
      </c>
      <c r="P210" s="347">
        <f>O210/'D) Ecrêtage'!C210</f>
        <v>-11.932550746538748</v>
      </c>
      <c r="Q210" s="167"/>
    </row>
    <row r="211" spans="1:17" x14ac:dyDescent="0.25">
      <c r="A211" s="165">
        <f>'A) Base RI'!A213</f>
        <v>5742</v>
      </c>
      <c r="B211" s="42" t="str">
        <f>'A) Base RI'!B213</f>
        <v>Agiez</v>
      </c>
      <c r="C211" s="41">
        <f>'D) Ecrêtage'!M211</f>
        <v>9274.0430263157905</v>
      </c>
      <c r="D211" s="41">
        <v>46849</v>
      </c>
      <c r="E211" s="14">
        <v>8952</v>
      </c>
      <c r="F211" s="52">
        <v>37044</v>
      </c>
      <c r="G211" s="52">
        <f t="shared" si="24"/>
        <v>92845</v>
      </c>
      <c r="H211" s="14">
        <f t="shared" si="36"/>
        <v>74192.344210526324</v>
      </c>
      <c r="I211" s="41">
        <f t="shared" si="25"/>
        <v>18652.655789473676</v>
      </c>
      <c r="J211" s="4">
        <f t="shared" si="37"/>
        <v>-13394.34905822057</v>
      </c>
      <c r="K211" s="19">
        <v>30696</v>
      </c>
      <c r="L211" s="14">
        <f t="shared" si="38"/>
        <v>9274.0430263157905</v>
      </c>
      <c r="M211" s="19">
        <f t="shared" si="26"/>
        <v>21421.95697368421</v>
      </c>
      <c r="N211" s="4">
        <f t="shared" si="39"/>
        <v>-15382.965967647071</v>
      </c>
      <c r="O211" s="174">
        <f t="shared" si="27"/>
        <v>-28777.31502586764</v>
      </c>
      <c r="P211" s="347">
        <f>O211/'D) Ecrêtage'!C211</f>
        <v>-3.1029956346126339</v>
      </c>
      <c r="Q211" s="167"/>
    </row>
    <row r="212" spans="1:17" x14ac:dyDescent="0.25">
      <c r="A212" s="165">
        <f>'A) Base RI'!A214</f>
        <v>5743</v>
      </c>
      <c r="B212" s="42" t="str">
        <f>'A) Base RI'!B214</f>
        <v>Arnex-sur-Orbe</v>
      </c>
      <c r="C212" s="41">
        <f>'D) Ecrêtage'!M212</f>
        <v>17348.834349315071</v>
      </c>
      <c r="D212" s="41">
        <v>106447</v>
      </c>
      <c r="E212" s="14">
        <v>37072</v>
      </c>
      <c r="F212" s="52">
        <v>69137</v>
      </c>
      <c r="G212" s="52">
        <f t="shared" si="24"/>
        <v>212656</v>
      </c>
      <c r="H212" s="14">
        <f t="shared" si="36"/>
        <v>138790.67479452057</v>
      </c>
      <c r="I212" s="41">
        <f t="shared" si="25"/>
        <v>73865.325205479428</v>
      </c>
      <c r="J212" s="4">
        <f t="shared" si="37"/>
        <v>-53042.202690488128</v>
      </c>
      <c r="K212" s="19">
        <v>2837</v>
      </c>
      <c r="L212" s="14">
        <f t="shared" si="38"/>
        <v>17348.834349315071</v>
      </c>
      <c r="M212" s="19">
        <f t="shared" si="26"/>
        <v>0</v>
      </c>
      <c r="N212" s="4">
        <f t="shared" si="39"/>
        <v>0</v>
      </c>
      <c r="O212" s="174">
        <f t="shared" si="27"/>
        <v>-53042.202690488128</v>
      </c>
      <c r="P212" s="347">
        <f>O212/'D) Ecrêtage'!C212</f>
        <v>-3.0573928842995852</v>
      </c>
      <c r="Q212" s="167"/>
    </row>
    <row r="213" spans="1:17" x14ac:dyDescent="0.25">
      <c r="A213" s="165">
        <f>'A) Base RI'!A215</f>
        <v>5744</v>
      </c>
      <c r="B213" s="42" t="str">
        <f>'A) Base RI'!B215</f>
        <v>Ballaigues</v>
      </c>
      <c r="C213" s="41">
        <f>'D) Ecrêtage'!M213</f>
        <v>53212.458333333336</v>
      </c>
      <c r="D213" s="41">
        <v>804111</v>
      </c>
      <c r="E213" s="14">
        <v>31255</v>
      </c>
      <c r="F213" s="52">
        <v>113276</v>
      </c>
      <c r="G213" s="52">
        <f t="shared" si="24"/>
        <v>948642</v>
      </c>
      <c r="H213" s="14">
        <f t="shared" si="36"/>
        <v>425699.66666666669</v>
      </c>
      <c r="I213" s="41">
        <f t="shared" si="25"/>
        <v>522942.33333333331</v>
      </c>
      <c r="J213" s="4">
        <f t="shared" si="37"/>
        <v>-375521.4393619948</v>
      </c>
      <c r="K213" s="19">
        <v>105262</v>
      </c>
      <c r="L213" s="14">
        <f t="shared" si="38"/>
        <v>53212.458333333336</v>
      </c>
      <c r="M213" s="19">
        <f t="shared" si="26"/>
        <v>52049.541666666664</v>
      </c>
      <c r="N213" s="4">
        <f t="shared" si="39"/>
        <v>-37376.432464762758</v>
      </c>
      <c r="O213" s="174">
        <f t="shared" si="27"/>
        <v>-412897.87182675756</v>
      </c>
      <c r="P213" s="347">
        <f>O213/'D) Ecrêtage'!C213</f>
        <v>-7.7594210972228312</v>
      </c>
      <c r="Q213" s="167"/>
    </row>
    <row r="214" spans="1:17" x14ac:dyDescent="0.25">
      <c r="A214" s="165">
        <f>'A) Base RI'!A216</f>
        <v>5745</v>
      </c>
      <c r="B214" s="42" t="str">
        <f>'A) Base RI'!B216</f>
        <v>Baulmes</v>
      </c>
      <c r="C214" s="41">
        <f>'D) Ecrêtage'!M214</f>
        <v>27522.151666666668</v>
      </c>
      <c r="D214" s="41">
        <v>254821</v>
      </c>
      <c r="E214" s="14">
        <v>76782</v>
      </c>
      <c r="F214" s="52">
        <v>51871</v>
      </c>
      <c r="G214" s="52">
        <f t="shared" si="24"/>
        <v>383474</v>
      </c>
      <c r="H214" s="14">
        <f t="shared" si="36"/>
        <v>220177.21333333335</v>
      </c>
      <c r="I214" s="41">
        <f t="shared" si="25"/>
        <v>163296.78666666665</v>
      </c>
      <c r="J214" s="4">
        <f t="shared" si="37"/>
        <v>-117262.34512585888</v>
      </c>
      <c r="K214" s="19">
        <v>290660</v>
      </c>
      <c r="L214" s="14">
        <f t="shared" si="38"/>
        <v>27522.151666666668</v>
      </c>
      <c r="M214" s="19">
        <f t="shared" si="26"/>
        <v>263137.84833333333</v>
      </c>
      <c r="N214" s="4">
        <f t="shared" si="39"/>
        <v>-188957.55278960324</v>
      </c>
      <c r="O214" s="174">
        <f t="shared" si="27"/>
        <v>-306219.89791546215</v>
      </c>
      <c r="P214" s="347">
        <f>O214/'D) Ecrêtage'!C214</f>
        <v>-11.12630660655573</v>
      </c>
      <c r="Q214" s="167"/>
    </row>
    <row r="215" spans="1:17" x14ac:dyDescent="0.25">
      <c r="A215" s="165">
        <f>'A) Base RI'!A217</f>
        <v>5746</v>
      </c>
      <c r="B215" s="42" t="str">
        <f>'A) Base RI'!B217</f>
        <v>Bavois</v>
      </c>
      <c r="C215" s="41">
        <f>'D) Ecrêtage'!M215</f>
        <v>23930.083584474884</v>
      </c>
      <c r="D215" s="41">
        <v>201925</v>
      </c>
      <c r="E215" s="14">
        <v>69247</v>
      </c>
      <c r="F215" s="52">
        <v>116979</v>
      </c>
      <c r="G215" s="52">
        <f t="shared" si="24"/>
        <v>388151</v>
      </c>
      <c r="H215" s="14">
        <f t="shared" si="36"/>
        <v>191440.66867579907</v>
      </c>
      <c r="I215" s="41">
        <f t="shared" si="25"/>
        <v>196710.33132420093</v>
      </c>
      <c r="J215" s="4">
        <f t="shared" si="37"/>
        <v>-141256.3910926549</v>
      </c>
      <c r="K215" s="19">
        <v>78200</v>
      </c>
      <c r="L215" s="14">
        <f t="shared" si="38"/>
        <v>23930.083584474884</v>
      </c>
      <c r="M215" s="19">
        <f t="shared" si="26"/>
        <v>54269.91641552512</v>
      </c>
      <c r="N215" s="4">
        <f t="shared" si="39"/>
        <v>-38970.86892260232</v>
      </c>
      <c r="O215" s="174">
        <f t="shared" si="27"/>
        <v>-180227.26001525723</v>
      </c>
      <c r="P215" s="347">
        <f>O215/'D) Ecrêtage'!C215</f>
        <v>-7.5314095489488064</v>
      </c>
      <c r="Q215" s="167"/>
    </row>
    <row r="216" spans="1:17" x14ac:dyDescent="0.25">
      <c r="A216" s="165">
        <f>'A) Base RI'!A218</f>
        <v>5747</v>
      </c>
      <c r="B216" s="42" t="str">
        <f>'A) Base RI'!B218</f>
        <v>Bofflens</v>
      </c>
      <c r="C216" s="41">
        <f>'D) Ecrêtage'!M216</f>
        <v>5183.441884057971</v>
      </c>
      <c r="D216" s="41">
        <v>27511</v>
      </c>
      <c r="E216" s="14">
        <v>5696</v>
      </c>
      <c r="F216" s="52">
        <v>19637</v>
      </c>
      <c r="G216" s="52">
        <f t="shared" si="24"/>
        <v>52844</v>
      </c>
      <c r="H216" s="14">
        <f t="shared" si="36"/>
        <v>41467.535072463768</v>
      </c>
      <c r="I216" s="41">
        <f t="shared" si="25"/>
        <v>11376.464927536232</v>
      </c>
      <c r="J216" s="4">
        <f t="shared" si="37"/>
        <v>-8169.3644062213198</v>
      </c>
      <c r="K216" s="19">
        <v>2210</v>
      </c>
      <c r="L216" s="14">
        <f t="shared" si="38"/>
        <v>5183.441884057971</v>
      </c>
      <c r="M216" s="19">
        <f t="shared" si="26"/>
        <v>0</v>
      </c>
      <c r="N216" s="4">
        <f t="shared" si="39"/>
        <v>0</v>
      </c>
      <c r="O216" s="174">
        <f t="shared" si="27"/>
        <v>-8169.3644062213198</v>
      </c>
      <c r="P216" s="347">
        <f>O216/'D) Ecrêtage'!C216</f>
        <v>-1.5760501591320542</v>
      </c>
      <c r="Q216" s="167"/>
    </row>
    <row r="217" spans="1:17" x14ac:dyDescent="0.25">
      <c r="A217" s="165">
        <f>'A) Base RI'!A219</f>
        <v>5748</v>
      </c>
      <c r="B217" s="42" t="str">
        <f>'A) Base RI'!B219</f>
        <v>Bretonnières</v>
      </c>
      <c r="C217" s="41">
        <f>'D) Ecrêtage'!M217</f>
        <v>6140.8540277777784</v>
      </c>
      <c r="D217" s="41">
        <v>54672</v>
      </c>
      <c r="E217" s="14">
        <v>14226</v>
      </c>
      <c r="F217" s="52">
        <v>26025</v>
      </c>
      <c r="G217" s="52">
        <f t="shared" si="24"/>
        <v>94923</v>
      </c>
      <c r="H217" s="14">
        <f t="shared" si="36"/>
        <v>49126.832222222227</v>
      </c>
      <c r="I217" s="41">
        <f t="shared" si="25"/>
        <v>45796.167777777773</v>
      </c>
      <c r="J217" s="4">
        <f t="shared" si="37"/>
        <v>-32885.92593289353</v>
      </c>
      <c r="K217" s="19">
        <v>25504</v>
      </c>
      <c r="L217" s="14">
        <f t="shared" si="38"/>
        <v>6140.8540277777784</v>
      </c>
      <c r="M217" s="19">
        <f t="shared" si="26"/>
        <v>19363.145972222221</v>
      </c>
      <c r="N217" s="4">
        <f t="shared" si="39"/>
        <v>-13904.547370867473</v>
      </c>
      <c r="O217" s="174">
        <f t="shared" si="27"/>
        <v>-46790.473303760999</v>
      </c>
      <c r="P217" s="347">
        <f>O217/'D) Ecrêtage'!C217</f>
        <v>-7.6195384375051338</v>
      </c>
      <c r="Q217" s="167"/>
    </row>
    <row r="218" spans="1:17" x14ac:dyDescent="0.25">
      <c r="A218" s="165">
        <f>'A) Base RI'!A220</f>
        <v>5749</v>
      </c>
      <c r="B218" s="42" t="str">
        <f>'A) Base RI'!B220</f>
        <v>Chavornay</v>
      </c>
      <c r="C218" s="41">
        <f>'D) Ecrêtage'!M218</f>
        <v>124346.92667771333</v>
      </c>
      <c r="D218" s="41">
        <v>672920</v>
      </c>
      <c r="E218" s="14">
        <v>326492</v>
      </c>
      <c r="F218" s="52">
        <v>646891</v>
      </c>
      <c r="G218" s="52">
        <f t="shared" ref="G218" si="40">D218+E218+F218</f>
        <v>1646303</v>
      </c>
      <c r="H218" s="14">
        <f t="shared" ref="H218" si="41">C218*I$4</f>
        <v>994775.41342170665</v>
      </c>
      <c r="I218" s="41">
        <f t="shared" ref="I218" si="42">IF(G218&gt;H218,G218-H218,0)</f>
        <v>651527.58657829335</v>
      </c>
      <c r="J218" s="4">
        <f t="shared" ref="J218" si="43">-I218*J$4</f>
        <v>-467857.66135321627</v>
      </c>
      <c r="K218" s="19">
        <v>147726</v>
      </c>
      <c r="L218" s="14">
        <f t="shared" ref="L218" si="44">C218*M$4</f>
        <v>124346.92667771333</v>
      </c>
      <c r="M218" s="19">
        <f t="shared" ref="M218" si="45">IF(K218&gt;L218,K218-L218,0)</f>
        <v>23379.073322286669</v>
      </c>
      <c r="N218" s="4">
        <f t="shared" ref="N218" si="46">-M218*N$4</f>
        <v>-16788.358305156726</v>
      </c>
      <c r="O218" s="174">
        <f t="shared" ref="O218" si="47">N218+J218</f>
        <v>-484646.01965837297</v>
      </c>
      <c r="P218" s="347">
        <f>O218/'D) Ecrêtage'!C218</f>
        <v>-3.8975311461818056</v>
      </c>
      <c r="Q218" s="167"/>
    </row>
    <row r="219" spans="1:17" x14ac:dyDescent="0.25">
      <c r="A219" s="165">
        <f>'A) Base RI'!A221</f>
        <v>5750</v>
      </c>
      <c r="B219" s="42" t="str">
        <f>'A) Base RI'!B221</f>
        <v>Les Clées</v>
      </c>
      <c r="C219" s="41">
        <f>'D) Ecrêtage'!M219</f>
        <v>4366.1146666666664</v>
      </c>
      <c r="D219" s="41">
        <v>28973</v>
      </c>
      <c r="E219" s="14"/>
      <c r="F219" s="52">
        <v>20347</v>
      </c>
      <c r="G219" s="52">
        <f t="shared" si="24"/>
        <v>49320</v>
      </c>
      <c r="H219" s="14">
        <f t="shared" si="36"/>
        <v>34928.917333333331</v>
      </c>
      <c r="I219" s="41">
        <f t="shared" si="25"/>
        <v>14391.082666666669</v>
      </c>
      <c r="J219" s="4">
        <f t="shared" si="37"/>
        <v>-10334.141515216379</v>
      </c>
      <c r="K219" s="19">
        <v>31694</v>
      </c>
      <c r="L219" s="14">
        <f t="shared" si="38"/>
        <v>4366.1146666666664</v>
      </c>
      <c r="M219" s="19">
        <f t="shared" si="26"/>
        <v>27327.885333333332</v>
      </c>
      <c r="N219" s="4">
        <f t="shared" si="39"/>
        <v>-19623.974157302648</v>
      </c>
      <c r="O219" s="174">
        <f t="shared" si="27"/>
        <v>-29958.115672519027</v>
      </c>
      <c r="P219" s="347">
        <f>O219/'D) Ecrêtage'!C219</f>
        <v>-6.8615045548931288</v>
      </c>
      <c r="Q219" s="167"/>
    </row>
    <row r="220" spans="1:17" x14ac:dyDescent="0.25">
      <c r="A220" s="165">
        <f>'A) Base RI'!A222</f>
        <v>5752</v>
      </c>
      <c r="B220" s="42" t="str">
        <f>'A) Base RI'!B222</f>
        <v>Croy</v>
      </c>
      <c r="C220" s="41">
        <f>'D) Ecrêtage'!M220</f>
        <v>12886.326312741312</v>
      </c>
      <c r="D220" s="41">
        <v>466898</v>
      </c>
      <c r="E220" s="14">
        <v>24187</v>
      </c>
      <c r="F220" s="52">
        <v>29360</v>
      </c>
      <c r="G220" s="52">
        <f t="shared" ref="G220:G264" si="48">D220+E220+F220</f>
        <v>520445</v>
      </c>
      <c r="H220" s="14">
        <f t="shared" si="36"/>
        <v>103090.6105019305</v>
      </c>
      <c r="I220" s="41">
        <f t="shared" ref="I220:I264" si="49">IF(G220&gt;H220,G220-H220,0)</f>
        <v>417354.38949806953</v>
      </c>
      <c r="J220" s="4">
        <f t="shared" si="37"/>
        <v>-299699.43352905393</v>
      </c>
      <c r="K220" s="19">
        <v>693</v>
      </c>
      <c r="L220" s="14">
        <f t="shared" si="38"/>
        <v>12886.326312741312</v>
      </c>
      <c r="M220" s="19">
        <f t="shared" ref="M220:M264" si="50">IF(K220&gt;L220,K220-L220,0)</f>
        <v>0</v>
      </c>
      <c r="N220" s="4">
        <f t="shared" si="39"/>
        <v>0</v>
      </c>
      <c r="O220" s="174">
        <f t="shared" ref="O220:O264" si="51">N220+J220</f>
        <v>-299699.43352905393</v>
      </c>
      <c r="P220" s="347">
        <f>O220/'D) Ecrêtage'!C220</f>
        <v>-23.257166259458067</v>
      </c>
      <c r="Q220" s="167"/>
    </row>
    <row r="221" spans="1:17" x14ac:dyDescent="0.25">
      <c r="A221" s="165">
        <f>'A) Base RI'!A223</f>
        <v>5754</v>
      </c>
      <c r="B221" s="42" t="str">
        <f>'A) Base RI'!B223</f>
        <v>Juriens</v>
      </c>
      <c r="C221" s="41">
        <f>'D) Ecrêtage'!M221</f>
        <v>6475.8115189873415</v>
      </c>
      <c r="D221" s="41">
        <v>63179</v>
      </c>
      <c r="E221" s="14">
        <v>9253</v>
      </c>
      <c r="F221" s="52">
        <v>25921</v>
      </c>
      <c r="G221" s="52">
        <f t="shared" si="48"/>
        <v>98353</v>
      </c>
      <c r="H221" s="14">
        <f t="shared" si="36"/>
        <v>51806.492151898732</v>
      </c>
      <c r="I221" s="41">
        <f t="shared" si="49"/>
        <v>46546.507848101268</v>
      </c>
      <c r="J221" s="4">
        <f t="shared" si="37"/>
        <v>-33424.740186891308</v>
      </c>
      <c r="K221" s="19">
        <v>867</v>
      </c>
      <c r="L221" s="14">
        <f t="shared" si="38"/>
        <v>6475.8115189873415</v>
      </c>
      <c r="M221" s="19">
        <f t="shared" si="50"/>
        <v>0</v>
      </c>
      <c r="N221" s="4">
        <f t="shared" si="39"/>
        <v>0</v>
      </c>
      <c r="O221" s="174">
        <f t="shared" si="51"/>
        <v>-33424.740186891308</v>
      </c>
      <c r="P221" s="347">
        <f>O221/'D) Ecrêtage'!C221</f>
        <v>-5.1614751431366734</v>
      </c>
      <c r="Q221" s="167"/>
    </row>
    <row r="222" spans="1:17" x14ac:dyDescent="0.25">
      <c r="A222" s="165">
        <f>'A) Base RI'!A224</f>
        <v>5755</v>
      </c>
      <c r="B222" s="42" t="str">
        <f>'A) Base RI'!B224</f>
        <v>Lignerolle</v>
      </c>
      <c r="C222" s="41">
        <f>'D) Ecrêtage'!M222</f>
        <v>8871.4906525573169</v>
      </c>
      <c r="D222" s="41">
        <v>330196</v>
      </c>
      <c r="E222" s="14">
        <v>11785</v>
      </c>
      <c r="F222" s="52">
        <v>40604</v>
      </c>
      <c r="G222" s="52">
        <f t="shared" si="48"/>
        <v>382585</v>
      </c>
      <c r="H222" s="14">
        <f t="shared" si="36"/>
        <v>70971.925220458535</v>
      </c>
      <c r="I222" s="41">
        <f t="shared" si="49"/>
        <v>311613.07477954146</v>
      </c>
      <c r="J222" s="4">
        <f t="shared" si="37"/>
        <v>-223767.29307673249</v>
      </c>
      <c r="K222" s="19">
        <v>102557</v>
      </c>
      <c r="L222" s="14">
        <f t="shared" si="38"/>
        <v>8871.4906525573169</v>
      </c>
      <c r="M222" s="19">
        <f t="shared" si="50"/>
        <v>93685.509347442683</v>
      </c>
      <c r="N222" s="4">
        <f t="shared" si="39"/>
        <v>-67274.946155656347</v>
      </c>
      <c r="O222" s="174">
        <f t="shared" si="51"/>
        <v>-291042.23923238885</v>
      </c>
      <c r="P222" s="347">
        <f>O222/'D) Ecrêtage'!C222</f>
        <v>-32.806464057817877</v>
      </c>
      <c r="Q222" s="167"/>
    </row>
    <row r="223" spans="1:17" x14ac:dyDescent="0.25">
      <c r="A223" s="165">
        <f>'A) Base RI'!A225</f>
        <v>5756</v>
      </c>
      <c r="B223" s="42" t="str">
        <f>'A) Base RI'!B225</f>
        <v>Montcherand</v>
      </c>
      <c r="C223" s="41">
        <f>'D) Ecrêtage'!M223</f>
        <v>14808.245169082125</v>
      </c>
      <c r="D223" s="41">
        <v>122536</v>
      </c>
      <c r="E223" s="14">
        <v>21294</v>
      </c>
      <c r="F223" s="52">
        <v>57087</v>
      </c>
      <c r="G223" s="52">
        <f t="shared" si="48"/>
        <v>200917</v>
      </c>
      <c r="H223" s="14">
        <f t="shared" si="36"/>
        <v>118465.961352657</v>
      </c>
      <c r="I223" s="41">
        <f t="shared" si="49"/>
        <v>82451.038647342997</v>
      </c>
      <c r="J223" s="4">
        <f t="shared" si="37"/>
        <v>-59207.546867325153</v>
      </c>
      <c r="K223" s="19">
        <v>9734</v>
      </c>
      <c r="L223" s="14">
        <f t="shared" si="38"/>
        <v>14808.245169082125</v>
      </c>
      <c r="M223" s="19">
        <f t="shared" si="50"/>
        <v>0</v>
      </c>
      <c r="N223" s="4">
        <f t="shared" si="39"/>
        <v>0</v>
      </c>
      <c r="O223" s="174">
        <f t="shared" si="51"/>
        <v>-59207.546867325153</v>
      </c>
      <c r="P223" s="347">
        <f>O223/'D) Ecrêtage'!C223</f>
        <v>-3.9982824562456294</v>
      </c>
      <c r="Q223" s="167"/>
    </row>
    <row r="224" spans="1:17" x14ac:dyDescent="0.25">
      <c r="A224" s="165">
        <f>'A) Base RI'!A226</f>
        <v>5757</v>
      </c>
      <c r="B224" s="42" t="str">
        <f>'A) Base RI'!B226</f>
        <v>Orbe</v>
      </c>
      <c r="C224" s="41">
        <f>'D) Ecrêtage'!M224</f>
        <v>210430.38166666671</v>
      </c>
      <c r="D224" s="41">
        <v>2411559</v>
      </c>
      <c r="E224" s="14">
        <v>867005</v>
      </c>
      <c r="F224" s="52">
        <v>802837</v>
      </c>
      <c r="G224" s="52">
        <f t="shared" si="48"/>
        <v>4081401</v>
      </c>
      <c r="H224" s="14">
        <f t="shared" si="36"/>
        <v>1683443.0533333337</v>
      </c>
      <c r="I224" s="41">
        <f t="shared" si="49"/>
        <v>2397957.9466666663</v>
      </c>
      <c r="J224" s="4">
        <f t="shared" si="37"/>
        <v>-1721957.7805490347</v>
      </c>
      <c r="K224" s="19"/>
      <c r="L224" s="14">
        <f t="shared" si="38"/>
        <v>210430.38166666671</v>
      </c>
      <c r="M224" s="19">
        <f t="shared" si="50"/>
        <v>0</v>
      </c>
      <c r="N224" s="4">
        <f t="shared" si="39"/>
        <v>0</v>
      </c>
      <c r="O224" s="174">
        <f t="shared" si="51"/>
        <v>-1721957.7805490347</v>
      </c>
      <c r="P224" s="347">
        <f>O224/'D) Ecrêtage'!C224</f>
        <v>-8.1830283579331731</v>
      </c>
      <c r="Q224" s="167"/>
    </row>
    <row r="225" spans="1:17" x14ac:dyDescent="0.25">
      <c r="A225" s="165">
        <f>'A) Base RI'!A227</f>
        <v>5758</v>
      </c>
      <c r="B225" s="42" t="str">
        <f>'A) Base RI'!B227</f>
        <v>La Praz</v>
      </c>
      <c r="C225" s="41">
        <f>'D) Ecrêtage'!M225</f>
        <v>3864.2083668005353</v>
      </c>
      <c r="D225" s="41">
        <v>58734</v>
      </c>
      <c r="E225" s="14">
        <v>4702</v>
      </c>
      <c r="F225" s="52">
        <v>14299</v>
      </c>
      <c r="G225" s="52">
        <f t="shared" si="48"/>
        <v>77735</v>
      </c>
      <c r="H225" s="14">
        <f t="shared" si="36"/>
        <v>30913.666934404282</v>
      </c>
      <c r="I225" s="41">
        <f t="shared" si="49"/>
        <v>46821.333065595718</v>
      </c>
      <c r="J225" s="4">
        <f t="shared" si="37"/>
        <v>-33622.09036236602</v>
      </c>
      <c r="K225" s="19">
        <v>607</v>
      </c>
      <c r="L225" s="14">
        <f t="shared" si="38"/>
        <v>3864.2083668005353</v>
      </c>
      <c r="M225" s="19">
        <f t="shared" si="50"/>
        <v>0</v>
      </c>
      <c r="N225" s="4">
        <f t="shared" si="39"/>
        <v>0</v>
      </c>
      <c r="O225" s="174">
        <f t="shared" si="51"/>
        <v>-33622.09036236602</v>
      </c>
      <c r="P225" s="347">
        <f>O225/'D) Ecrêtage'!C225</f>
        <v>-8.7008999440173156</v>
      </c>
      <c r="Q225" s="167"/>
    </row>
    <row r="226" spans="1:17" x14ac:dyDescent="0.25">
      <c r="A226" s="165">
        <f>'A) Base RI'!A228</f>
        <v>5759</v>
      </c>
      <c r="B226" s="42" t="str">
        <f>'A) Base RI'!B228</f>
        <v>Premier</v>
      </c>
      <c r="C226" s="41">
        <f>'D) Ecrêtage'!M226</f>
        <v>4558.7250617283944</v>
      </c>
      <c r="D226" s="41">
        <v>37629</v>
      </c>
      <c r="E226" s="14">
        <v>5485</v>
      </c>
      <c r="F226" s="52">
        <v>15569</v>
      </c>
      <c r="G226" s="52">
        <f t="shared" si="48"/>
        <v>58683</v>
      </c>
      <c r="H226" s="14">
        <f t="shared" si="36"/>
        <v>36469.800493827155</v>
      </c>
      <c r="I226" s="41">
        <f t="shared" si="49"/>
        <v>22213.199506172845</v>
      </c>
      <c r="J226" s="4">
        <f t="shared" si="37"/>
        <v>-15951.152009864401</v>
      </c>
      <c r="K226" s="19">
        <v>43174</v>
      </c>
      <c r="L226" s="14">
        <f t="shared" si="38"/>
        <v>4558.7250617283944</v>
      </c>
      <c r="M226" s="19">
        <f t="shared" si="50"/>
        <v>38615.274938271607</v>
      </c>
      <c r="N226" s="4">
        <f t="shared" si="39"/>
        <v>-27729.374162056592</v>
      </c>
      <c r="O226" s="174">
        <f t="shared" si="51"/>
        <v>-43680.526171920996</v>
      </c>
      <c r="P226" s="347">
        <f>O226/'D) Ecrêtage'!C226</f>
        <v>-9.5817417327115511</v>
      </c>
      <c r="Q226" s="167"/>
    </row>
    <row r="227" spans="1:17" x14ac:dyDescent="0.25">
      <c r="A227" s="165">
        <f>'A) Base RI'!A229</f>
        <v>5760</v>
      </c>
      <c r="B227" s="42" t="str">
        <f>'A) Base RI'!B229</f>
        <v>Rances</v>
      </c>
      <c r="C227" s="41">
        <f>'D) Ecrêtage'!M227</f>
        <v>11470.274871794873</v>
      </c>
      <c r="D227" s="41">
        <v>212419</v>
      </c>
      <c r="E227" s="14">
        <v>19712</v>
      </c>
      <c r="F227" s="52">
        <v>53980</v>
      </c>
      <c r="G227" s="52">
        <f t="shared" si="48"/>
        <v>286111</v>
      </c>
      <c r="H227" s="14">
        <f t="shared" si="36"/>
        <v>91762.19897435898</v>
      </c>
      <c r="I227" s="41">
        <f t="shared" si="49"/>
        <v>194348.80102564103</v>
      </c>
      <c r="J227" s="4">
        <f t="shared" si="37"/>
        <v>-139560.59176587345</v>
      </c>
      <c r="K227" s="19">
        <v>41416</v>
      </c>
      <c r="L227" s="14">
        <f t="shared" si="38"/>
        <v>11470.274871794873</v>
      </c>
      <c r="M227" s="19">
        <f t="shared" si="50"/>
        <v>29945.725128205129</v>
      </c>
      <c r="N227" s="4">
        <f t="shared" si="39"/>
        <v>-21503.827642338347</v>
      </c>
      <c r="O227" s="174">
        <f t="shared" si="51"/>
        <v>-161064.4194082118</v>
      </c>
      <c r="P227" s="347">
        <f>O227/'D) Ecrêtage'!C227</f>
        <v>-14.04189709561933</v>
      </c>
      <c r="Q227" s="167"/>
    </row>
    <row r="228" spans="1:17" x14ac:dyDescent="0.25">
      <c r="A228" s="165">
        <f>'A) Base RI'!A230</f>
        <v>5761</v>
      </c>
      <c r="B228" s="42" t="str">
        <f>'A) Base RI'!B230</f>
        <v>Romainmôtier-Envy</v>
      </c>
      <c r="C228" s="41">
        <f>'D) Ecrêtage'!M228</f>
        <v>11347.35572368421</v>
      </c>
      <c r="D228" s="41">
        <v>109787</v>
      </c>
      <c r="E228" s="14">
        <v>31768</v>
      </c>
      <c r="F228" s="52">
        <v>49492</v>
      </c>
      <c r="G228" s="52">
        <f t="shared" si="48"/>
        <v>191047</v>
      </c>
      <c r="H228" s="14">
        <f t="shared" si="36"/>
        <v>90778.845789473678</v>
      </c>
      <c r="I228" s="41">
        <f t="shared" si="49"/>
        <v>100268.15421052632</v>
      </c>
      <c r="J228" s="4">
        <f t="shared" si="37"/>
        <v>-72001.900001671267</v>
      </c>
      <c r="K228" s="19">
        <v>9375</v>
      </c>
      <c r="L228" s="14">
        <f t="shared" si="38"/>
        <v>11347.35572368421</v>
      </c>
      <c r="M228" s="19">
        <f t="shared" si="50"/>
        <v>0</v>
      </c>
      <c r="N228" s="4">
        <f t="shared" si="39"/>
        <v>0</v>
      </c>
      <c r="O228" s="174">
        <f t="shared" si="51"/>
        <v>-72001.900001671267</v>
      </c>
      <c r="P228" s="347">
        <f>O228/'D) Ecrêtage'!C228</f>
        <v>-6.3452580279464446</v>
      </c>
      <c r="Q228" s="167"/>
    </row>
    <row r="229" spans="1:17" x14ac:dyDescent="0.25">
      <c r="A229" s="165">
        <f>'A) Base RI'!A231</f>
        <v>5762</v>
      </c>
      <c r="B229" s="42" t="str">
        <f>'A) Base RI'!B231</f>
        <v>Sergey</v>
      </c>
      <c r="C229" s="41">
        <f>'D) Ecrêtage'!M229</f>
        <v>3104.8092592592593</v>
      </c>
      <c r="D229" s="41">
        <v>10929</v>
      </c>
      <c r="E229" s="14">
        <v>4370</v>
      </c>
      <c r="F229" s="52">
        <v>18440</v>
      </c>
      <c r="G229" s="52">
        <f t="shared" si="48"/>
        <v>33739</v>
      </c>
      <c r="H229" s="14">
        <f t="shared" si="36"/>
        <v>24838.474074074074</v>
      </c>
      <c r="I229" s="41">
        <f t="shared" si="49"/>
        <v>8900.5259259259255</v>
      </c>
      <c r="J229" s="4">
        <f t="shared" si="37"/>
        <v>-6391.4089446110793</v>
      </c>
      <c r="K229" s="19">
        <v>4365</v>
      </c>
      <c r="L229" s="14">
        <f t="shared" si="38"/>
        <v>3104.8092592592593</v>
      </c>
      <c r="M229" s="19">
        <f t="shared" si="50"/>
        <v>1260.1907407407407</v>
      </c>
      <c r="N229" s="4">
        <f t="shared" si="39"/>
        <v>-904.93465659429887</v>
      </c>
      <c r="O229" s="174">
        <f t="shared" si="51"/>
        <v>-7296.343601205378</v>
      </c>
      <c r="P229" s="347">
        <f>O229/'D) Ecrêtage'!C229</f>
        <v>-2.3500134764948908</v>
      </c>
      <c r="Q229" s="167"/>
    </row>
    <row r="230" spans="1:17" x14ac:dyDescent="0.25">
      <c r="A230" s="165">
        <f>'A) Base RI'!A232</f>
        <v>5763</v>
      </c>
      <c r="B230" s="42" t="str">
        <f>'A) Base RI'!B232</f>
        <v>Valeyres-sous-Rances</v>
      </c>
      <c r="C230" s="41">
        <f>'D) Ecrêtage'!M230</f>
        <v>16129.151764705883</v>
      </c>
      <c r="D230" s="41">
        <v>156316</v>
      </c>
      <c r="E230" s="14">
        <v>26403</v>
      </c>
      <c r="F230" s="52">
        <v>68264</v>
      </c>
      <c r="G230" s="52">
        <f t="shared" si="48"/>
        <v>250983</v>
      </c>
      <c r="H230" s="14">
        <f t="shared" si="36"/>
        <v>129033.21411764706</v>
      </c>
      <c r="I230" s="41">
        <f t="shared" si="49"/>
        <v>121949.78588235294</v>
      </c>
      <c r="J230" s="4">
        <f t="shared" si="37"/>
        <v>-87571.336656804575</v>
      </c>
      <c r="K230" s="19">
        <v>57090</v>
      </c>
      <c r="L230" s="14">
        <f t="shared" si="38"/>
        <v>16129.151764705883</v>
      </c>
      <c r="M230" s="19">
        <f t="shared" si="50"/>
        <v>40960.848235294121</v>
      </c>
      <c r="N230" s="4">
        <f t="shared" si="39"/>
        <v>-29413.714871313168</v>
      </c>
      <c r="O230" s="174">
        <f t="shared" si="51"/>
        <v>-116985.05152811774</v>
      </c>
      <c r="P230" s="347">
        <f>O230/'D) Ecrêtage'!C230</f>
        <v>-7.2530194541356261</v>
      </c>
      <c r="Q230" s="167"/>
    </row>
    <row r="231" spans="1:17" x14ac:dyDescent="0.25">
      <c r="A231" s="165">
        <f>'A) Base RI'!A233</f>
        <v>5764</v>
      </c>
      <c r="B231" s="42" t="str">
        <f>'A) Base RI'!B233</f>
        <v>Vallorbe</v>
      </c>
      <c r="C231" s="41">
        <f>'D) Ecrêtage'!M231</f>
        <v>84393.993513513502</v>
      </c>
      <c r="D231" s="41">
        <v>1525676</v>
      </c>
      <c r="E231" s="14">
        <v>268925</v>
      </c>
      <c r="F231" s="52">
        <v>376712</v>
      </c>
      <c r="G231" s="52">
        <f t="shared" si="48"/>
        <v>2171313</v>
      </c>
      <c r="H231" s="14">
        <f t="shared" si="36"/>
        <v>675151.94810810802</v>
      </c>
      <c r="I231" s="41">
        <f t="shared" si="49"/>
        <v>1496161.051891892</v>
      </c>
      <c r="J231" s="4">
        <f t="shared" si="37"/>
        <v>-1074383.3801760159</v>
      </c>
      <c r="K231" s="19">
        <v>708803</v>
      </c>
      <c r="L231" s="14">
        <f t="shared" si="38"/>
        <v>84393.993513513502</v>
      </c>
      <c r="M231" s="19">
        <f t="shared" si="50"/>
        <v>624409.00648648653</v>
      </c>
      <c r="N231" s="4">
        <f t="shared" si="39"/>
        <v>-448383.98790892545</v>
      </c>
      <c r="O231" s="174">
        <f t="shared" si="51"/>
        <v>-1522767.3680849413</v>
      </c>
      <c r="P231" s="347">
        <f>O231/'D) Ecrêtage'!C231</f>
        <v>-18.04355149802349</v>
      </c>
      <c r="Q231" s="167"/>
    </row>
    <row r="232" spans="1:17" x14ac:dyDescent="0.25">
      <c r="A232" s="165">
        <f>'A) Base RI'!A234</f>
        <v>5765</v>
      </c>
      <c r="B232" s="42" t="str">
        <f>'A) Base RI'!B234</f>
        <v>Vaulion</v>
      </c>
      <c r="C232" s="41">
        <f>'D) Ecrêtage'!M232</f>
        <v>9305.5603703703709</v>
      </c>
      <c r="D232" s="41">
        <v>164648</v>
      </c>
      <c r="E232" s="14">
        <v>14558</v>
      </c>
      <c r="F232" s="52">
        <v>50066</v>
      </c>
      <c r="G232" s="52">
        <f t="shared" si="48"/>
        <v>229272</v>
      </c>
      <c r="H232" s="14">
        <f t="shared" si="36"/>
        <v>74444.482962962968</v>
      </c>
      <c r="I232" s="41">
        <f t="shared" si="49"/>
        <v>154827.51703703703</v>
      </c>
      <c r="J232" s="4">
        <f t="shared" si="37"/>
        <v>-111180.61848232837</v>
      </c>
      <c r="K232" s="19">
        <v>87888</v>
      </c>
      <c r="L232" s="14">
        <f t="shared" si="38"/>
        <v>9305.5603703703709</v>
      </c>
      <c r="M232" s="19">
        <f t="shared" si="50"/>
        <v>78582.439629629633</v>
      </c>
      <c r="N232" s="4">
        <f t="shared" si="39"/>
        <v>-56429.53143647244</v>
      </c>
      <c r="O232" s="174">
        <f t="shared" si="51"/>
        <v>-167610.1499188008</v>
      </c>
      <c r="P232" s="347">
        <f>O232/'D) Ecrêtage'!C232</f>
        <v>-18.011827686646853</v>
      </c>
      <c r="Q232" s="167"/>
    </row>
    <row r="233" spans="1:17" x14ac:dyDescent="0.25">
      <c r="A233" s="165">
        <f>'A) Base RI'!A235</f>
        <v>5766</v>
      </c>
      <c r="B233" s="42" t="str">
        <f>'A) Base RI'!B235</f>
        <v>Vuiteboeuf</v>
      </c>
      <c r="C233" s="41">
        <f>'D) Ecrêtage'!M233</f>
        <v>11614.965899814471</v>
      </c>
      <c r="D233" s="41">
        <v>156048</v>
      </c>
      <c r="E233" s="14">
        <v>38881</v>
      </c>
      <c r="F233" s="52">
        <v>24704</v>
      </c>
      <c r="G233" s="52">
        <f t="shared" si="48"/>
        <v>219633</v>
      </c>
      <c r="H233" s="14">
        <f t="shared" si="36"/>
        <v>92919.727198515771</v>
      </c>
      <c r="I233" s="41">
        <f t="shared" si="49"/>
        <v>126713.27280148423</v>
      </c>
      <c r="J233" s="4">
        <f t="shared" si="37"/>
        <v>-90991.965185484063</v>
      </c>
      <c r="K233" s="19">
        <v>-21704</v>
      </c>
      <c r="L233" s="14">
        <f t="shared" si="38"/>
        <v>11614.965899814471</v>
      </c>
      <c r="M233" s="19">
        <f t="shared" si="50"/>
        <v>0</v>
      </c>
      <c r="N233" s="4">
        <f t="shared" si="39"/>
        <v>0</v>
      </c>
      <c r="O233" s="174">
        <f t="shared" si="51"/>
        <v>-90991.965185484063</v>
      </c>
      <c r="P233" s="347">
        <f>O233/'D) Ecrêtage'!C233</f>
        <v>-7.8340277509499616</v>
      </c>
      <c r="Q233" s="167"/>
    </row>
    <row r="234" spans="1:17" x14ac:dyDescent="0.25">
      <c r="A234" s="165">
        <f>'A) Base RI'!A236</f>
        <v>5785</v>
      </c>
      <c r="B234" s="42" t="str">
        <f>'A) Base RI'!B236</f>
        <v>Corcelles-le-Jorat</v>
      </c>
      <c r="C234" s="41">
        <f>'D) Ecrêtage'!M234</f>
        <v>12293.058354430379</v>
      </c>
      <c r="D234" s="41">
        <v>145879</v>
      </c>
      <c r="E234" s="14">
        <v>13362</v>
      </c>
      <c r="F234" s="52">
        <v>49280</v>
      </c>
      <c r="G234" s="52">
        <f t="shared" si="48"/>
        <v>208521</v>
      </c>
      <c r="H234" s="14">
        <f t="shared" si="36"/>
        <v>98344.466835443032</v>
      </c>
      <c r="I234" s="41">
        <f t="shared" si="49"/>
        <v>110176.53316455697</v>
      </c>
      <c r="J234" s="4">
        <f t="shared" si="37"/>
        <v>-79117.041556275464</v>
      </c>
      <c r="K234" s="19">
        <v>47190</v>
      </c>
      <c r="L234" s="14">
        <f t="shared" si="38"/>
        <v>12293.058354430379</v>
      </c>
      <c r="M234" s="19">
        <f t="shared" si="50"/>
        <v>34896.941645569619</v>
      </c>
      <c r="N234" s="4">
        <f t="shared" si="39"/>
        <v>-25059.263556929815</v>
      </c>
      <c r="O234" s="174">
        <f t="shared" si="51"/>
        <v>-104176.30511320528</v>
      </c>
      <c r="P234" s="347">
        <f>O234/'D) Ecrêtage'!C234</f>
        <v>-8.4744009268987543</v>
      </c>
      <c r="Q234" s="167"/>
    </row>
    <row r="235" spans="1:17" x14ac:dyDescent="0.25">
      <c r="A235" s="165">
        <f>'A) Base RI'!A237</f>
        <v>5788</v>
      </c>
      <c r="B235" s="42" t="str">
        <f>'A) Base RI'!B237</f>
        <v>Essertes</v>
      </c>
      <c r="C235" s="41">
        <f>'D) Ecrêtage'!M235</f>
        <v>10412.319857142857</v>
      </c>
      <c r="D235" s="41">
        <v>89586</v>
      </c>
      <c r="E235" s="14">
        <v>14930</v>
      </c>
      <c r="F235" s="52">
        <v>38177</v>
      </c>
      <c r="G235" s="52">
        <f t="shared" si="48"/>
        <v>142693</v>
      </c>
      <c r="H235" s="14">
        <f t="shared" si="36"/>
        <v>83298.558857142853</v>
      </c>
      <c r="I235" s="41">
        <f t="shared" si="49"/>
        <v>59394.441142857147</v>
      </c>
      <c r="J235" s="4">
        <f t="shared" si="37"/>
        <v>-42650.756319339867</v>
      </c>
      <c r="K235" s="19">
        <v>639</v>
      </c>
      <c r="L235" s="14">
        <f t="shared" si="38"/>
        <v>10412.319857142857</v>
      </c>
      <c r="M235" s="19">
        <f t="shared" si="50"/>
        <v>0</v>
      </c>
      <c r="N235" s="4">
        <f t="shared" si="39"/>
        <v>0</v>
      </c>
      <c r="O235" s="174">
        <f t="shared" si="51"/>
        <v>-42650.756319339867</v>
      </c>
      <c r="P235" s="347">
        <f>O235/'D) Ecrêtage'!C235</f>
        <v>-4.0961819176234222</v>
      </c>
      <c r="Q235" s="167"/>
    </row>
    <row r="236" spans="1:17" x14ac:dyDescent="0.25">
      <c r="A236" s="165">
        <f>'A) Base RI'!A238</f>
        <v>5790</v>
      </c>
      <c r="B236" s="42" t="str">
        <f>'A) Base RI'!B238</f>
        <v>Maracon</v>
      </c>
      <c r="C236" s="41">
        <f>'D) Ecrêtage'!M236</f>
        <v>12107.709078947366</v>
      </c>
      <c r="D236" s="41">
        <v>190573</v>
      </c>
      <c r="E236" s="14">
        <v>13392</v>
      </c>
      <c r="F236" s="52">
        <v>46846</v>
      </c>
      <c r="G236" s="52">
        <f t="shared" si="48"/>
        <v>250811</v>
      </c>
      <c r="H236" s="14">
        <f t="shared" si="36"/>
        <v>96861.672631578927</v>
      </c>
      <c r="I236" s="41">
        <f t="shared" si="49"/>
        <v>153949.32736842107</v>
      </c>
      <c r="J236" s="4">
        <f t="shared" si="37"/>
        <v>-110549.99627530714</v>
      </c>
      <c r="K236" s="19">
        <v>-3213</v>
      </c>
      <c r="L236" s="14">
        <f t="shared" si="38"/>
        <v>12107.709078947366</v>
      </c>
      <c r="M236" s="19">
        <f t="shared" si="50"/>
        <v>0</v>
      </c>
      <c r="N236" s="4">
        <f t="shared" si="39"/>
        <v>0</v>
      </c>
      <c r="O236" s="174">
        <f t="shared" si="51"/>
        <v>-110549.99627530714</v>
      </c>
      <c r="P236" s="347">
        <f>O236/'D) Ecrêtage'!C236</f>
        <v>-9.1305461301121937</v>
      </c>
      <c r="Q236" s="167"/>
    </row>
    <row r="237" spans="1:17" x14ac:dyDescent="0.25">
      <c r="A237" s="165">
        <f>'A) Base RI'!A239</f>
        <v>5792</v>
      </c>
      <c r="B237" s="42" t="str">
        <f>'A) Base RI'!B239</f>
        <v>Montpreveyres</v>
      </c>
      <c r="C237" s="41">
        <f>'D) Ecrêtage'!M237</f>
        <v>19088.494155844161</v>
      </c>
      <c r="D237" s="41">
        <v>190643</v>
      </c>
      <c r="E237" s="14">
        <v>27010</v>
      </c>
      <c r="F237" s="52">
        <v>88344</v>
      </c>
      <c r="G237" s="52">
        <f t="shared" si="48"/>
        <v>305997</v>
      </c>
      <c r="H237" s="14">
        <f t="shared" si="36"/>
        <v>152707.95324675328</v>
      </c>
      <c r="I237" s="41">
        <f t="shared" si="49"/>
        <v>153289.04675324672</v>
      </c>
      <c r="J237" s="4">
        <f t="shared" si="37"/>
        <v>-110075.85312186874</v>
      </c>
      <c r="K237" s="19">
        <v>-12311</v>
      </c>
      <c r="L237" s="14">
        <f t="shared" si="38"/>
        <v>19088.494155844161</v>
      </c>
      <c r="M237" s="19">
        <f t="shared" si="50"/>
        <v>0</v>
      </c>
      <c r="N237" s="4">
        <f t="shared" si="39"/>
        <v>0</v>
      </c>
      <c r="O237" s="174">
        <f t="shared" si="51"/>
        <v>-110075.85312186874</v>
      </c>
      <c r="P237" s="347">
        <f>O237/'D) Ecrêtage'!C237</f>
        <v>-5.7666074769008304</v>
      </c>
      <c r="Q237" s="167"/>
    </row>
    <row r="238" spans="1:17" x14ac:dyDescent="0.25">
      <c r="A238" s="165">
        <f>'A) Base RI'!A240</f>
        <v>5798</v>
      </c>
      <c r="B238" s="42" t="str">
        <f>'A) Base RI'!B240</f>
        <v>Ropraz</v>
      </c>
      <c r="C238" s="41">
        <f>'D) Ecrêtage'!M238</f>
        <v>9558.3067096774193</v>
      </c>
      <c r="D238" s="41">
        <v>136876</v>
      </c>
      <c r="E238" s="14">
        <v>12336</v>
      </c>
      <c r="F238" s="52">
        <v>44756</v>
      </c>
      <c r="G238" s="52">
        <f t="shared" si="48"/>
        <v>193968</v>
      </c>
      <c r="H238" s="14">
        <f t="shared" si="36"/>
        <v>76466.453677419355</v>
      </c>
      <c r="I238" s="41">
        <f t="shared" si="49"/>
        <v>117501.54632258065</v>
      </c>
      <c r="J238" s="4">
        <f t="shared" si="37"/>
        <v>-84377.085176980501</v>
      </c>
      <c r="K238" s="19">
        <v>13891</v>
      </c>
      <c r="L238" s="14">
        <f t="shared" si="38"/>
        <v>9558.3067096774193</v>
      </c>
      <c r="M238" s="19">
        <f t="shared" si="50"/>
        <v>4332.6932903225807</v>
      </c>
      <c r="N238" s="4">
        <f t="shared" si="39"/>
        <v>-3111.2784660692214</v>
      </c>
      <c r="O238" s="174">
        <f t="shared" si="51"/>
        <v>-87488.363643049728</v>
      </c>
      <c r="P238" s="347">
        <f>O238/'D) Ecrêtage'!C238</f>
        <v>-9.1531236965299634</v>
      </c>
      <c r="Q238" s="167"/>
    </row>
    <row r="239" spans="1:17" x14ac:dyDescent="0.25">
      <c r="A239" s="165">
        <f>'A) Base RI'!A241</f>
        <v>5799</v>
      </c>
      <c r="B239" s="42" t="str">
        <f>'A) Base RI'!B241</f>
        <v>Servion</v>
      </c>
      <c r="C239" s="41">
        <f>'D) Ecrêtage'!M239</f>
        <v>51366.477681159435</v>
      </c>
      <c r="D239" s="41">
        <v>407679</v>
      </c>
      <c r="E239" s="14">
        <v>85645</v>
      </c>
      <c r="F239" s="52">
        <v>236732</v>
      </c>
      <c r="G239" s="52">
        <f t="shared" si="48"/>
        <v>730056</v>
      </c>
      <c r="H239" s="14">
        <f t="shared" si="36"/>
        <v>410931.82144927548</v>
      </c>
      <c r="I239" s="41">
        <f t="shared" si="49"/>
        <v>319124.17855072452</v>
      </c>
      <c r="J239" s="4">
        <f t="shared" si="37"/>
        <v>-229160.9671389815</v>
      </c>
      <c r="K239" s="19">
        <v>51163</v>
      </c>
      <c r="L239" s="14">
        <f t="shared" si="38"/>
        <v>51366.477681159435</v>
      </c>
      <c r="M239" s="19">
        <f t="shared" si="50"/>
        <v>0</v>
      </c>
      <c r="N239" s="4">
        <f t="shared" si="39"/>
        <v>0</v>
      </c>
      <c r="O239" s="174">
        <f t="shared" si="51"/>
        <v>-229160.9671389815</v>
      </c>
      <c r="P239" s="347">
        <f>O239/'D) Ecrêtage'!C239</f>
        <v>-4.4612941646772644</v>
      </c>
      <c r="Q239" s="167"/>
    </row>
    <row r="240" spans="1:17" x14ac:dyDescent="0.25">
      <c r="A240" s="165">
        <f>'A) Base RI'!A242</f>
        <v>5803</v>
      </c>
      <c r="B240" s="42" t="str">
        <f>'A) Base RI'!B242</f>
        <v>Vulliens</v>
      </c>
      <c r="C240" s="41">
        <f>'D) Ecrêtage'!M240</f>
        <v>12589.149382716048</v>
      </c>
      <c r="D240" s="41">
        <v>122214</v>
      </c>
      <c r="E240" s="14">
        <v>13332</v>
      </c>
      <c r="F240" s="52">
        <v>54856</v>
      </c>
      <c r="G240" s="52">
        <f t="shared" si="48"/>
        <v>190402</v>
      </c>
      <c r="H240" s="14">
        <f t="shared" si="36"/>
        <v>100713.19506172839</v>
      </c>
      <c r="I240" s="41">
        <f t="shared" si="49"/>
        <v>89688.804938271613</v>
      </c>
      <c r="J240" s="4">
        <f t="shared" si="37"/>
        <v>-64404.939088395877</v>
      </c>
      <c r="K240" s="19">
        <v>24481</v>
      </c>
      <c r="L240" s="14">
        <f t="shared" si="38"/>
        <v>12589.149382716048</v>
      </c>
      <c r="M240" s="19">
        <f t="shared" si="50"/>
        <v>11891.850617283952</v>
      </c>
      <c r="N240" s="4">
        <f t="shared" si="39"/>
        <v>-8539.4594696807799</v>
      </c>
      <c r="O240" s="174">
        <f t="shared" si="51"/>
        <v>-72944.39855807666</v>
      </c>
      <c r="P240" s="347">
        <f>O240/'D) Ecrêtage'!C240</f>
        <v>-5.7942277385495018</v>
      </c>
      <c r="Q240" s="167"/>
    </row>
    <row r="241" spans="1:17" x14ac:dyDescent="0.25">
      <c r="A241" s="165">
        <f>'A) Base RI'!A243</f>
        <v>5804</v>
      </c>
      <c r="B241" s="42" t="str">
        <f>'A) Base RI'!B243</f>
        <v>Jorat-Menthue</v>
      </c>
      <c r="C241" s="41">
        <f>'D) Ecrêtage'!M241</f>
        <v>41163.666944444441</v>
      </c>
      <c r="D241" s="41">
        <v>608652</v>
      </c>
      <c r="E241" s="14">
        <v>44308</v>
      </c>
      <c r="F241" s="52">
        <v>148149</v>
      </c>
      <c r="G241" s="52">
        <f t="shared" si="48"/>
        <v>801109</v>
      </c>
      <c r="H241" s="14">
        <f t="shared" si="36"/>
        <v>329309.33555555553</v>
      </c>
      <c r="I241" s="41">
        <f t="shared" si="49"/>
        <v>471799.66444444447</v>
      </c>
      <c r="J241" s="4">
        <f t="shared" si="37"/>
        <v>-338796.22625570052</v>
      </c>
      <c r="K241" s="19">
        <v>148532</v>
      </c>
      <c r="L241" s="14">
        <f t="shared" si="38"/>
        <v>41163.666944444441</v>
      </c>
      <c r="M241" s="19">
        <f t="shared" si="50"/>
        <v>107368.33305555556</v>
      </c>
      <c r="N241" s="4">
        <f t="shared" si="39"/>
        <v>-77100.491585599186</v>
      </c>
      <c r="O241" s="174">
        <f t="shared" si="51"/>
        <v>-415896.71784129972</v>
      </c>
      <c r="P241" s="347">
        <f>O241/'D) Ecrêtage'!C241</f>
        <v>-10.103490498127991</v>
      </c>
      <c r="Q241" s="167"/>
    </row>
    <row r="242" spans="1:17" x14ac:dyDescent="0.25">
      <c r="A242" s="165">
        <f>'A) Base RI'!A244</f>
        <v>5805</v>
      </c>
      <c r="B242" s="42" t="str">
        <f>'A) Base RI'!B244</f>
        <v>Oron</v>
      </c>
      <c r="C242" s="41">
        <f>'D) Ecrêtage'!M242</f>
        <v>146504.50986824767</v>
      </c>
      <c r="D242" s="41">
        <v>1551840</v>
      </c>
      <c r="E242" s="14">
        <v>390598</v>
      </c>
      <c r="F242" s="52">
        <v>569252</v>
      </c>
      <c r="G242" s="52">
        <f>D242+E242+F242</f>
        <v>2511690</v>
      </c>
      <c r="H242" s="14">
        <f t="shared" si="36"/>
        <v>1172036.0789459813</v>
      </c>
      <c r="I242" s="41">
        <f>IF(G242&gt;H242,G242-H242,0)</f>
        <v>1339653.9210540187</v>
      </c>
      <c r="J242" s="4">
        <f t="shared" si="37"/>
        <v>-961996.64210485655</v>
      </c>
      <c r="K242" s="19">
        <v>19565</v>
      </c>
      <c r="L242" s="14">
        <f t="shared" si="38"/>
        <v>146504.50986824767</v>
      </c>
      <c r="M242" s="19">
        <f>IF(K242&gt;L242,K242-L242,0)</f>
        <v>0</v>
      </c>
      <c r="N242" s="4">
        <f t="shared" si="39"/>
        <v>0</v>
      </c>
      <c r="O242" s="174">
        <f>N242+J242</f>
        <v>-961996.64210485655</v>
      </c>
      <c r="P242" s="347">
        <f>O242/'D) Ecrêtage'!C242</f>
        <v>-6.5663278418526883</v>
      </c>
      <c r="Q242" s="167"/>
    </row>
    <row r="243" spans="1:17" x14ac:dyDescent="0.25">
      <c r="A243" s="165">
        <f>'A) Base RI'!A245</f>
        <v>5806</v>
      </c>
      <c r="B243" s="42" t="str">
        <f>'A) Base RI'!B245</f>
        <v>Jorat-Mézières</v>
      </c>
      <c r="C243" s="41">
        <f>'D) Ecrêtage'!M243</f>
        <v>83059.358118759847</v>
      </c>
      <c r="D243" s="41">
        <v>1140257</v>
      </c>
      <c r="E243" s="14">
        <v>113787</v>
      </c>
      <c r="F243" s="52">
        <v>365892</v>
      </c>
      <c r="G243" s="52">
        <f>D243+E243+F243</f>
        <v>1619936</v>
      </c>
      <c r="H243" s="14">
        <f t="shared" ref="H243" si="52">C243*I$4</f>
        <v>664474.86495007877</v>
      </c>
      <c r="I243" s="41">
        <f>IF(G243&gt;H243,G243-H243,0)</f>
        <v>955461.13504992123</v>
      </c>
      <c r="J243" s="4">
        <f t="shared" ref="J243" si="53">-I243*J$4</f>
        <v>-686110.33725527115</v>
      </c>
      <c r="K243" s="19">
        <v>18428</v>
      </c>
      <c r="L243" s="14">
        <f t="shared" ref="L243" si="54">C243*M$4</f>
        <v>83059.358118759847</v>
      </c>
      <c r="M243" s="19">
        <f>IF(K243&gt;L243,K243-L243,0)</f>
        <v>0</v>
      </c>
      <c r="N243" s="4">
        <f t="shared" ref="N243" si="55">-M243*N$4</f>
        <v>0</v>
      </c>
      <c r="O243" s="174">
        <f>N243+J243</f>
        <v>-686110.33725527115</v>
      </c>
      <c r="P243" s="347">
        <f>O243/'D) Ecrêtage'!C243</f>
        <v>-8.2604820551858538</v>
      </c>
      <c r="Q243" s="167"/>
    </row>
    <row r="244" spans="1:17" x14ac:dyDescent="0.25">
      <c r="A244" s="165">
        <f>'A) Base RI'!A246</f>
        <v>5812</v>
      </c>
      <c r="B244" s="42" t="str">
        <f>'A) Base RI'!B246</f>
        <v>Champtauroz</v>
      </c>
      <c r="C244" s="41">
        <f>'D) Ecrêtage'!M244</f>
        <v>2420.1879870129869</v>
      </c>
      <c r="D244" s="41">
        <v>33468</v>
      </c>
      <c r="E244" s="14">
        <v>3132</v>
      </c>
      <c r="F244" s="52">
        <v>29355</v>
      </c>
      <c r="G244" s="52">
        <f>D244+E244+F244</f>
        <v>65955</v>
      </c>
      <c r="H244" s="14">
        <f t="shared" si="36"/>
        <v>19361.503896103895</v>
      </c>
      <c r="I244" s="41">
        <f>IF(G244&gt;H244,G244-H244,0)</f>
        <v>46593.496103896105</v>
      </c>
      <c r="J244" s="4">
        <f t="shared" si="37"/>
        <v>-33458.482143364243</v>
      </c>
      <c r="K244" s="19">
        <v>5334</v>
      </c>
      <c r="L244" s="14">
        <f t="shared" si="38"/>
        <v>2420.1879870129869</v>
      </c>
      <c r="M244" s="19">
        <f>IF(K244&gt;L244,K244-L244,0)</f>
        <v>2913.8120129870131</v>
      </c>
      <c r="N244" s="4">
        <f t="shared" si="39"/>
        <v>-2092.3891821351012</v>
      </c>
      <c r="O244" s="174">
        <f>N244+J244</f>
        <v>-35550.871325499342</v>
      </c>
      <c r="P244" s="347">
        <f>O244/'D) Ecrêtage'!C244</f>
        <v>-14.689301622960487</v>
      </c>
      <c r="Q244" s="167"/>
    </row>
    <row r="245" spans="1:17" x14ac:dyDescent="0.25">
      <c r="A245" s="165">
        <f>'A) Base RI'!A247</f>
        <v>5813</v>
      </c>
      <c r="B245" s="42" t="str">
        <f>'A) Base RI'!B247</f>
        <v>Chevroux</v>
      </c>
      <c r="C245" s="41">
        <f>'D) Ecrêtage'!M245</f>
        <v>11590.298571428571</v>
      </c>
      <c r="D245" s="41">
        <v>60754</v>
      </c>
      <c r="E245" s="14">
        <v>14334</v>
      </c>
      <c r="F245" s="52">
        <v>30142</v>
      </c>
      <c r="G245" s="52">
        <f t="shared" si="48"/>
        <v>105230</v>
      </c>
      <c r="H245" s="14">
        <f t="shared" si="36"/>
        <v>92722.388571428572</v>
      </c>
      <c r="I245" s="41">
        <f t="shared" si="49"/>
        <v>12507.611428571428</v>
      </c>
      <c r="J245" s="4">
        <f t="shared" si="37"/>
        <v>-8981.6332456752953</v>
      </c>
      <c r="K245" s="19">
        <v>8064</v>
      </c>
      <c r="L245" s="14">
        <f t="shared" si="38"/>
        <v>11590.298571428571</v>
      </c>
      <c r="M245" s="19">
        <f t="shared" si="50"/>
        <v>0</v>
      </c>
      <c r="N245" s="4">
        <f t="shared" si="39"/>
        <v>0</v>
      </c>
      <c r="O245" s="174">
        <f t="shared" si="51"/>
        <v>-8981.6332456752953</v>
      </c>
      <c r="P245" s="347">
        <f>O245/'D) Ecrêtage'!C245</f>
        <v>-0.77492682266322821</v>
      </c>
      <c r="Q245" s="167"/>
    </row>
    <row r="246" spans="1:17" x14ac:dyDescent="0.25">
      <c r="A246" s="165">
        <f>'A) Base RI'!A248</f>
        <v>5816</v>
      </c>
      <c r="B246" s="42" t="str">
        <f>'A) Base RI'!B248</f>
        <v>Corcelles-près-Payerne</v>
      </c>
      <c r="C246" s="41">
        <f>'D) Ecrêtage'!M246</f>
        <v>52953.608154761903</v>
      </c>
      <c r="D246" s="41">
        <v>461412</v>
      </c>
      <c r="E246" s="14">
        <v>119505</v>
      </c>
      <c r="F246" s="52">
        <v>194350</v>
      </c>
      <c r="G246" s="52">
        <f t="shared" si="48"/>
        <v>775267</v>
      </c>
      <c r="H246" s="14">
        <f t="shared" si="36"/>
        <v>423628.86523809523</v>
      </c>
      <c r="I246" s="41">
        <f t="shared" si="49"/>
        <v>351638.13476190477</v>
      </c>
      <c r="J246" s="4">
        <f t="shared" si="37"/>
        <v>-252509.0245776448</v>
      </c>
      <c r="K246" s="19">
        <v>34517</v>
      </c>
      <c r="L246" s="14">
        <f t="shared" si="38"/>
        <v>52953.608154761903</v>
      </c>
      <c r="M246" s="19">
        <f t="shared" si="50"/>
        <v>0</v>
      </c>
      <c r="N246" s="4">
        <f t="shared" si="39"/>
        <v>0</v>
      </c>
      <c r="O246" s="174">
        <f t="shared" si="51"/>
        <v>-252509.0245776448</v>
      </c>
      <c r="P246" s="347">
        <f>O246/'D) Ecrêtage'!C246</f>
        <v>-4.7684951673106655</v>
      </c>
      <c r="Q246" s="167"/>
    </row>
    <row r="247" spans="1:17" x14ac:dyDescent="0.25">
      <c r="A247" s="165">
        <f>'A) Base RI'!A249</f>
        <v>5817</v>
      </c>
      <c r="B247" s="42" t="str">
        <f>'A) Base RI'!B249</f>
        <v>Grandcour</v>
      </c>
      <c r="C247" s="41">
        <f>'D) Ecrêtage'!M247</f>
        <v>20895.78968553459</v>
      </c>
      <c r="D247" s="41">
        <v>183605</v>
      </c>
      <c r="E247" s="14">
        <v>19729</v>
      </c>
      <c r="F247" s="52">
        <v>63309</v>
      </c>
      <c r="G247" s="52">
        <f t="shared" si="48"/>
        <v>266643</v>
      </c>
      <c r="H247" s="14">
        <f t="shared" si="36"/>
        <v>167166.31748427672</v>
      </c>
      <c r="I247" s="41">
        <f t="shared" si="49"/>
        <v>99476.682515723282</v>
      </c>
      <c r="J247" s="4">
        <f t="shared" si="37"/>
        <v>-71433.549399507901</v>
      </c>
      <c r="K247" s="19">
        <v>65811</v>
      </c>
      <c r="L247" s="14">
        <f t="shared" si="38"/>
        <v>20895.78968553459</v>
      </c>
      <c r="M247" s="19">
        <f t="shared" si="50"/>
        <v>44915.21031446541</v>
      </c>
      <c r="N247" s="4">
        <f t="shared" si="39"/>
        <v>-32253.316190761823</v>
      </c>
      <c r="O247" s="174">
        <f t="shared" si="51"/>
        <v>-103686.86559026972</v>
      </c>
      <c r="P247" s="347">
        <f>O247/'D) Ecrêtage'!C247</f>
        <v>-4.9620936633971029</v>
      </c>
      <c r="Q247" s="167"/>
    </row>
    <row r="248" spans="1:17" x14ac:dyDescent="0.25">
      <c r="A248" s="165">
        <f>'A) Base RI'!A250</f>
        <v>5819</v>
      </c>
      <c r="B248" s="42" t="str">
        <f>'A) Base RI'!B250</f>
        <v>Henniez</v>
      </c>
      <c r="C248" s="41">
        <f>'D) Ecrêtage'!M248</f>
        <v>13106.979402985076</v>
      </c>
      <c r="D248" s="41">
        <v>142866</v>
      </c>
      <c r="E248" s="14">
        <v>13122</v>
      </c>
      <c r="F248" s="52">
        <v>48786</v>
      </c>
      <c r="G248" s="52">
        <f t="shared" si="48"/>
        <v>204774</v>
      </c>
      <c r="H248" s="14">
        <f t="shared" si="36"/>
        <v>104855.83522388061</v>
      </c>
      <c r="I248" s="41">
        <f t="shared" si="49"/>
        <v>99918.164776119389</v>
      </c>
      <c r="J248" s="4">
        <f t="shared" si="37"/>
        <v>-71750.574897940925</v>
      </c>
      <c r="K248" s="19">
        <v>1323</v>
      </c>
      <c r="L248" s="14">
        <f t="shared" si="38"/>
        <v>13106.979402985076</v>
      </c>
      <c r="M248" s="19">
        <f t="shared" si="50"/>
        <v>0</v>
      </c>
      <c r="N248" s="4">
        <f t="shared" si="39"/>
        <v>0</v>
      </c>
      <c r="O248" s="174">
        <f t="shared" si="51"/>
        <v>-71750.574897940925</v>
      </c>
      <c r="P248" s="347">
        <f>O248/'D) Ecrêtage'!C248</f>
        <v>-5.4742265698227879</v>
      </c>
      <c r="Q248" s="167"/>
    </row>
    <row r="249" spans="1:17" x14ac:dyDescent="0.25">
      <c r="A249" s="165">
        <f>'A) Base RI'!A251</f>
        <v>5821</v>
      </c>
      <c r="B249" s="42" t="str">
        <f>'A) Base RI'!B251</f>
        <v>Missy</v>
      </c>
      <c r="C249" s="41">
        <f>'D) Ecrêtage'!M249</f>
        <v>7313.8070833333331</v>
      </c>
      <c r="D249" s="41">
        <v>128927</v>
      </c>
      <c r="E249" s="14">
        <v>7658</v>
      </c>
      <c r="F249" s="52">
        <v>22201</v>
      </c>
      <c r="G249" s="52">
        <f t="shared" si="48"/>
        <v>158786</v>
      </c>
      <c r="H249" s="14">
        <f t="shared" si="36"/>
        <v>58510.456666666665</v>
      </c>
      <c r="I249" s="41">
        <f t="shared" si="49"/>
        <v>100275.54333333333</v>
      </c>
      <c r="J249" s="4">
        <f t="shared" si="37"/>
        <v>-72007.206082007935</v>
      </c>
      <c r="K249" s="19">
        <v>786</v>
      </c>
      <c r="L249" s="14">
        <f t="shared" si="38"/>
        <v>7313.8070833333331</v>
      </c>
      <c r="M249" s="19">
        <f t="shared" si="50"/>
        <v>0</v>
      </c>
      <c r="N249" s="4">
        <f t="shared" si="39"/>
        <v>0</v>
      </c>
      <c r="O249" s="174">
        <f t="shared" si="51"/>
        <v>-72007.206082007935</v>
      </c>
      <c r="P249" s="347">
        <f>O249/'D) Ecrêtage'!C249</f>
        <v>-9.8453794667482537</v>
      </c>
      <c r="Q249" s="167"/>
    </row>
    <row r="250" spans="1:17" x14ac:dyDescent="0.25">
      <c r="A250" s="165">
        <f>'A) Base RI'!A252</f>
        <v>5822</v>
      </c>
      <c r="B250" s="42" t="str">
        <f>'A) Base RI'!B252</f>
        <v>Payerne</v>
      </c>
      <c r="C250" s="41">
        <f>'D) Ecrêtage'!M250</f>
        <v>224445.50853333328</v>
      </c>
      <c r="D250" s="41">
        <v>2150530</v>
      </c>
      <c r="E250" s="14">
        <v>526198</v>
      </c>
      <c r="F250" s="52">
        <v>710738</v>
      </c>
      <c r="G250" s="52">
        <f t="shared" si="48"/>
        <v>3387466</v>
      </c>
      <c r="H250" s="14">
        <f t="shared" si="36"/>
        <v>1795564.0682666663</v>
      </c>
      <c r="I250" s="41">
        <f t="shared" si="49"/>
        <v>1591901.9317333337</v>
      </c>
      <c r="J250" s="4">
        <f t="shared" si="37"/>
        <v>-1143134.2743227421</v>
      </c>
      <c r="K250" s="19">
        <v>164149</v>
      </c>
      <c r="L250" s="14">
        <f t="shared" si="38"/>
        <v>224445.50853333328</v>
      </c>
      <c r="M250" s="19">
        <f t="shared" si="50"/>
        <v>0</v>
      </c>
      <c r="N250" s="4">
        <f t="shared" si="39"/>
        <v>0</v>
      </c>
      <c r="O250" s="174">
        <f t="shared" si="51"/>
        <v>-1143134.2743227421</v>
      </c>
      <c r="P250" s="347">
        <f>O250/'D) Ecrêtage'!C250</f>
        <v>-5.0931483627927925</v>
      </c>
      <c r="Q250" s="167"/>
    </row>
    <row r="251" spans="1:17" x14ac:dyDescent="0.25">
      <c r="A251" s="165">
        <f>'A) Base RI'!A253</f>
        <v>5827</v>
      </c>
      <c r="B251" s="42" t="str">
        <f>'A) Base RI'!B253</f>
        <v>Trey</v>
      </c>
      <c r="C251" s="41">
        <f>'D) Ecrêtage'!M251</f>
        <v>6544.3336250000011</v>
      </c>
      <c r="D251" s="41">
        <v>77397</v>
      </c>
      <c r="E251" s="14">
        <v>6104</v>
      </c>
      <c r="F251" s="52">
        <v>25071</v>
      </c>
      <c r="G251" s="52">
        <f t="shared" si="48"/>
        <v>108572</v>
      </c>
      <c r="H251" s="14">
        <f t="shared" si="36"/>
        <v>52354.669000000009</v>
      </c>
      <c r="I251" s="41">
        <f t="shared" si="49"/>
        <v>56217.330999999991</v>
      </c>
      <c r="J251" s="4">
        <f t="shared" si="37"/>
        <v>-40369.294487301064</v>
      </c>
      <c r="K251" s="19">
        <v>14217</v>
      </c>
      <c r="L251" s="14">
        <f t="shared" si="38"/>
        <v>6544.3336250000011</v>
      </c>
      <c r="M251" s="19">
        <f t="shared" si="50"/>
        <v>7672.6663749999989</v>
      </c>
      <c r="N251" s="4">
        <f t="shared" si="39"/>
        <v>-5509.6911021120468</v>
      </c>
      <c r="O251" s="174">
        <f t="shared" si="51"/>
        <v>-45878.985589413111</v>
      </c>
      <c r="P251" s="347">
        <f>O251/'D) Ecrêtage'!C251</f>
        <v>-7.0104900236367618</v>
      </c>
      <c r="Q251" s="167"/>
    </row>
    <row r="252" spans="1:17" x14ac:dyDescent="0.25">
      <c r="A252" s="165">
        <f>'A) Base RI'!A254</f>
        <v>5828</v>
      </c>
      <c r="B252" s="42" t="str">
        <f>'A) Base RI'!B254</f>
        <v>Treytorrens (Payerne)</v>
      </c>
      <c r="C252" s="41">
        <f>'D) Ecrêtage'!M252</f>
        <v>2136.5168650793653</v>
      </c>
      <c r="D252" s="41">
        <v>65230</v>
      </c>
      <c r="E252" s="14">
        <v>2743</v>
      </c>
      <c r="F252" s="52">
        <v>21581</v>
      </c>
      <c r="G252" s="52">
        <f t="shared" si="48"/>
        <v>89554</v>
      </c>
      <c r="H252" s="14">
        <f t="shared" si="36"/>
        <v>17092.134920634922</v>
      </c>
      <c r="I252" s="41">
        <f t="shared" si="49"/>
        <v>72461.865079365074</v>
      </c>
      <c r="J252" s="4">
        <f t="shared" si="37"/>
        <v>-52034.387233502181</v>
      </c>
      <c r="K252" s="19">
        <v>4957</v>
      </c>
      <c r="L252" s="14">
        <f t="shared" si="38"/>
        <v>2136.5168650793653</v>
      </c>
      <c r="M252" s="19">
        <f t="shared" si="50"/>
        <v>2820.4831349206347</v>
      </c>
      <c r="N252" s="4">
        <f t="shared" si="39"/>
        <v>-2025.3703305494389</v>
      </c>
      <c r="O252" s="174">
        <f t="shared" si="51"/>
        <v>-54059.757564051622</v>
      </c>
      <c r="P252" s="347">
        <f>O252/'D) Ecrêtage'!C252</f>
        <v>-25.302752553766272</v>
      </c>
      <c r="Q252" s="167"/>
    </row>
    <row r="253" spans="1:17" x14ac:dyDescent="0.25">
      <c r="A253" s="165">
        <f>'A) Base RI'!A255</f>
        <v>5830</v>
      </c>
      <c r="B253" s="42" t="str">
        <f>'A) Base RI'!B255</f>
        <v>Villarzel</v>
      </c>
      <c r="C253" s="41">
        <f>'D) Ecrêtage'!M253</f>
        <v>10236.981518987341</v>
      </c>
      <c r="D253" s="41">
        <v>155642</v>
      </c>
      <c r="E253" s="14">
        <v>9442</v>
      </c>
      <c r="F253" s="52">
        <v>64451</v>
      </c>
      <c r="G253" s="52">
        <f t="shared" si="48"/>
        <v>229535</v>
      </c>
      <c r="H253" s="14">
        <f t="shared" si="36"/>
        <v>81895.852151898725</v>
      </c>
      <c r="I253" s="41">
        <f t="shared" si="49"/>
        <v>147639.14784810127</v>
      </c>
      <c r="J253" s="4">
        <f t="shared" si="37"/>
        <v>-106018.69799429258</v>
      </c>
      <c r="K253" s="19">
        <v>3969</v>
      </c>
      <c r="L253" s="14">
        <f t="shared" si="38"/>
        <v>10236.981518987341</v>
      </c>
      <c r="M253" s="19">
        <f t="shared" si="50"/>
        <v>0</v>
      </c>
      <c r="N253" s="4">
        <f t="shared" si="39"/>
        <v>0</v>
      </c>
      <c r="O253" s="174">
        <f t="shared" si="51"/>
        <v>-106018.69799429258</v>
      </c>
      <c r="P253" s="347">
        <f>O253/'D) Ecrêtage'!C253</f>
        <v>-10.356441280825926</v>
      </c>
      <c r="Q253" s="167"/>
    </row>
    <row r="254" spans="1:17" x14ac:dyDescent="0.25">
      <c r="A254" s="165">
        <f>'A) Base RI'!A256</f>
        <v>5831</v>
      </c>
      <c r="B254" s="42" t="str">
        <f>'A) Base RI'!B256</f>
        <v>Valbroye</v>
      </c>
      <c r="C254" s="41">
        <f>'D) Ecrêtage'!M254</f>
        <v>78037.716438356161</v>
      </c>
      <c r="D254" s="41">
        <v>882931</v>
      </c>
      <c r="E254" s="14">
        <v>133873</v>
      </c>
      <c r="F254" s="52">
        <v>469688</v>
      </c>
      <c r="G254" s="52">
        <f t="shared" si="48"/>
        <v>1486492</v>
      </c>
      <c r="H254" s="14">
        <f t="shared" ref="H254:H313" si="56">C254*I$4</f>
        <v>624301.73150684929</v>
      </c>
      <c r="I254" s="41">
        <f>IF(G254&gt;H254,G254-H254,0)</f>
        <v>862190.26849315071</v>
      </c>
      <c r="J254" s="4">
        <f t="shared" ref="J254:J313" si="57">-I254*J$4</f>
        <v>-619133.14335191716</v>
      </c>
      <c r="K254" s="19">
        <v>76415</v>
      </c>
      <c r="L254" s="14">
        <f t="shared" ref="L254:L313" si="58">C254*M$4</f>
        <v>78037.716438356161</v>
      </c>
      <c r="M254" s="19">
        <f>IF(K254&gt;L254,K254-L254,0)</f>
        <v>0</v>
      </c>
      <c r="N254" s="4">
        <f t="shared" ref="N254:N313" si="59">-M254*N$4</f>
        <v>0</v>
      </c>
      <c r="O254" s="174">
        <f>N254+J254</f>
        <v>-619133.14335191716</v>
      </c>
      <c r="P254" s="347">
        <f>O254/'D) Ecrêtage'!C254</f>
        <v>-7.9337680753509119</v>
      </c>
      <c r="Q254" s="167"/>
    </row>
    <row r="255" spans="1:17" x14ac:dyDescent="0.25">
      <c r="A255" s="165">
        <f>'A) Base RI'!A257</f>
        <v>5841</v>
      </c>
      <c r="B255" s="42" t="str">
        <f>'A) Base RI'!B257</f>
        <v>Château-d'Oex</v>
      </c>
      <c r="C255" s="41">
        <f>'D) Ecrêtage'!M255</f>
        <v>107525.73574297188</v>
      </c>
      <c r="D255" s="41">
        <v>2697740</v>
      </c>
      <c r="E255" s="14">
        <v>225522</v>
      </c>
      <c r="F255" s="52">
        <v>395398</v>
      </c>
      <c r="G255" s="52">
        <f t="shared" si="48"/>
        <v>3318660</v>
      </c>
      <c r="H255" s="14">
        <f t="shared" si="56"/>
        <v>860205.88594377507</v>
      </c>
      <c r="I255" s="41">
        <f>IF(G255&gt;H255,G255-H255,0)</f>
        <v>2458454.1140562249</v>
      </c>
      <c r="J255" s="4">
        <f t="shared" si="57"/>
        <v>-1765399.6792172969</v>
      </c>
      <c r="K255" s="19">
        <v>23613</v>
      </c>
      <c r="L255" s="14">
        <f t="shared" si="58"/>
        <v>107525.73574297188</v>
      </c>
      <c r="M255" s="19">
        <f>IF(K255&gt;L255,K255-L255,0)</f>
        <v>0</v>
      </c>
      <c r="N255" s="4">
        <f t="shared" si="59"/>
        <v>0</v>
      </c>
      <c r="O255" s="174">
        <f>N255+J255</f>
        <v>-1765399.6792172969</v>
      </c>
      <c r="P255" s="347">
        <f>O255/'D) Ecrêtage'!C255</f>
        <v>-16.41839199721716</v>
      </c>
      <c r="Q255" s="167"/>
    </row>
    <row r="256" spans="1:17" x14ac:dyDescent="0.25">
      <c r="A256" s="165">
        <f>'A) Base RI'!A258</f>
        <v>5842</v>
      </c>
      <c r="B256" s="42" t="str">
        <f>'A) Base RI'!B258</f>
        <v>Rossinière</v>
      </c>
      <c r="C256" s="41">
        <f>'D) Ecrêtage'!M256</f>
        <v>16554.125349794238</v>
      </c>
      <c r="D256" s="41">
        <v>405957</v>
      </c>
      <c r="E256" s="14">
        <v>36188</v>
      </c>
      <c r="F256" s="52">
        <v>70000</v>
      </c>
      <c r="G256" s="52">
        <f t="shared" si="48"/>
        <v>512145</v>
      </c>
      <c r="H256" s="14">
        <f t="shared" si="56"/>
        <v>132433.0027983539</v>
      </c>
      <c r="I256" s="41">
        <f t="shared" si="49"/>
        <v>379711.9972016461</v>
      </c>
      <c r="J256" s="4">
        <f t="shared" si="57"/>
        <v>-272668.67997334292</v>
      </c>
      <c r="K256" s="19">
        <v>832</v>
      </c>
      <c r="L256" s="14">
        <f t="shared" si="58"/>
        <v>16554.125349794238</v>
      </c>
      <c r="M256" s="19">
        <f t="shared" si="50"/>
        <v>0</v>
      </c>
      <c r="N256" s="4">
        <f t="shared" si="59"/>
        <v>0</v>
      </c>
      <c r="O256" s="174">
        <f t="shared" si="51"/>
        <v>-272668.67997334292</v>
      </c>
      <c r="P256" s="347">
        <f>O256/'D) Ecrêtage'!C256</f>
        <v>-16.471343197647837</v>
      </c>
      <c r="Q256" s="167"/>
    </row>
    <row r="257" spans="1:17" x14ac:dyDescent="0.25">
      <c r="A257" s="165">
        <f>'A) Base RI'!A259</f>
        <v>5843</v>
      </c>
      <c r="B257" s="42" t="str">
        <f>'A) Base RI'!B259</f>
        <v>Rougemont</v>
      </c>
      <c r="C257" s="41">
        <f>'D) Ecrêtage'!M257</f>
        <v>79049.148416639975</v>
      </c>
      <c r="D257" s="41">
        <v>1844493</v>
      </c>
      <c r="E257" s="14">
        <v>57822</v>
      </c>
      <c r="F257" s="52">
        <v>94258</v>
      </c>
      <c r="G257" s="52">
        <f t="shared" si="48"/>
        <v>1996573</v>
      </c>
      <c r="H257" s="14">
        <f t="shared" si="56"/>
        <v>632393.1873331198</v>
      </c>
      <c r="I257" s="41">
        <f t="shared" si="49"/>
        <v>1364179.8126668802</v>
      </c>
      <c r="J257" s="4">
        <f t="shared" si="57"/>
        <v>-979608.52305813832</v>
      </c>
      <c r="K257" s="19"/>
      <c r="L257" s="14">
        <f t="shared" si="58"/>
        <v>79049.148416639975</v>
      </c>
      <c r="M257" s="19">
        <f t="shared" si="50"/>
        <v>0</v>
      </c>
      <c r="N257" s="4">
        <f t="shared" si="59"/>
        <v>0</v>
      </c>
      <c r="O257" s="174">
        <f t="shared" si="51"/>
        <v>-979608.52305813832</v>
      </c>
      <c r="P257" s="347">
        <f>O257/'D) Ecrêtage'!C257</f>
        <v>-10.613602895335868</v>
      </c>
      <c r="Q257" s="167"/>
    </row>
    <row r="258" spans="1:17" x14ac:dyDescent="0.25">
      <c r="A258" s="165">
        <f>'A) Base RI'!A260</f>
        <v>5851</v>
      </c>
      <c r="B258" s="42" t="str">
        <f>'A) Base RI'!B260</f>
        <v>Allaman</v>
      </c>
      <c r="C258" s="41">
        <f>'D) Ecrêtage'!M258</f>
        <v>25169.262174508789</v>
      </c>
      <c r="D258" s="41">
        <v>131197</v>
      </c>
      <c r="E258" s="14">
        <v>22977</v>
      </c>
      <c r="F258" s="52">
        <v>43772</v>
      </c>
      <c r="G258" s="52">
        <f t="shared" si="48"/>
        <v>197946</v>
      </c>
      <c r="H258" s="14">
        <f t="shared" si="56"/>
        <v>201354.09739607031</v>
      </c>
      <c r="I258" s="41">
        <f t="shared" si="49"/>
        <v>0</v>
      </c>
      <c r="J258" s="4">
        <f t="shared" si="57"/>
        <v>0</v>
      </c>
      <c r="K258" s="19"/>
      <c r="L258" s="14">
        <f t="shared" si="58"/>
        <v>25169.262174508789</v>
      </c>
      <c r="M258" s="19">
        <f t="shared" si="50"/>
        <v>0</v>
      </c>
      <c r="N258" s="4">
        <f t="shared" si="59"/>
        <v>0</v>
      </c>
      <c r="O258" s="174">
        <f t="shared" si="51"/>
        <v>0</v>
      </c>
      <c r="P258" s="347">
        <f>O258/'D) Ecrêtage'!C258</f>
        <v>0</v>
      </c>
      <c r="Q258" s="167"/>
    </row>
    <row r="259" spans="1:17" x14ac:dyDescent="0.25">
      <c r="A259" s="165">
        <f>'A) Base RI'!A261</f>
        <v>5852</v>
      </c>
      <c r="B259" s="42" t="str">
        <f>'A) Base RI'!B261</f>
        <v>Bursinel</v>
      </c>
      <c r="C259" s="41">
        <f>'D) Ecrêtage'!M259</f>
        <v>30316.650271285871</v>
      </c>
      <c r="D259" s="41">
        <v>219667</v>
      </c>
      <c r="E259" s="14">
        <v>10795</v>
      </c>
      <c r="F259" s="52">
        <v>36870</v>
      </c>
      <c r="G259" s="52">
        <f t="shared" si="48"/>
        <v>267332</v>
      </c>
      <c r="H259" s="14">
        <f t="shared" si="56"/>
        <v>242533.20217028697</v>
      </c>
      <c r="I259" s="41">
        <f t="shared" si="49"/>
        <v>24798.797829713032</v>
      </c>
      <c r="J259" s="4">
        <f t="shared" si="57"/>
        <v>-17807.853107055689</v>
      </c>
      <c r="K259" s="19">
        <v>257</v>
      </c>
      <c r="L259" s="14">
        <f t="shared" si="58"/>
        <v>30316.650271285871</v>
      </c>
      <c r="M259" s="19">
        <f t="shared" si="50"/>
        <v>0</v>
      </c>
      <c r="N259" s="4">
        <f t="shared" si="59"/>
        <v>0</v>
      </c>
      <c r="O259" s="174">
        <f t="shared" si="51"/>
        <v>-17807.853107055689</v>
      </c>
      <c r="P259" s="347">
        <f>O259/'D) Ecrêtage'!C259</f>
        <v>-0.56295983975700548</v>
      </c>
      <c r="Q259" s="167"/>
    </row>
    <row r="260" spans="1:17" x14ac:dyDescent="0.25">
      <c r="A260" s="165">
        <f>'A) Base RI'!A262</f>
        <v>5853</v>
      </c>
      <c r="B260" s="42" t="str">
        <f>'A) Base RI'!B262</f>
        <v>Bursins</v>
      </c>
      <c r="C260" s="41">
        <f>'D) Ecrêtage'!M260</f>
        <v>37118.734366197183</v>
      </c>
      <c r="D260" s="41">
        <v>188736</v>
      </c>
      <c r="E260" s="14">
        <v>37166</v>
      </c>
      <c r="F260" s="52">
        <v>60487</v>
      </c>
      <c r="G260" s="52">
        <f t="shared" si="48"/>
        <v>286389</v>
      </c>
      <c r="H260" s="14">
        <f t="shared" si="56"/>
        <v>296949.87492957746</v>
      </c>
      <c r="I260" s="41">
        <f t="shared" si="49"/>
        <v>0</v>
      </c>
      <c r="J260" s="4">
        <f t="shared" si="57"/>
        <v>0</v>
      </c>
      <c r="K260" s="19">
        <v>39379</v>
      </c>
      <c r="L260" s="14">
        <f t="shared" si="58"/>
        <v>37118.734366197183</v>
      </c>
      <c r="M260" s="19">
        <f t="shared" si="50"/>
        <v>2260.2656338028173</v>
      </c>
      <c r="N260" s="4">
        <f t="shared" si="59"/>
        <v>-1623.0818391309281</v>
      </c>
      <c r="O260" s="174">
        <f t="shared" si="51"/>
        <v>-1623.0818391309281</v>
      </c>
      <c r="P260" s="347">
        <f>O260/'D) Ecrêtage'!C260</f>
        <v>-4.3726755958818884E-2</v>
      </c>
      <c r="Q260" s="167"/>
    </row>
    <row r="261" spans="1:17" x14ac:dyDescent="0.25">
      <c r="A261" s="165">
        <f>'A) Base RI'!A263</f>
        <v>5854</v>
      </c>
      <c r="B261" s="42" t="str">
        <f>'A) Base RI'!B263</f>
        <v>Burtigny</v>
      </c>
      <c r="C261" s="41">
        <f>'D) Ecrêtage'!M261</f>
        <v>10244.164041666669</v>
      </c>
      <c r="D261" s="41">
        <v>62911</v>
      </c>
      <c r="E261" s="14">
        <v>13051</v>
      </c>
      <c r="F261" s="52">
        <v>40178</v>
      </c>
      <c r="G261" s="52">
        <f t="shared" si="48"/>
        <v>116140</v>
      </c>
      <c r="H261" s="14">
        <f t="shared" si="56"/>
        <v>81953.31233333335</v>
      </c>
      <c r="I261" s="41">
        <f t="shared" si="49"/>
        <v>34186.68766666665</v>
      </c>
      <c r="J261" s="4">
        <f t="shared" si="57"/>
        <v>-24549.234860706027</v>
      </c>
      <c r="K261" s="19">
        <v>-117235</v>
      </c>
      <c r="L261" s="14">
        <f t="shared" si="58"/>
        <v>10244.164041666669</v>
      </c>
      <c r="M261" s="19">
        <f t="shared" si="50"/>
        <v>0</v>
      </c>
      <c r="N261" s="4">
        <f t="shared" si="59"/>
        <v>0</v>
      </c>
      <c r="O261" s="174">
        <f t="shared" si="51"/>
        <v>-24549.234860706027</v>
      </c>
      <c r="P261" s="347">
        <f>O261/'D) Ecrêtage'!C261</f>
        <v>-2.3964117287516613</v>
      </c>
      <c r="Q261" s="167"/>
    </row>
    <row r="262" spans="1:17" x14ac:dyDescent="0.25">
      <c r="A262" s="165">
        <f>'A) Base RI'!A264</f>
        <v>5855</v>
      </c>
      <c r="B262" s="42" t="str">
        <f>'A) Base RI'!B264</f>
        <v>Dully</v>
      </c>
      <c r="C262" s="41">
        <f>'D) Ecrêtage'!M262</f>
        <v>56253.958979149436</v>
      </c>
      <c r="D262" s="41">
        <v>127085</v>
      </c>
      <c r="E262" s="14">
        <v>14027</v>
      </c>
      <c r="F262" s="52">
        <v>42914</v>
      </c>
      <c r="G262" s="52">
        <f t="shared" si="48"/>
        <v>184026</v>
      </c>
      <c r="H262" s="14">
        <f t="shared" si="56"/>
        <v>450031.67183319549</v>
      </c>
      <c r="I262" s="41">
        <f t="shared" si="49"/>
        <v>0</v>
      </c>
      <c r="J262" s="4">
        <f t="shared" si="57"/>
        <v>0</v>
      </c>
      <c r="K262" s="19">
        <v>825</v>
      </c>
      <c r="L262" s="14">
        <f t="shared" si="58"/>
        <v>56253.958979149436</v>
      </c>
      <c r="M262" s="19">
        <f t="shared" si="50"/>
        <v>0</v>
      </c>
      <c r="N262" s="4">
        <f t="shared" si="59"/>
        <v>0</v>
      </c>
      <c r="O262" s="174">
        <f t="shared" si="51"/>
        <v>0</v>
      </c>
      <c r="P262" s="347">
        <f>O262/'D) Ecrêtage'!C262</f>
        <v>0</v>
      </c>
      <c r="Q262" s="167"/>
    </row>
    <row r="263" spans="1:17" x14ac:dyDescent="0.25">
      <c r="A263" s="165">
        <f>'A) Base RI'!A265</f>
        <v>5856</v>
      </c>
      <c r="B263" s="42" t="str">
        <f>'A) Base RI'!B265</f>
        <v>Essertines-sur-Rolle</v>
      </c>
      <c r="C263" s="41">
        <f>'D) Ecrêtage'!M263</f>
        <v>28766.256402714938</v>
      </c>
      <c r="D263" s="41">
        <v>233887</v>
      </c>
      <c r="E263" s="14">
        <v>15997</v>
      </c>
      <c r="F263" s="52">
        <v>60247</v>
      </c>
      <c r="G263" s="52">
        <f t="shared" si="48"/>
        <v>310131</v>
      </c>
      <c r="H263" s="14">
        <f t="shared" si="56"/>
        <v>230130.05122171951</v>
      </c>
      <c r="I263" s="41">
        <f t="shared" si="49"/>
        <v>80000.948778280494</v>
      </c>
      <c r="J263" s="4">
        <f t="shared" si="57"/>
        <v>-57448.153497253261</v>
      </c>
      <c r="K263" s="19">
        <v>-4579</v>
      </c>
      <c r="L263" s="14">
        <f t="shared" si="58"/>
        <v>28766.256402714938</v>
      </c>
      <c r="M263" s="19">
        <f t="shared" si="50"/>
        <v>0</v>
      </c>
      <c r="N263" s="4">
        <f t="shared" si="59"/>
        <v>0</v>
      </c>
      <c r="O263" s="174">
        <f t="shared" si="51"/>
        <v>-57448.153497253261</v>
      </c>
      <c r="P263" s="347">
        <f>O263/'D) Ecrêtage'!C263</f>
        <v>-1.9970674213913822</v>
      </c>
      <c r="Q263" s="167"/>
    </row>
    <row r="264" spans="1:17" x14ac:dyDescent="0.25">
      <c r="A264" s="165">
        <f>'A) Base RI'!A266</f>
        <v>5857</v>
      </c>
      <c r="B264" s="42" t="str">
        <f>'A) Base RI'!B266</f>
        <v>Gilly</v>
      </c>
      <c r="C264" s="41">
        <f>'D) Ecrêtage'!M264</f>
        <v>55694.918787878785</v>
      </c>
      <c r="D264" s="41">
        <v>178357</v>
      </c>
      <c r="E264" s="14">
        <v>126879</v>
      </c>
      <c r="F264" s="52">
        <v>77527</v>
      </c>
      <c r="G264" s="52">
        <f t="shared" si="48"/>
        <v>382763</v>
      </c>
      <c r="H264" s="14">
        <f t="shared" si="56"/>
        <v>445559.35030303028</v>
      </c>
      <c r="I264" s="41">
        <f t="shared" si="49"/>
        <v>0</v>
      </c>
      <c r="J264" s="4">
        <f t="shared" si="57"/>
        <v>0</v>
      </c>
      <c r="K264" s="19">
        <v>-29521</v>
      </c>
      <c r="L264" s="14">
        <f t="shared" si="58"/>
        <v>55694.918787878785</v>
      </c>
      <c r="M264" s="19">
        <f t="shared" si="50"/>
        <v>0</v>
      </c>
      <c r="N264" s="4">
        <f t="shared" si="59"/>
        <v>0</v>
      </c>
      <c r="O264" s="174">
        <f t="shared" si="51"/>
        <v>0</v>
      </c>
      <c r="P264" s="347">
        <f>O264/'D) Ecrêtage'!C264</f>
        <v>0</v>
      </c>
      <c r="Q264" s="167"/>
    </row>
    <row r="265" spans="1:17" x14ac:dyDescent="0.25">
      <c r="A265" s="165">
        <f>'A) Base RI'!A267</f>
        <v>5858</v>
      </c>
      <c r="B265" s="42" t="str">
        <f>'A) Base RI'!B267</f>
        <v>Luins</v>
      </c>
      <c r="C265" s="41">
        <f>'D) Ecrêtage'!M265</f>
        <v>33594.571611111111</v>
      </c>
      <c r="D265" s="41">
        <v>69017</v>
      </c>
      <c r="E265" s="14">
        <v>20084</v>
      </c>
      <c r="F265" s="52">
        <v>49640</v>
      </c>
      <c r="G265" s="52">
        <f t="shared" ref="G265:G313" si="60">D265+E265+F265</f>
        <v>138741</v>
      </c>
      <c r="H265" s="14">
        <f t="shared" si="56"/>
        <v>268756.57288888888</v>
      </c>
      <c r="I265" s="41">
        <f t="shared" ref="I265:I313" si="61">IF(G265&gt;H265,G265-H265,0)</f>
        <v>0</v>
      </c>
      <c r="J265" s="4">
        <f t="shared" si="57"/>
        <v>0</v>
      </c>
      <c r="K265" s="19">
        <v>990</v>
      </c>
      <c r="L265" s="14">
        <f t="shared" si="58"/>
        <v>33594.571611111111</v>
      </c>
      <c r="M265" s="19">
        <f t="shared" ref="M265:M313" si="62">IF(K265&gt;L265,K265-L265,0)</f>
        <v>0</v>
      </c>
      <c r="N265" s="4">
        <f t="shared" si="59"/>
        <v>0</v>
      </c>
      <c r="O265" s="174">
        <f t="shared" ref="O265:O313" si="63">N265+J265</f>
        <v>0</v>
      </c>
      <c r="P265" s="347">
        <f>O265/'D) Ecrêtage'!C265</f>
        <v>0</v>
      </c>
      <c r="Q265" s="167"/>
    </row>
    <row r="266" spans="1:17" x14ac:dyDescent="0.25">
      <c r="A266" s="165">
        <f>'A) Base RI'!A268</f>
        <v>5859</v>
      </c>
      <c r="B266" s="42" t="str">
        <f>'A) Base RI'!B268</f>
        <v>Mont-sur-Rolle</v>
      </c>
      <c r="C266" s="41">
        <f>'D) Ecrêtage'!M266</f>
        <v>146179.99827943172</v>
      </c>
      <c r="D266" s="41">
        <v>431655</v>
      </c>
      <c r="E266" s="14">
        <v>119273</v>
      </c>
      <c r="F266" s="52">
        <v>214264</v>
      </c>
      <c r="G266" s="52">
        <f t="shared" si="60"/>
        <v>765192</v>
      </c>
      <c r="H266" s="14">
        <f t="shared" si="56"/>
        <v>1169439.9862354537</v>
      </c>
      <c r="I266" s="41">
        <f t="shared" si="61"/>
        <v>0</v>
      </c>
      <c r="J266" s="4">
        <f t="shared" si="57"/>
        <v>0</v>
      </c>
      <c r="K266" s="19">
        <v>4447</v>
      </c>
      <c r="L266" s="14">
        <f t="shared" si="58"/>
        <v>146179.99827943172</v>
      </c>
      <c r="M266" s="19">
        <f t="shared" si="62"/>
        <v>0</v>
      </c>
      <c r="N266" s="4">
        <f t="shared" si="59"/>
        <v>0</v>
      </c>
      <c r="O266" s="174">
        <f t="shared" si="63"/>
        <v>0</v>
      </c>
      <c r="P266" s="347">
        <f>O266/'D) Ecrêtage'!C266</f>
        <v>0</v>
      </c>
      <c r="Q266" s="167"/>
    </row>
    <row r="267" spans="1:17" x14ac:dyDescent="0.25">
      <c r="A267" s="165">
        <f>'A) Base RI'!A269</f>
        <v>5860</v>
      </c>
      <c r="B267" s="42" t="str">
        <f>'A) Base RI'!B269</f>
        <v>Perroy</v>
      </c>
      <c r="C267" s="41">
        <f>'D) Ecrêtage'!M267</f>
        <v>86272.578588259305</v>
      </c>
      <c r="D267" s="41">
        <v>106915</v>
      </c>
      <c r="E267" s="14">
        <v>33372</v>
      </c>
      <c r="F267" s="52">
        <v>108905</v>
      </c>
      <c r="G267" s="52">
        <f t="shared" si="60"/>
        <v>249192</v>
      </c>
      <c r="H267" s="14">
        <f t="shared" si="56"/>
        <v>690180.62870607444</v>
      </c>
      <c r="I267" s="41">
        <f t="shared" si="61"/>
        <v>0</v>
      </c>
      <c r="J267" s="4">
        <f t="shared" si="57"/>
        <v>0</v>
      </c>
      <c r="K267" s="19">
        <v>4978</v>
      </c>
      <c r="L267" s="14">
        <f t="shared" si="58"/>
        <v>86272.578588259305</v>
      </c>
      <c r="M267" s="19">
        <f t="shared" si="62"/>
        <v>0</v>
      </c>
      <c r="N267" s="4">
        <f t="shared" si="59"/>
        <v>0</v>
      </c>
      <c r="O267" s="174">
        <f t="shared" si="63"/>
        <v>0</v>
      </c>
      <c r="P267" s="347">
        <f>O267/'D) Ecrêtage'!C267</f>
        <v>0</v>
      </c>
      <c r="Q267" s="167"/>
    </row>
    <row r="268" spans="1:17" x14ac:dyDescent="0.25">
      <c r="A268" s="165">
        <f>'A) Base RI'!A270</f>
        <v>5861</v>
      </c>
      <c r="B268" s="42" t="str">
        <f>'A) Base RI'!B270</f>
        <v>Rolle</v>
      </c>
      <c r="C268" s="41">
        <f>'D) Ecrêtage'!M268</f>
        <v>488902.60055099864</v>
      </c>
      <c r="D268" s="41">
        <v>2621183</v>
      </c>
      <c r="E268" s="14">
        <v>959532</v>
      </c>
      <c r="F268" s="52">
        <v>454073</v>
      </c>
      <c r="G268" s="52">
        <f t="shared" si="60"/>
        <v>4034788</v>
      </c>
      <c r="H268" s="14">
        <f t="shared" si="56"/>
        <v>3911220.8044079891</v>
      </c>
      <c r="I268" s="41">
        <f t="shared" si="61"/>
        <v>123567.19559201086</v>
      </c>
      <c r="J268" s="4">
        <f t="shared" si="57"/>
        <v>-88732.787898162889</v>
      </c>
      <c r="K268" s="19"/>
      <c r="L268" s="14">
        <f t="shared" si="58"/>
        <v>488902.60055099864</v>
      </c>
      <c r="M268" s="19">
        <f t="shared" si="62"/>
        <v>0</v>
      </c>
      <c r="N268" s="4">
        <f t="shared" si="59"/>
        <v>0</v>
      </c>
      <c r="O268" s="174">
        <f t="shared" si="63"/>
        <v>-88732.787898162889</v>
      </c>
      <c r="P268" s="347">
        <f>O268/'D) Ecrêtage'!C268</f>
        <v>-0.16158038295060653</v>
      </c>
      <c r="Q268" s="167"/>
    </row>
    <row r="269" spans="1:17" x14ac:dyDescent="0.25">
      <c r="A269" s="165">
        <f>'A) Base RI'!A271</f>
        <v>5862</v>
      </c>
      <c r="B269" s="42" t="str">
        <f>'A) Base RI'!B271</f>
        <v>Tartegnin</v>
      </c>
      <c r="C269" s="41">
        <f>'D) Ecrêtage'!M269</f>
        <v>9990.8663492063497</v>
      </c>
      <c r="D269" s="41">
        <v>32636</v>
      </c>
      <c r="E269" s="14">
        <v>7553</v>
      </c>
      <c r="F269" s="52">
        <v>20504</v>
      </c>
      <c r="G269" s="52">
        <f t="shared" si="60"/>
        <v>60693</v>
      </c>
      <c r="H269" s="14">
        <f t="shared" si="56"/>
        <v>79926.930793650798</v>
      </c>
      <c r="I269" s="41">
        <f t="shared" si="61"/>
        <v>0</v>
      </c>
      <c r="J269" s="4">
        <f t="shared" si="57"/>
        <v>0</v>
      </c>
      <c r="K269" s="19">
        <v>3109</v>
      </c>
      <c r="L269" s="14">
        <f t="shared" si="58"/>
        <v>9990.8663492063497</v>
      </c>
      <c r="M269" s="19">
        <f t="shared" si="62"/>
        <v>0</v>
      </c>
      <c r="N269" s="4">
        <f t="shared" si="59"/>
        <v>0</v>
      </c>
      <c r="O269" s="174">
        <f t="shared" si="63"/>
        <v>0</v>
      </c>
      <c r="P269" s="347">
        <f>O269/'D) Ecrêtage'!C269</f>
        <v>0</v>
      </c>
      <c r="Q269" s="167"/>
    </row>
    <row r="270" spans="1:17" x14ac:dyDescent="0.25">
      <c r="A270" s="165">
        <f>'A) Base RI'!A272</f>
        <v>5863</v>
      </c>
      <c r="B270" s="42" t="str">
        <f>'A) Base RI'!B272</f>
        <v>Vinzel</v>
      </c>
      <c r="C270" s="41">
        <f>'D) Ecrêtage'!M270</f>
        <v>23987.326029124335</v>
      </c>
      <c r="D270" s="41">
        <v>46394</v>
      </c>
      <c r="E270" s="14">
        <v>14105</v>
      </c>
      <c r="F270" s="52">
        <v>28284</v>
      </c>
      <c r="G270" s="52">
        <f t="shared" si="60"/>
        <v>88783</v>
      </c>
      <c r="H270" s="14">
        <f t="shared" si="56"/>
        <v>191898.60823299468</v>
      </c>
      <c r="I270" s="41">
        <f t="shared" si="61"/>
        <v>0</v>
      </c>
      <c r="J270" s="4">
        <f t="shared" si="57"/>
        <v>0</v>
      </c>
      <c r="K270" s="19">
        <v>8664</v>
      </c>
      <c r="L270" s="14">
        <f t="shared" si="58"/>
        <v>23987.326029124335</v>
      </c>
      <c r="M270" s="19">
        <f t="shared" si="62"/>
        <v>0</v>
      </c>
      <c r="N270" s="4">
        <f t="shared" si="59"/>
        <v>0</v>
      </c>
      <c r="O270" s="174">
        <f t="shared" si="63"/>
        <v>0</v>
      </c>
      <c r="P270" s="347">
        <f>O270/'D) Ecrêtage'!C270</f>
        <v>0</v>
      </c>
      <c r="Q270" s="167"/>
    </row>
    <row r="271" spans="1:17" x14ac:dyDescent="0.25">
      <c r="A271" s="165">
        <f>'A) Base RI'!A273</f>
        <v>5871</v>
      </c>
      <c r="B271" s="42" t="str">
        <f>'A) Base RI'!B273</f>
        <v>L'Abbaye</v>
      </c>
      <c r="C271" s="41">
        <f>'D) Ecrêtage'!M271</f>
        <v>49270.614706263776</v>
      </c>
      <c r="D271" s="41">
        <v>552876</v>
      </c>
      <c r="E271" s="14">
        <v>86381</v>
      </c>
      <c r="F271" s="52">
        <v>184844</v>
      </c>
      <c r="G271" s="52">
        <f t="shared" si="60"/>
        <v>824101</v>
      </c>
      <c r="H271" s="14">
        <f t="shared" si="56"/>
        <v>394164.9176501102</v>
      </c>
      <c r="I271" s="41">
        <f t="shared" si="61"/>
        <v>429936.0823498898</v>
      </c>
      <c r="J271" s="4">
        <f t="shared" si="57"/>
        <v>-308734.26415599888</v>
      </c>
      <c r="K271" s="19">
        <v>28233</v>
      </c>
      <c r="L271" s="14">
        <f t="shared" si="58"/>
        <v>49270.614706263776</v>
      </c>
      <c r="M271" s="19">
        <f t="shared" si="62"/>
        <v>0</v>
      </c>
      <c r="N271" s="4">
        <f t="shared" si="59"/>
        <v>0</v>
      </c>
      <c r="O271" s="174">
        <f t="shared" si="63"/>
        <v>-308734.26415599888</v>
      </c>
      <c r="P271" s="347">
        <f>O271/'D) Ecrêtage'!C271</f>
        <v>-6.2660932078192539</v>
      </c>
      <c r="Q271" s="167"/>
    </row>
    <row r="272" spans="1:17" x14ac:dyDescent="0.25">
      <c r="A272" s="165">
        <f>'A) Base RI'!A274</f>
        <v>5872</v>
      </c>
      <c r="B272" s="42" t="str">
        <f>'A) Base RI'!B274</f>
        <v>Le Chenit</v>
      </c>
      <c r="C272" s="41">
        <f>'D) Ecrêtage'!M272</f>
        <v>298295.92842205171</v>
      </c>
      <c r="D272" s="41">
        <v>3115883</v>
      </c>
      <c r="E272" s="14">
        <v>271019</v>
      </c>
      <c r="F272" s="52">
        <v>632709</v>
      </c>
      <c r="G272" s="52">
        <f t="shared" si="60"/>
        <v>4019611</v>
      </c>
      <c r="H272" s="14">
        <f t="shared" si="56"/>
        <v>2386367.4273764137</v>
      </c>
      <c r="I272" s="41">
        <f t="shared" si="61"/>
        <v>1633243.5726235863</v>
      </c>
      <c r="J272" s="4">
        <f t="shared" si="57"/>
        <v>-1172821.433887234</v>
      </c>
      <c r="K272" s="19">
        <v>446247</v>
      </c>
      <c r="L272" s="14">
        <f t="shared" si="58"/>
        <v>298295.92842205171</v>
      </c>
      <c r="M272" s="19">
        <f t="shared" si="62"/>
        <v>147951.07157794829</v>
      </c>
      <c r="N272" s="4">
        <f t="shared" si="59"/>
        <v>-106242.68836672367</v>
      </c>
      <c r="O272" s="174">
        <f t="shared" si="63"/>
        <v>-1279064.1222539577</v>
      </c>
      <c r="P272" s="347">
        <f>O272/'D) Ecrêtage'!C272</f>
        <v>-4.092147728120195</v>
      </c>
      <c r="Q272" s="167"/>
    </row>
    <row r="273" spans="1:17" x14ac:dyDescent="0.25">
      <c r="A273" s="165">
        <f>'A) Base RI'!A275</f>
        <v>5873</v>
      </c>
      <c r="B273" s="42" t="str">
        <f>'A) Base RI'!B275</f>
        <v>Le Lieu</v>
      </c>
      <c r="C273" s="41">
        <f>'D) Ecrêtage'!M273</f>
        <v>35906.558461538458</v>
      </c>
      <c r="D273" s="41">
        <v>922223</v>
      </c>
      <c r="E273" s="14">
        <v>51600</v>
      </c>
      <c r="F273" s="52">
        <v>126614</v>
      </c>
      <c r="G273" s="52">
        <f t="shared" si="60"/>
        <v>1100437</v>
      </c>
      <c r="H273" s="14">
        <f t="shared" si="56"/>
        <v>287252.46769230766</v>
      </c>
      <c r="I273" s="41">
        <f t="shared" si="61"/>
        <v>813184.53230769234</v>
      </c>
      <c r="J273" s="4">
        <f t="shared" si="57"/>
        <v>-583942.44752116431</v>
      </c>
      <c r="K273" s="19">
        <v>268680</v>
      </c>
      <c r="L273" s="14">
        <f t="shared" si="58"/>
        <v>35906.558461538458</v>
      </c>
      <c r="M273" s="19">
        <f t="shared" si="62"/>
        <v>232773.44153846154</v>
      </c>
      <c r="N273" s="4">
        <f t="shared" si="59"/>
        <v>-167153.07260475802</v>
      </c>
      <c r="O273" s="174">
        <f t="shared" si="63"/>
        <v>-751095.52012592228</v>
      </c>
      <c r="P273" s="347">
        <f>O273/'D) Ecrêtage'!C273</f>
        <v>-20.918059326974014</v>
      </c>
      <c r="Q273" s="167"/>
    </row>
    <row r="274" spans="1:17" x14ac:dyDescent="0.25">
      <c r="A274" s="165">
        <f>'A) Base RI'!A276</f>
        <v>5881</v>
      </c>
      <c r="B274" s="42" t="str">
        <f>'A) Base RI'!B276</f>
        <v>Blonay</v>
      </c>
      <c r="C274" s="41">
        <f>'D) Ecrêtage'!M274</f>
        <v>346571.01644929632</v>
      </c>
      <c r="D274" s="41">
        <v>2544588</v>
      </c>
      <c r="E274" s="14">
        <v>721160</v>
      </c>
      <c r="F274" s="52">
        <v>401285</v>
      </c>
      <c r="G274" s="52">
        <f t="shared" si="60"/>
        <v>3667033</v>
      </c>
      <c r="H274" s="14">
        <f t="shared" si="56"/>
        <v>2772568.1315943706</v>
      </c>
      <c r="I274" s="41">
        <f t="shared" si="61"/>
        <v>894464.86840562942</v>
      </c>
      <c r="J274" s="4">
        <f t="shared" si="57"/>
        <v>-642309.32061167853</v>
      </c>
      <c r="K274" s="19">
        <v>553664</v>
      </c>
      <c r="L274" s="14">
        <f t="shared" si="58"/>
        <v>346571.01644929632</v>
      </c>
      <c r="M274" s="19">
        <f t="shared" si="62"/>
        <v>207092.98355070368</v>
      </c>
      <c r="N274" s="4">
        <f t="shared" si="59"/>
        <v>-148712.10515511938</v>
      </c>
      <c r="O274" s="174">
        <f t="shared" si="63"/>
        <v>-791021.42576679797</v>
      </c>
      <c r="P274" s="347">
        <f>O274/'D) Ecrêtage'!C274</f>
        <v>-2.2581085166759309</v>
      </c>
      <c r="Q274" s="167"/>
    </row>
    <row r="275" spans="1:17" x14ac:dyDescent="0.25">
      <c r="A275" s="165">
        <f>'A) Base RI'!A277</f>
        <v>5882</v>
      </c>
      <c r="B275" s="42" t="str">
        <f>'A) Base RI'!B277</f>
        <v>Chardonne</v>
      </c>
      <c r="C275" s="41">
        <f>'D) Ecrêtage'!M275</f>
        <v>161622.89090586835</v>
      </c>
      <c r="D275" s="41">
        <v>1316262</v>
      </c>
      <c r="E275" s="14">
        <v>232323</v>
      </c>
      <c r="F275" s="52">
        <v>156675</v>
      </c>
      <c r="G275" s="52">
        <f t="shared" si="60"/>
        <v>1705260</v>
      </c>
      <c r="H275" s="14">
        <f t="shared" si="56"/>
        <v>1292983.1272469468</v>
      </c>
      <c r="I275" s="41">
        <f t="shared" si="61"/>
        <v>412276.87275305321</v>
      </c>
      <c r="J275" s="4">
        <f t="shared" si="57"/>
        <v>-296053.30225427379</v>
      </c>
      <c r="K275" s="19">
        <v>5171</v>
      </c>
      <c r="L275" s="14">
        <f t="shared" si="58"/>
        <v>161622.89090586835</v>
      </c>
      <c r="M275" s="19">
        <f t="shared" si="62"/>
        <v>0</v>
      </c>
      <c r="N275" s="4">
        <f t="shared" si="59"/>
        <v>0</v>
      </c>
      <c r="O275" s="174">
        <f t="shared" si="63"/>
        <v>-296053.30225427379</v>
      </c>
      <c r="P275" s="347">
        <f>O275/'D) Ecrêtage'!C275</f>
        <v>-1.8176802400290597</v>
      </c>
      <c r="Q275" s="167"/>
    </row>
    <row r="276" spans="1:17" x14ac:dyDescent="0.25">
      <c r="A276" s="165">
        <f>'A) Base RI'!A278</f>
        <v>5883</v>
      </c>
      <c r="B276" s="42" t="str">
        <f>'A) Base RI'!B278</f>
        <v>Corseaux</v>
      </c>
      <c r="C276" s="41">
        <f>'D) Ecrêtage'!M276</f>
        <v>138337.12769454491</v>
      </c>
      <c r="D276" s="41">
        <v>385486</v>
      </c>
      <c r="E276" s="14">
        <v>447516</v>
      </c>
      <c r="F276" s="52">
        <v>117930</v>
      </c>
      <c r="G276" s="52">
        <f t="shared" si="60"/>
        <v>950932</v>
      </c>
      <c r="H276" s="14">
        <f t="shared" si="56"/>
        <v>1106697.0215563593</v>
      </c>
      <c r="I276" s="41">
        <f t="shared" si="61"/>
        <v>0</v>
      </c>
      <c r="J276" s="4">
        <f t="shared" si="57"/>
        <v>0</v>
      </c>
      <c r="K276" s="19">
        <v>1313</v>
      </c>
      <c r="L276" s="14">
        <f t="shared" si="58"/>
        <v>138337.12769454491</v>
      </c>
      <c r="M276" s="19">
        <f t="shared" si="62"/>
        <v>0</v>
      </c>
      <c r="N276" s="4">
        <f t="shared" si="59"/>
        <v>0</v>
      </c>
      <c r="O276" s="174">
        <f t="shared" si="63"/>
        <v>0</v>
      </c>
      <c r="P276" s="347">
        <f>O276/'D) Ecrêtage'!C276</f>
        <v>0</v>
      </c>
      <c r="Q276" s="167"/>
    </row>
    <row r="277" spans="1:17" x14ac:dyDescent="0.25">
      <c r="A277" s="165">
        <f>'A) Base RI'!A279</f>
        <v>5884</v>
      </c>
      <c r="B277" s="42" t="str">
        <f>'A) Base RI'!B279</f>
        <v>Corsier-sur-Vevey</v>
      </c>
      <c r="C277" s="41">
        <f>'D) Ecrêtage'!M277</f>
        <v>132379.93277777778</v>
      </c>
      <c r="D277" s="41">
        <v>998674</v>
      </c>
      <c r="E277" s="14">
        <v>803488</v>
      </c>
      <c r="F277" s="52">
        <v>208882</v>
      </c>
      <c r="G277" s="52">
        <f t="shared" si="60"/>
        <v>2011044</v>
      </c>
      <c r="H277" s="14">
        <f t="shared" si="56"/>
        <v>1059039.4622222222</v>
      </c>
      <c r="I277" s="41">
        <f t="shared" si="61"/>
        <v>952004.53777777776</v>
      </c>
      <c r="J277" s="4">
        <f t="shared" si="57"/>
        <v>-683628.17755965772</v>
      </c>
      <c r="K277" s="19">
        <v>7354</v>
      </c>
      <c r="L277" s="14">
        <f t="shared" si="58"/>
        <v>132379.93277777778</v>
      </c>
      <c r="M277" s="19">
        <f t="shared" si="62"/>
        <v>0</v>
      </c>
      <c r="N277" s="4">
        <f t="shared" si="59"/>
        <v>0</v>
      </c>
      <c r="O277" s="174">
        <f t="shared" si="63"/>
        <v>-683628.17755965772</v>
      </c>
      <c r="P277" s="347">
        <f>O277/'D) Ecrêtage'!C277</f>
        <v>-5.1641375185409997</v>
      </c>
      <c r="Q277" s="167"/>
    </row>
    <row r="278" spans="1:17" x14ac:dyDescent="0.25">
      <c r="A278" s="165">
        <f>'A) Base RI'!A280</f>
        <v>5885</v>
      </c>
      <c r="B278" s="42" t="str">
        <f>'A) Base RI'!B280</f>
        <v>Jongny</v>
      </c>
      <c r="C278" s="41">
        <f>'D) Ecrêtage'!M278</f>
        <v>122286.47437647045</v>
      </c>
      <c r="D278" s="41">
        <v>392878</v>
      </c>
      <c r="E278" s="14">
        <v>98267</v>
      </c>
      <c r="F278" s="52">
        <v>93832</v>
      </c>
      <c r="G278" s="52">
        <f t="shared" si="60"/>
        <v>584977</v>
      </c>
      <c r="H278" s="14">
        <f t="shared" si="56"/>
        <v>978291.79501176358</v>
      </c>
      <c r="I278" s="41">
        <f t="shared" si="61"/>
        <v>0</v>
      </c>
      <c r="J278" s="4">
        <f t="shared" si="57"/>
        <v>0</v>
      </c>
      <c r="K278" s="19">
        <v>10755</v>
      </c>
      <c r="L278" s="14">
        <f t="shared" si="58"/>
        <v>122286.47437647045</v>
      </c>
      <c r="M278" s="19">
        <f t="shared" si="62"/>
        <v>0</v>
      </c>
      <c r="N278" s="4">
        <f t="shared" si="59"/>
        <v>0</v>
      </c>
      <c r="O278" s="174">
        <f t="shared" si="63"/>
        <v>0</v>
      </c>
      <c r="P278" s="347">
        <f>O278/'D) Ecrêtage'!C278</f>
        <v>0</v>
      </c>
      <c r="Q278" s="167"/>
    </row>
    <row r="279" spans="1:17" x14ac:dyDescent="0.25">
      <c r="A279" s="165">
        <f>'A) Base RI'!A281</f>
        <v>5886</v>
      </c>
      <c r="B279" s="42" t="str">
        <f>'A) Base RI'!B281</f>
        <v>Montreux</v>
      </c>
      <c r="C279" s="41">
        <f>'D) Ecrêtage'!M279</f>
        <v>1113145.3400000003</v>
      </c>
      <c r="D279" s="41">
        <v>9944421</v>
      </c>
      <c r="E279" s="14">
        <v>4573692</v>
      </c>
      <c r="F279" s="52">
        <v>294425</v>
      </c>
      <c r="G279" s="52">
        <f t="shared" si="60"/>
        <v>14812538</v>
      </c>
      <c r="H279" s="14">
        <f t="shared" si="56"/>
        <v>8905162.7200000025</v>
      </c>
      <c r="I279" s="41">
        <f t="shared" si="61"/>
        <v>5907375.2799999975</v>
      </c>
      <c r="J279" s="4">
        <f t="shared" si="57"/>
        <v>-4242047.213613227</v>
      </c>
      <c r="K279" s="19">
        <v>1555554</v>
      </c>
      <c r="L279" s="14">
        <f t="shared" si="58"/>
        <v>1113145.3400000003</v>
      </c>
      <c r="M279" s="19">
        <f t="shared" si="62"/>
        <v>442408.65999999968</v>
      </c>
      <c r="N279" s="4">
        <f t="shared" si="59"/>
        <v>-317690.73987650248</v>
      </c>
      <c r="O279" s="174">
        <f t="shared" si="63"/>
        <v>-4559737.9534897292</v>
      </c>
      <c r="P279" s="347">
        <f>O279/'D) Ecrêtage'!C279</f>
        <v>-4.0962646921647519</v>
      </c>
      <c r="Q279" s="167"/>
    </row>
    <row r="280" spans="1:17" x14ac:dyDescent="0.25">
      <c r="A280" s="165">
        <f>'A) Base RI'!A282</f>
        <v>5888</v>
      </c>
      <c r="B280" s="42" t="str">
        <f>'A) Base RI'!B282</f>
        <v>Saint-Légier-La Chiésaz</v>
      </c>
      <c r="C280" s="41">
        <f>'D) Ecrêtage'!M280</f>
        <v>304726.92463337898</v>
      </c>
      <c r="D280" s="41">
        <v>3388413</v>
      </c>
      <c r="E280" s="14">
        <v>779730</v>
      </c>
      <c r="F280" s="52">
        <v>320191</v>
      </c>
      <c r="G280" s="52">
        <f t="shared" si="60"/>
        <v>4488334</v>
      </c>
      <c r="H280" s="14">
        <f t="shared" si="56"/>
        <v>2437815.3970670318</v>
      </c>
      <c r="I280" s="41">
        <f t="shared" si="61"/>
        <v>2050518.6029329682</v>
      </c>
      <c r="J280" s="4">
        <f t="shared" si="57"/>
        <v>-1472463.8801064775</v>
      </c>
      <c r="K280" s="19">
        <v>672571</v>
      </c>
      <c r="L280" s="14">
        <f t="shared" si="58"/>
        <v>304726.92463337898</v>
      </c>
      <c r="M280" s="19">
        <f t="shared" si="62"/>
        <v>367844.07536662102</v>
      </c>
      <c r="N280" s="4">
        <f t="shared" si="59"/>
        <v>-264146.40360432788</v>
      </c>
      <c r="O280" s="174">
        <f t="shared" si="63"/>
        <v>-1736610.2837108055</v>
      </c>
      <c r="P280" s="347">
        <f>O280/'D) Ecrêtage'!C280</f>
        <v>-5.542098823556036</v>
      </c>
      <c r="Q280" s="167"/>
    </row>
    <row r="281" spans="1:17" x14ac:dyDescent="0.25">
      <c r="A281" s="165">
        <f>'A) Base RI'!A283</f>
        <v>5889</v>
      </c>
      <c r="B281" s="42" t="str">
        <f>'A) Base RI'!B283</f>
        <v>La Tour-de-Peilz</v>
      </c>
      <c r="C281" s="41">
        <f>'D) Ecrêtage'!M281</f>
        <v>590141.45856770838</v>
      </c>
      <c r="D281" s="41">
        <v>2203547</v>
      </c>
      <c r="E281" s="14">
        <v>1641270</v>
      </c>
      <c r="F281" s="52">
        <v>4601</v>
      </c>
      <c r="G281" s="52">
        <f t="shared" si="60"/>
        <v>3849418</v>
      </c>
      <c r="H281" s="14">
        <f t="shared" si="56"/>
        <v>4721131.6685416671</v>
      </c>
      <c r="I281" s="41">
        <f t="shared" si="61"/>
        <v>0</v>
      </c>
      <c r="J281" s="4">
        <f t="shared" si="57"/>
        <v>0</v>
      </c>
      <c r="K281" s="19">
        <v>25211</v>
      </c>
      <c r="L281" s="14">
        <f t="shared" si="58"/>
        <v>590141.45856770838</v>
      </c>
      <c r="M281" s="19">
        <f t="shared" si="62"/>
        <v>0</v>
      </c>
      <c r="N281" s="4">
        <f t="shared" si="59"/>
        <v>0</v>
      </c>
      <c r="O281" s="174">
        <f t="shared" si="63"/>
        <v>0</v>
      </c>
      <c r="P281" s="347">
        <f>O281/'D) Ecrêtage'!C281</f>
        <v>0</v>
      </c>
      <c r="Q281" s="167"/>
    </row>
    <row r="282" spans="1:17" x14ac:dyDescent="0.25">
      <c r="A282" s="165">
        <f>'A) Base RI'!A284</f>
        <v>5890</v>
      </c>
      <c r="B282" s="42" t="str">
        <f>'A) Base RI'!B284</f>
        <v>Vevey</v>
      </c>
      <c r="C282" s="41">
        <f>'D) Ecrêtage'!M282</f>
        <v>922155.6933561645</v>
      </c>
      <c r="D282" s="41">
        <v>5332471</v>
      </c>
      <c r="E282" s="14">
        <v>3217106</v>
      </c>
      <c r="F282" s="52">
        <v>151545</v>
      </c>
      <c r="G282" s="52">
        <f t="shared" si="60"/>
        <v>8701122</v>
      </c>
      <c r="H282" s="14">
        <f t="shared" si="56"/>
        <v>7377245.546849316</v>
      </c>
      <c r="I282" s="41">
        <f t="shared" si="61"/>
        <v>1323876.453150684</v>
      </c>
      <c r="J282" s="4">
        <f t="shared" si="57"/>
        <v>-950666.94649811112</v>
      </c>
      <c r="K282" s="19">
        <v>100000</v>
      </c>
      <c r="L282" s="14">
        <f t="shared" si="58"/>
        <v>922155.6933561645</v>
      </c>
      <c r="M282" s="19">
        <f t="shared" si="62"/>
        <v>0</v>
      </c>
      <c r="N282" s="4">
        <f t="shared" si="59"/>
        <v>0</v>
      </c>
      <c r="O282" s="174">
        <f t="shared" si="63"/>
        <v>-950666.94649811112</v>
      </c>
      <c r="P282" s="347">
        <f>O282/'D) Ecrêtage'!C282</f>
        <v>-1.0309180470796429</v>
      </c>
      <c r="Q282" s="167"/>
    </row>
    <row r="283" spans="1:17" x14ac:dyDescent="0.25">
      <c r="A283" s="165">
        <f>'A) Base RI'!A285</f>
        <v>5891</v>
      </c>
      <c r="B283" s="42" t="str">
        <f>'A) Base RI'!B285</f>
        <v>Veytaux</v>
      </c>
      <c r="C283" s="41">
        <f>'D) Ecrêtage'!M283</f>
        <v>37259.444879227056</v>
      </c>
      <c r="D283" s="41">
        <v>323250</v>
      </c>
      <c r="E283" s="14">
        <v>73067</v>
      </c>
      <c r="F283" s="52">
        <v>30000</v>
      </c>
      <c r="G283" s="52">
        <f t="shared" si="60"/>
        <v>426317</v>
      </c>
      <c r="H283" s="14">
        <f t="shared" si="56"/>
        <v>298075.55903381645</v>
      </c>
      <c r="I283" s="41">
        <f t="shared" si="61"/>
        <v>128241.44096618355</v>
      </c>
      <c r="J283" s="4">
        <f t="shared" si="57"/>
        <v>-92089.332662194502</v>
      </c>
      <c r="K283" s="19">
        <v>369589</v>
      </c>
      <c r="L283" s="14">
        <f t="shared" si="58"/>
        <v>37259.444879227056</v>
      </c>
      <c r="M283" s="19">
        <f t="shared" si="62"/>
        <v>332329.55512077291</v>
      </c>
      <c r="N283" s="4">
        <f t="shared" si="59"/>
        <v>-238643.6609291223</v>
      </c>
      <c r="O283" s="174">
        <f t="shared" si="63"/>
        <v>-330732.9935913168</v>
      </c>
      <c r="P283" s="347">
        <f>O283/'D) Ecrêtage'!C283</f>
        <v>-8.8764874158312423</v>
      </c>
      <c r="Q283" s="167"/>
    </row>
    <row r="284" spans="1:17" x14ac:dyDescent="0.25">
      <c r="A284" s="165">
        <f>'A) Base RI'!A286</f>
        <v>5902</v>
      </c>
      <c r="B284" s="42" t="str">
        <f>'A) Base RI'!B286</f>
        <v>Belmont-sur-Yverdon</v>
      </c>
      <c r="C284" s="41">
        <f>'D) Ecrêtage'!M284</f>
        <v>8642.2247368421067</v>
      </c>
      <c r="D284" s="41">
        <v>220132</v>
      </c>
      <c r="E284" s="14">
        <v>10760</v>
      </c>
      <c r="F284" s="52">
        <v>44808</v>
      </c>
      <c r="G284" s="52">
        <f t="shared" si="60"/>
        <v>275700</v>
      </c>
      <c r="H284" s="14">
        <f t="shared" si="56"/>
        <v>69137.797894736854</v>
      </c>
      <c r="I284" s="41">
        <f t="shared" si="61"/>
        <v>206562.20210526313</v>
      </c>
      <c r="J284" s="4">
        <f t="shared" si="57"/>
        <v>-148330.95450107314</v>
      </c>
      <c r="K284" s="19">
        <v>19525</v>
      </c>
      <c r="L284" s="14">
        <f t="shared" si="58"/>
        <v>8642.2247368421067</v>
      </c>
      <c r="M284" s="19">
        <f t="shared" si="62"/>
        <v>10882.775263157893</v>
      </c>
      <c r="N284" s="4">
        <f t="shared" si="59"/>
        <v>-7814.8491154362418</v>
      </c>
      <c r="O284" s="174">
        <f t="shared" si="63"/>
        <v>-156145.80361650937</v>
      </c>
      <c r="P284" s="347">
        <f>O284/'D) Ecrêtage'!C284</f>
        <v>-18.067778653204229</v>
      </c>
      <c r="Q284" s="167"/>
    </row>
    <row r="285" spans="1:17" x14ac:dyDescent="0.25">
      <c r="A285" s="165">
        <f>'A) Base RI'!A287</f>
        <v>5903</v>
      </c>
      <c r="B285" s="42" t="str">
        <f>'A) Base RI'!B287</f>
        <v>Bioley-Magnoux</v>
      </c>
      <c r="C285" s="41">
        <f>'D) Ecrêtage'!M285</f>
        <v>6046.5271621621623</v>
      </c>
      <c r="D285" s="41">
        <v>237260</v>
      </c>
      <c r="E285" s="14">
        <v>5907</v>
      </c>
      <c r="F285" s="52">
        <v>20271</v>
      </c>
      <c r="G285" s="52">
        <f t="shared" si="60"/>
        <v>263438</v>
      </c>
      <c r="H285" s="14">
        <f t="shared" si="56"/>
        <v>48372.217297297299</v>
      </c>
      <c r="I285" s="41">
        <f t="shared" si="61"/>
        <v>215065.78270270271</v>
      </c>
      <c r="J285" s="4">
        <f t="shared" si="57"/>
        <v>-154437.31962421528</v>
      </c>
      <c r="K285" s="19">
        <v>19625</v>
      </c>
      <c r="L285" s="14">
        <f t="shared" si="58"/>
        <v>6046.5271621621623</v>
      </c>
      <c r="M285" s="19">
        <f t="shared" si="62"/>
        <v>13578.472837837839</v>
      </c>
      <c r="N285" s="4">
        <f t="shared" si="59"/>
        <v>-9750.6117584716776</v>
      </c>
      <c r="O285" s="174">
        <f t="shared" si="63"/>
        <v>-164187.93138268695</v>
      </c>
      <c r="P285" s="347">
        <f>O285/'D) Ecrêtage'!C285</f>
        <v>-27.154088120225264</v>
      </c>
      <c r="Q285" s="167"/>
    </row>
    <row r="286" spans="1:17" x14ac:dyDescent="0.25">
      <c r="A286" s="165">
        <f>'A) Base RI'!A288</f>
        <v>5904</v>
      </c>
      <c r="B286" s="42" t="str">
        <f>'A) Base RI'!B288</f>
        <v>Chamblon</v>
      </c>
      <c r="C286" s="41">
        <f>'D) Ecrêtage'!M286</f>
        <v>20170.434545454544</v>
      </c>
      <c r="D286" s="41">
        <v>82890</v>
      </c>
      <c r="E286" s="14">
        <v>17862</v>
      </c>
      <c r="F286" s="52">
        <v>23762</v>
      </c>
      <c r="G286" s="52">
        <f t="shared" si="60"/>
        <v>124514</v>
      </c>
      <c r="H286" s="14">
        <f t="shared" si="56"/>
        <v>161363.47636363635</v>
      </c>
      <c r="I286" s="41">
        <f t="shared" si="61"/>
        <v>0</v>
      </c>
      <c r="J286" s="4">
        <f t="shared" si="57"/>
        <v>0</v>
      </c>
      <c r="K286" s="19">
        <v>651</v>
      </c>
      <c r="L286" s="14">
        <f t="shared" si="58"/>
        <v>20170.434545454544</v>
      </c>
      <c r="M286" s="19">
        <f t="shared" si="62"/>
        <v>0</v>
      </c>
      <c r="N286" s="4">
        <f t="shared" si="59"/>
        <v>0</v>
      </c>
      <c r="O286" s="174">
        <f t="shared" si="63"/>
        <v>0</v>
      </c>
      <c r="P286" s="347">
        <f>O286/'D) Ecrêtage'!C286</f>
        <v>0</v>
      </c>
      <c r="Q286" s="167"/>
    </row>
    <row r="287" spans="1:17" x14ac:dyDescent="0.25">
      <c r="A287" s="165">
        <f>'A) Base RI'!A289</f>
        <v>5905</v>
      </c>
      <c r="B287" s="42" t="str">
        <f>'A) Base RI'!B289</f>
        <v>Champvent</v>
      </c>
      <c r="C287" s="41">
        <f>'D) Ecrêtage'!M287</f>
        <v>18220.765633802814</v>
      </c>
      <c r="D287" s="41">
        <v>56855</v>
      </c>
      <c r="E287" s="14">
        <v>45210</v>
      </c>
      <c r="F287" s="52">
        <v>115668</v>
      </c>
      <c r="G287" s="52">
        <f t="shared" si="60"/>
        <v>217733</v>
      </c>
      <c r="H287" s="14">
        <f t="shared" si="56"/>
        <v>145766.12507042251</v>
      </c>
      <c r="I287" s="41">
        <f t="shared" si="61"/>
        <v>71966.874929577491</v>
      </c>
      <c r="J287" s="4">
        <f t="shared" si="57"/>
        <v>-51678.938072724908</v>
      </c>
      <c r="K287" s="19">
        <v>72674</v>
      </c>
      <c r="L287" s="14">
        <f t="shared" si="58"/>
        <v>18220.765633802814</v>
      </c>
      <c r="M287" s="19">
        <f t="shared" si="62"/>
        <v>54453.234366197183</v>
      </c>
      <c r="N287" s="4">
        <f t="shared" si="59"/>
        <v>-39102.508333507278</v>
      </c>
      <c r="O287" s="174">
        <f t="shared" si="63"/>
        <v>-90781.446406232193</v>
      </c>
      <c r="P287" s="347">
        <f>O287/'D) Ecrêtage'!C287</f>
        <v>-4.9823069036032273</v>
      </c>
      <c r="Q287" s="167"/>
    </row>
    <row r="288" spans="1:17" x14ac:dyDescent="0.25">
      <c r="A288" s="165">
        <f>'A) Base RI'!A290</f>
        <v>5907</v>
      </c>
      <c r="B288" s="42" t="str">
        <f>'A) Base RI'!B290</f>
        <v>Chavannes-le-Chêne</v>
      </c>
      <c r="C288" s="41">
        <f>'D) Ecrêtage'!M288</f>
        <v>6951.74782051282</v>
      </c>
      <c r="D288" s="41">
        <v>141256</v>
      </c>
      <c r="E288" s="14">
        <v>8258</v>
      </c>
      <c r="F288" s="52">
        <v>24528</v>
      </c>
      <c r="G288" s="52">
        <f t="shared" si="60"/>
        <v>174042</v>
      </c>
      <c r="H288" s="14">
        <f t="shared" si="56"/>
        <v>55613.98256410256</v>
      </c>
      <c r="I288" s="41">
        <f t="shared" si="61"/>
        <v>118428.01743589743</v>
      </c>
      <c r="J288" s="4">
        <f t="shared" si="57"/>
        <v>-85042.377970896006</v>
      </c>
      <c r="K288" s="19">
        <v>12206</v>
      </c>
      <c r="L288" s="14">
        <f t="shared" si="58"/>
        <v>6951.74782051282</v>
      </c>
      <c r="M288" s="19">
        <f t="shared" si="62"/>
        <v>5254.25217948718</v>
      </c>
      <c r="N288" s="4">
        <f t="shared" si="59"/>
        <v>-3773.0438242303153</v>
      </c>
      <c r="O288" s="174">
        <f t="shared" si="63"/>
        <v>-88815.421795126327</v>
      </c>
      <c r="P288" s="347">
        <f>O288/'D) Ecrêtage'!C288</f>
        <v>-12.775984412589716</v>
      </c>
      <c r="Q288" s="167"/>
    </row>
    <row r="289" spans="1:17" x14ac:dyDescent="0.25">
      <c r="A289" s="165">
        <f>'A) Base RI'!A291</f>
        <v>5908</v>
      </c>
      <c r="B289" s="42" t="str">
        <f>'A) Base RI'!B291</f>
        <v>Chêne-Pâquier</v>
      </c>
      <c r="C289" s="41">
        <f>'D) Ecrêtage'!M289</f>
        <v>2899.0017721518989</v>
      </c>
      <c r="D289" s="41">
        <v>12432</v>
      </c>
      <c r="E289" s="14">
        <v>3979</v>
      </c>
      <c r="F289" s="52">
        <v>11605</v>
      </c>
      <c r="G289" s="52">
        <f t="shared" si="60"/>
        <v>28016</v>
      </c>
      <c r="H289" s="14">
        <f t="shared" si="56"/>
        <v>23192.014177215191</v>
      </c>
      <c r="I289" s="41">
        <f t="shared" si="61"/>
        <v>4823.985822784809</v>
      </c>
      <c r="J289" s="4">
        <f t="shared" si="57"/>
        <v>-3464.0723922408429</v>
      </c>
      <c r="K289" s="19">
        <v>40203</v>
      </c>
      <c r="L289" s="14">
        <f t="shared" si="58"/>
        <v>2899.0017721518989</v>
      </c>
      <c r="M289" s="19">
        <f t="shared" si="62"/>
        <v>37303.998227848104</v>
      </c>
      <c r="N289" s="4">
        <f t="shared" si="59"/>
        <v>-26787.755007681837</v>
      </c>
      <c r="O289" s="174">
        <f t="shared" si="63"/>
        <v>-30251.82739992268</v>
      </c>
      <c r="P289" s="347">
        <f>O289/'D) Ecrêtage'!C289</f>
        <v>-10.435256608162424</v>
      </c>
      <c r="Q289" s="167"/>
    </row>
    <row r="290" spans="1:17" x14ac:dyDescent="0.25">
      <c r="A290" s="165">
        <f>'A) Base RI'!A292</f>
        <v>5909</v>
      </c>
      <c r="B290" s="42" t="str">
        <f>'A) Base RI'!B292</f>
        <v>Cheseaux-Noréaz</v>
      </c>
      <c r="C290" s="41">
        <f>'D) Ecrêtage'!M290</f>
        <v>22661.846714285719</v>
      </c>
      <c r="D290" s="41">
        <v>220816</v>
      </c>
      <c r="E290" s="14">
        <v>102486</v>
      </c>
      <c r="F290" s="52">
        <v>38916</v>
      </c>
      <c r="G290" s="52">
        <f t="shared" si="60"/>
        <v>362218</v>
      </c>
      <c r="H290" s="14">
        <f t="shared" si="56"/>
        <v>181294.77371428575</v>
      </c>
      <c r="I290" s="41">
        <f t="shared" si="61"/>
        <v>180923.22628571425</v>
      </c>
      <c r="J290" s="4">
        <f t="shared" si="57"/>
        <v>-129919.77512273943</v>
      </c>
      <c r="K290" s="19">
        <v>6716</v>
      </c>
      <c r="L290" s="14">
        <f t="shared" si="58"/>
        <v>22661.846714285719</v>
      </c>
      <c r="M290" s="19">
        <f t="shared" si="62"/>
        <v>0</v>
      </c>
      <c r="N290" s="4">
        <f t="shared" si="59"/>
        <v>0</v>
      </c>
      <c r="O290" s="174">
        <f t="shared" si="63"/>
        <v>-129919.77512273943</v>
      </c>
      <c r="P290" s="347">
        <f>O290/'D) Ecrêtage'!C290</f>
        <v>-5.7329738728150419</v>
      </c>
      <c r="Q290" s="167"/>
    </row>
    <row r="291" spans="1:17" x14ac:dyDescent="0.25">
      <c r="A291" s="165">
        <f>'A) Base RI'!A293</f>
        <v>5910</v>
      </c>
      <c r="B291" s="42" t="str">
        <f>'A) Base RI'!B293</f>
        <v>Cronay</v>
      </c>
      <c r="C291" s="41">
        <f>'D) Ecrêtage'!M291</f>
        <v>10409.753209876544</v>
      </c>
      <c r="D291" s="41">
        <v>25949</v>
      </c>
      <c r="E291" s="14">
        <v>15914</v>
      </c>
      <c r="F291" s="52">
        <v>28345</v>
      </c>
      <c r="G291" s="52">
        <f t="shared" si="60"/>
        <v>70208</v>
      </c>
      <c r="H291" s="14">
        <f t="shared" si="56"/>
        <v>83278.025679012353</v>
      </c>
      <c r="I291" s="41">
        <f t="shared" si="61"/>
        <v>0</v>
      </c>
      <c r="J291" s="4">
        <f t="shared" si="57"/>
        <v>0</v>
      </c>
      <c r="K291" s="19">
        <v>147410</v>
      </c>
      <c r="L291" s="14">
        <f t="shared" si="58"/>
        <v>10409.753209876544</v>
      </c>
      <c r="M291" s="19">
        <f t="shared" si="62"/>
        <v>137000.24679012346</v>
      </c>
      <c r="N291" s="4">
        <f t="shared" si="59"/>
        <v>-98378.973336592899</v>
      </c>
      <c r="O291" s="174">
        <f t="shared" si="63"/>
        <v>-98378.973336592899</v>
      </c>
      <c r="P291" s="347">
        <f>O291/'D) Ecrêtage'!C291</f>
        <v>-9.4506537622095692</v>
      </c>
      <c r="Q291" s="167"/>
    </row>
    <row r="292" spans="1:17" x14ac:dyDescent="0.25">
      <c r="A292" s="165">
        <f>'A) Base RI'!A294</f>
        <v>5911</v>
      </c>
      <c r="B292" s="42" t="str">
        <f>'A) Base RI'!B294</f>
        <v>Cuarny</v>
      </c>
      <c r="C292" s="41">
        <f>'D) Ecrêtage'!M292</f>
        <v>6783.6280246913584</v>
      </c>
      <c r="D292" s="41">
        <v>17141</v>
      </c>
      <c r="E292" s="14">
        <v>6148</v>
      </c>
      <c r="F292" s="52">
        <v>16235</v>
      </c>
      <c r="G292" s="52">
        <f t="shared" si="60"/>
        <v>39524</v>
      </c>
      <c r="H292" s="14">
        <f t="shared" si="56"/>
        <v>54269.024197530867</v>
      </c>
      <c r="I292" s="41">
        <f t="shared" si="61"/>
        <v>0</v>
      </c>
      <c r="J292" s="4">
        <f t="shared" si="57"/>
        <v>0</v>
      </c>
      <c r="K292" s="19">
        <v>15375</v>
      </c>
      <c r="L292" s="14">
        <f t="shared" si="58"/>
        <v>6783.6280246913584</v>
      </c>
      <c r="M292" s="19">
        <f t="shared" si="62"/>
        <v>8591.3719753086407</v>
      </c>
      <c r="N292" s="4">
        <f t="shared" si="59"/>
        <v>-6169.4075323707566</v>
      </c>
      <c r="O292" s="174">
        <f t="shared" si="63"/>
        <v>-6169.4075323707566</v>
      </c>
      <c r="P292" s="347">
        <f>O292/'D) Ecrêtage'!C292</f>
        <v>-0.90945545804030914</v>
      </c>
      <c r="Q292" s="167"/>
    </row>
    <row r="293" spans="1:17" x14ac:dyDescent="0.25">
      <c r="A293" s="165">
        <f>'A) Base RI'!A295</f>
        <v>5912</v>
      </c>
      <c r="B293" s="42" t="str">
        <f>'A) Base RI'!B295</f>
        <v>Démoret</v>
      </c>
      <c r="C293" s="41">
        <f>'D) Ecrêtage'!M293</f>
        <v>3146.6025925925924</v>
      </c>
      <c r="D293" s="41">
        <v>23813</v>
      </c>
      <c r="E293" s="14">
        <v>3797</v>
      </c>
      <c r="F293" s="52">
        <v>7602</v>
      </c>
      <c r="G293" s="52">
        <f t="shared" si="60"/>
        <v>35212</v>
      </c>
      <c r="H293" s="14">
        <f t="shared" si="56"/>
        <v>25172.820740740739</v>
      </c>
      <c r="I293" s="41">
        <f t="shared" si="61"/>
        <v>10039.179259259261</v>
      </c>
      <c r="J293" s="4">
        <f t="shared" si="57"/>
        <v>-7209.0683908106939</v>
      </c>
      <c r="K293" s="19">
        <v>31125</v>
      </c>
      <c r="L293" s="14">
        <f t="shared" si="58"/>
        <v>3146.6025925925924</v>
      </c>
      <c r="M293" s="19">
        <f t="shared" si="62"/>
        <v>27978.397407407407</v>
      </c>
      <c r="N293" s="4">
        <f t="shared" si="59"/>
        <v>-20091.102585826608</v>
      </c>
      <c r="O293" s="174">
        <f t="shared" si="63"/>
        <v>-27300.170976637302</v>
      </c>
      <c r="P293" s="347">
        <f>O293/'D) Ecrêtage'!C293</f>
        <v>-8.6760784602747592</v>
      </c>
      <c r="Q293" s="167"/>
    </row>
    <row r="294" spans="1:17" x14ac:dyDescent="0.25">
      <c r="A294" s="165">
        <f>'A) Base RI'!A296</f>
        <v>5913</v>
      </c>
      <c r="B294" s="42" t="str">
        <f>'A) Base RI'!B296</f>
        <v>Donneloye</v>
      </c>
      <c r="C294" s="41">
        <f>'D) Ecrêtage'!M294</f>
        <v>23116.238767123283</v>
      </c>
      <c r="D294" s="41">
        <v>106204</v>
      </c>
      <c r="E294" s="14">
        <v>21942</v>
      </c>
      <c r="F294" s="52">
        <v>73419</v>
      </c>
      <c r="G294" s="52">
        <f t="shared" si="60"/>
        <v>201565</v>
      </c>
      <c r="H294" s="14">
        <f t="shared" si="56"/>
        <v>184929.91013698626</v>
      </c>
      <c r="I294" s="41">
        <f t="shared" si="61"/>
        <v>16635.089863013738</v>
      </c>
      <c r="J294" s="4">
        <f t="shared" si="57"/>
        <v>-11945.548277678256</v>
      </c>
      <c r="K294" s="19">
        <v>44323</v>
      </c>
      <c r="L294" s="14">
        <f t="shared" si="58"/>
        <v>23116.238767123283</v>
      </c>
      <c r="M294" s="19">
        <f t="shared" si="62"/>
        <v>21206.761232876717</v>
      </c>
      <c r="N294" s="4">
        <f t="shared" si="59"/>
        <v>-15228.435325965227</v>
      </c>
      <c r="O294" s="174">
        <f t="shared" si="63"/>
        <v>-27173.983603643483</v>
      </c>
      <c r="P294" s="347">
        <f>O294/'D) Ecrêtage'!C294</f>
        <v>-1.1755365514865361</v>
      </c>
      <c r="Q294" s="167"/>
    </row>
    <row r="295" spans="1:17" x14ac:dyDescent="0.25">
      <c r="A295" s="165">
        <f>'A) Base RI'!A297</f>
        <v>5914</v>
      </c>
      <c r="B295" s="42" t="str">
        <f>'A) Base RI'!B297</f>
        <v>Ependes</v>
      </c>
      <c r="C295" s="41">
        <f>'D) Ecrêtage'!M295</f>
        <v>8750.2923999999985</v>
      </c>
      <c r="D295" s="41">
        <v>33368</v>
      </c>
      <c r="E295" s="14">
        <v>25920</v>
      </c>
      <c r="F295" s="52">
        <v>44664</v>
      </c>
      <c r="G295" s="52">
        <f t="shared" si="60"/>
        <v>103952</v>
      </c>
      <c r="H295" s="14">
        <f t="shared" si="56"/>
        <v>70002.339199999988</v>
      </c>
      <c r="I295" s="41">
        <f t="shared" si="61"/>
        <v>33949.660800000012</v>
      </c>
      <c r="J295" s="4">
        <f t="shared" si="57"/>
        <v>-24379.027431579449</v>
      </c>
      <c r="K295" s="19">
        <v>16310</v>
      </c>
      <c r="L295" s="14">
        <f t="shared" si="58"/>
        <v>8750.2923999999985</v>
      </c>
      <c r="M295" s="19">
        <f t="shared" si="62"/>
        <v>7559.7076000000015</v>
      </c>
      <c r="N295" s="4">
        <f t="shared" si="59"/>
        <v>-5428.5761510500752</v>
      </c>
      <c r="O295" s="174">
        <f t="shared" si="63"/>
        <v>-29807.603582629523</v>
      </c>
      <c r="P295" s="347">
        <f>O295/'D) Ecrêtage'!C295</f>
        <v>-3.4064694321105806</v>
      </c>
      <c r="Q295" s="167"/>
    </row>
    <row r="296" spans="1:17" x14ac:dyDescent="0.25">
      <c r="A296" s="165">
        <f>'A) Base RI'!A298</f>
        <v>5919</v>
      </c>
      <c r="B296" s="42" t="str">
        <f>'A) Base RI'!B298</f>
        <v>Mathod</v>
      </c>
      <c r="C296" s="41">
        <f>'D) Ecrêtage'!M296</f>
        <v>16260.723851351351</v>
      </c>
      <c r="D296" s="41">
        <v>176588</v>
      </c>
      <c r="E296" s="14">
        <v>24956</v>
      </c>
      <c r="F296" s="52">
        <v>31468</v>
      </c>
      <c r="G296" s="52">
        <f t="shared" si="60"/>
        <v>233012</v>
      </c>
      <c r="H296" s="14">
        <f t="shared" si="56"/>
        <v>130085.79081081081</v>
      </c>
      <c r="I296" s="41">
        <f t="shared" si="61"/>
        <v>102926.20918918919</v>
      </c>
      <c r="J296" s="4">
        <f t="shared" si="57"/>
        <v>-73910.631744860526</v>
      </c>
      <c r="K296" s="19">
        <v>19557</v>
      </c>
      <c r="L296" s="14">
        <f t="shared" si="58"/>
        <v>16260.723851351351</v>
      </c>
      <c r="M296" s="19">
        <f t="shared" si="62"/>
        <v>3296.2761486486488</v>
      </c>
      <c r="N296" s="4">
        <f t="shared" si="59"/>
        <v>-2367.0341545788415</v>
      </c>
      <c r="O296" s="174">
        <f t="shared" si="63"/>
        <v>-76277.665899439366</v>
      </c>
      <c r="P296" s="347">
        <f>O296/'D) Ecrêtage'!C296</f>
        <v>-4.6909145371840442</v>
      </c>
      <c r="Q296" s="167"/>
    </row>
    <row r="297" spans="1:17" x14ac:dyDescent="0.25">
      <c r="A297" s="165">
        <f>'A) Base RI'!A299</f>
        <v>5921</v>
      </c>
      <c r="B297" s="42" t="str">
        <f>'A) Base RI'!B299</f>
        <v>Molondin</v>
      </c>
      <c r="C297" s="41">
        <f>'D) Ecrêtage'!M297</f>
        <v>4932.1140740740739</v>
      </c>
      <c r="D297" s="41">
        <v>46260</v>
      </c>
      <c r="E297" s="14">
        <v>6872</v>
      </c>
      <c r="F297" s="52">
        <v>16148</v>
      </c>
      <c r="G297" s="52">
        <f t="shared" si="60"/>
        <v>69280</v>
      </c>
      <c r="H297" s="14">
        <f t="shared" si="56"/>
        <v>39456.912592592591</v>
      </c>
      <c r="I297" s="41">
        <f t="shared" si="61"/>
        <v>29823.087407407409</v>
      </c>
      <c r="J297" s="4">
        <f t="shared" si="57"/>
        <v>-21415.76230415759</v>
      </c>
      <c r="K297" s="19">
        <v>52038</v>
      </c>
      <c r="L297" s="14">
        <f t="shared" si="58"/>
        <v>4932.1140740740739</v>
      </c>
      <c r="M297" s="19">
        <f t="shared" si="62"/>
        <v>47105.885925925926</v>
      </c>
      <c r="N297" s="4">
        <f t="shared" si="59"/>
        <v>-33826.425893981243</v>
      </c>
      <c r="O297" s="174">
        <f t="shared" si="63"/>
        <v>-55242.188198138829</v>
      </c>
      <c r="P297" s="347">
        <f>O297/'D) Ecrêtage'!C297</f>
        <v>-11.20050902482617</v>
      </c>
      <c r="Q297" s="167"/>
    </row>
    <row r="298" spans="1:17" x14ac:dyDescent="0.25">
      <c r="A298" s="165">
        <f>'A) Base RI'!A300</f>
        <v>5922</v>
      </c>
      <c r="B298" s="42" t="str">
        <f>'A) Base RI'!B300</f>
        <v>Montagny-près-Yverdon</v>
      </c>
      <c r="C298" s="41">
        <f>'D) Ecrêtage'!M298</f>
        <v>50302.260950596246</v>
      </c>
      <c r="D298" s="41">
        <v>110484</v>
      </c>
      <c r="E298" s="14">
        <v>273561</v>
      </c>
      <c r="F298" s="52">
        <v>103851</v>
      </c>
      <c r="G298" s="52">
        <f t="shared" si="60"/>
        <v>487896</v>
      </c>
      <c r="H298" s="14">
        <f t="shared" si="56"/>
        <v>402418.08760476997</v>
      </c>
      <c r="I298" s="41">
        <f t="shared" si="61"/>
        <v>85477.912395230029</v>
      </c>
      <c r="J298" s="4">
        <f t="shared" si="57"/>
        <v>-61381.124935347136</v>
      </c>
      <c r="K298" s="19">
        <v>4256</v>
      </c>
      <c r="L298" s="14">
        <f t="shared" si="58"/>
        <v>50302.260950596246</v>
      </c>
      <c r="M298" s="19">
        <f t="shared" si="62"/>
        <v>0</v>
      </c>
      <c r="N298" s="4">
        <f t="shared" si="59"/>
        <v>0</v>
      </c>
      <c r="O298" s="174">
        <f t="shared" si="63"/>
        <v>-61381.124935347136</v>
      </c>
      <c r="P298" s="347">
        <f>O298/'D) Ecrêtage'!C298</f>
        <v>-1.1309452197250105</v>
      </c>
      <c r="Q298" s="167"/>
    </row>
    <row r="299" spans="1:17" x14ac:dyDescent="0.25">
      <c r="A299" s="165">
        <f>'A) Base RI'!A301</f>
        <v>5923</v>
      </c>
      <c r="B299" s="42" t="str">
        <f>'A) Base RI'!B301</f>
        <v>Oppens</v>
      </c>
      <c r="C299" s="41">
        <f>'D) Ecrêtage'!M299</f>
        <v>4902.1274074074072</v>
      </c>
      <c r="D299" s="41">
        <v>40474</v>
      </c>
      <c r="E299" s="14">
        <v>7957</v>
      </c>
      <c r="F299" s="52">
        <v>17750</v>
      </c>
      <c r="G299" s="52">
        <f t="shared" si="60"/>
        <v>66181</v>
      </c>
      <c r="H299" s="14">
        <f t="shared" si="56"/>
        <v>39217.019259259258</v>
      </c>
      <c r="I299" s="41">
        <f t="shared" si="61"/>
        <v>26963.980740740742</v>
      </c>
      <c r="J299" s="4">
        <f t="shared" si="57"/>
        <v>-19362.656670286917</v>
      </c>
      <c r="K299" s="19">
        <v>25440</v>
      </c>
      <c r="L299" s="14">
        <f t="shared" si="58"/>
        <v>4902.1274074074072</v>
      </c>
      <c r="M299" s="19">
        <f t="shared" si="62"/>
        <v>20537.872592592594</v>
      </c>
      <c r="N299" s="4">
        <f t="shared" si="59"/>
        <v>-14748.110806488481</v>
      </c>
      <c r="O299" s="174">
        <f t="shared" si="63"/>
        <v>-34110.7674767754</v>
      </c>
      <c r="P299" s="347">
        <f>O299/'D) Ecrêtage'!C299</f>
        <v>-6.9583600428728136</v>
      </c>
      <c r="Q299" s="167"/>
    </row>
    <row r="300" spans="1:17" x14ac:dyDescent="0.25">
      <c r="A300" s="165">
        <f>'A) Base RI'!A302</f>
        <v>5924</v>
      </c>
      <c r="B300" s="42" t="str">
        <f>'A) Base RI'!B302</f>
        <v>Orges</v>
      </c>
      <c r="C300" s="41">
        <f>'D) Ecrêtage'!M300</f>
        <v>9002.8555405405405</v>
      </c>
      <c r="D300" s="41">
        <v>30441</v>
      </c>
      <c r="E300" s="14">
        <v>8258</v>
      </c>
      <c r="F300" s="52">
        <v>27741</v>
      </c>
      <c r="G300" s="52">
        <f t="shared" si="60"/>
        <v>66440</v>
      </c>
      <c r="H300" s="14">
        <f t="shared" si="56"/>
        <v>72022.844324324324</v>
      </c>
      <c r="I300" s="41">
        <f t="shared" si="61"/>
        <v>0</v>
      </c>
      <c r="J300" s="4">
        <f t="shared" si="57"/>
        <v>0</v>
      </c>
      <c r="K300" s="19">
        <v>5908</v>
      </c>
      <c r="L300" s="14">
        <f t="shared" si="58"/>
        <v>9002.8555405405405</v>
      </c>
      <c r="M300" s="19">
        <f t="shared" si="62"/>
        <v>0</v>
      </c>
      <c r="N300" s="4">
        <f t="shared" si="59"/>
        <v>0</v>
      </c>
      <c r="O300" s="174">
        <f t="shared" si="63"/>
        <v>0</v>
      </c>
      <c r="P300" s="347">
        <f>O300/'D) Ecrêtage'!C300</f>
        <v>0</v>
      </c>
      <c r="Q300" s="167"/>
    </row>
    <row r="301" spans="1:17" x14ac:dyDescent="0.25">
      <c r="A301" s="165">
        <f>'A) Base RI'!A303</f>
        <v>5925</v>
      </c>
      <c r="B301" s="42" t="str">
        <f>'A) Base RI'!B303</f>
        <v>Orzens</v>
      </c>
      <c r="C301" s="41">
        <f>'D) Ecrêtage'!M301</f>
        <v>5053.7527848101263</v>
      </c>
      <c r="D301" s="41">
        <v>16723</v>
      </c>
      <c r="E301" s="14">
        <v>8906</v>
      </c>
      <c r="F301" s="52">
        <v>19867</v>
      </c>
      <c r="G301" s="52">
        <f t="shared" si="60"/>
        <v>45496</v>
      </c>
      <c r="H301" s="14">
        <f t="shared" si="56"/>
        <v>40430.02227848101</v>
      </c>
      <c r="I301" s="41">
        <f t="shared" si="61"/>
        <v>5065.9777215189897</v>
      </c>
      <c r="J301" s="4">
        <f t="shared" si="57"/>
        <v>-3637.8451781374429</v>
      </c>
      <c r="K301" s="19">
        <v>14843</v>
      </c>
      <c r="L301" s="14">
        <f t="shared" si="58"/>
        <v>5053.7527848101263</v>
      </c>
      <c r="M301" s="19">
        <f t="shared" si="62"/>
        <v>9789.2472151898728</v>
      </c>
      <c r="N301" s="4">
        <f t="shared" si="59"/>
        <v>-7029.5938389353969</v>
      </c>
      <c r="O301" s="174">
        <f t="shared" si="63"/>
        <v>-10667.43901707284</v>
      </c>
      <c r="P301" s="347">
        <f>O301/'D) Ecrêtage'!C301</f>
        <v>-2.1107955753466134</v>
      </c>
      <c r="Q301" s="167"/>
    </row>
    <row r="302" spans="1:17" x14ac:dyDescent="0.25">
      <c r="A302" s="165">
        <f>'A) Base RI'!A304</f>
        <v>5926</v>
      </c>
      <c r="B302" s="42" t="str">
        <f>'A) Base RI'!B304</f>
        <v>Pomy</v>
      </c>
      <c r="C302" s="41">
        <f>'D) Ecrêtage'!M302</f>
        <v>21029.126197183101</v>
      </c>
      <c r="D302" s="41">
        <v>408851</v>
      </c>
      <c r="E302" s="14">
        <v>33229</v>
      </c>
      <c r="F302" s="52">
        <v>76575</v>
      </c>
      <c r="G302" s="52">
        <f t="shared" si="60"/>
        <v>518655</v>
      </c>
      <c r="H302" s="14">
        <f t="shared" si="56"/>
        <v>168233.00957746481</v>
      </c>
      <c r="I302" s="41">
        <f t="shared" si="61"/>
        <v>350421.99042253522</v>
      </c>
      <c r="J302" s="4">
        <f t="shared" si="57"/>
        <v>-251635.71935127123</v>
      </c>
      <c r="K302" s="19">
        <v>58277</v>
      </c>
      <c r="L302" s="14">
        <f t="shared" si="58"/>
        <v>21029.126197183101</v>
      </c>
      <c r="M302" s="19">
        <f t="shared" si="62"/>
        <v>37247.873802816903</v>
      </c>
      <c r="N302" s="4">
        <f t="shared" si="59"/>
        <v>-26747.452428357767</v>
      </c>
      <c r="O302" s="174">
        <f t="shared" si="63"/>
        <v>-278383.17177962902</v>
      </c>
      <c r="P302" s="347">
        <f>O302/'D) Ecrêtage'!C302</f>
        <v>-13.237980939831873</v>
      </c>
      <c r="Q302" s="167"/>
    </row>
    <row r="303" spans="1:17" x14ac:dyDescent="0.25">
      <c r="A303" s="165">
        <f>'A) Base RI'!A305</f>
        <v>5928</v>
      </c>
      <c r="B303" s="42" t="str">
        <f>'A) Base RI'!B305</f>
        <v>Rovray</v>
      </c>
      <c r="C303" s="41">
        <f>'D) Ecrêtage'!M303</f>
        <v>4897.1457333333328</v>
      </c>
      <c r="D303" s="41">
        <v>28600</v>
      </c>
      <c r="E303" s="14">
        <v>4973</v>
      </c>
      <c r="F303" s="52">
        <v>14682</v>
      </c>
      <c r="G303" s="52">
        <f t="shared" si="60"/>
        <v>48255</v>
      </c>
      <c r="H303" s="14">
        <f t="shared" si="56"/>
        <v>39177.165866666663</v>
      </c>
      <c r="I303" s="41">
        <f t="shared" si="61"/>
        <v>9077.8341333333374</v>
      </c>
      <c r="J303" s="4">
        <f t="shared" si="57"/>
        <v>-6518.7327985280372</v>
      </c>
      <c r="K303" s="19">
        <v>2946</v>
      </c>
      <c r="L303" s="14">
        <f t="shared" si="58"/>
        <v>4897.1457333333328</v>
      </c>
      <c r="M303" s="19">
        <f t="shared" si="62"/>
        <v>0</v>
      </c>
      <c r="N303" s="4">
        <f t="shared" si="59"/>
        <v>0</v>
      </c>
      <c r="O303" s="174">
        <f t="shared" si="63"/>
        <v>-6518.7327985280372</v>
      </c>
      <c r="P303" s="347">
        <f>O303/'D) Ecrêtage'!C303</f>
        <v>-1.3311290195341892</v>
      </c>
      <c r="Q303" s="167"/>
    </row>
    <row r="304" spans="1:17" x14ac:dyDescent="0.25">
      <c r="A304" s="165">
        <f>'A) Base RI'!A306</f>
        <v>5929</v>
      </c>
      <c r="B304" s="42" t="str">
        <f>'A) Base RI'!B306</f>
        <v>Suchy</v>
      </c>
      <c r="C304" s="41">
        <f>'D) Ecrêtage'!M304</f>
        <v>16083.913284313729</v>
      </c>
      <c r="D304" s="41">
        <v>33797</v>
      </c>
      <c r="E304" s="14">
        <v>15824</v>
      </c>
      <c r="F304" s="52">
        <v>75421</v>
      </c>
      <c r="G304" s="52">
        <f t="shared" si="60"/>
        <v>125042</v>
      </c>
      <c r="H304" s="14">
        <f t="shared" si="56"/>
        <v>128671.30627450983</v>
      </c>
      <c r="I304" s="41">
        <f t="shared" si="61"/>
        <v>0</v>
      </c>
      <c r="J304" s="4">
        <f t="shared" si="57"/>
        <v>0</v>
      </c>
      <c r="K304" s="19">
        <v>37860</v>
      </c>
      <c r="L304" s="14">
        <f t="shared" si="58"/>
        <v>16083.913284313729</v>
      </c>
      <c r="M304" s="19">
        <f t="shared" si="62"/>
        <v>21776.086715686273</v>
      </c>
      <c r="N304" s="4">
        <f t="shared" si="59"/>
        <v>-15637.264198945053</v>
      </c>
      <c r="O304" s="174">
        <f t="shared" si="63"/>
        <v>-15637.264198945053</v>
      </c>
      <c r="P304" s="347">
        <f>O304/'D) Ecrêtage'!C304</f>
        <v>-0.9722300737716435</v>
      </c>
      <c r="Q304" s="167"/>
    </row>
    <row r="305" spans="1:17" x14ac:dyDescent="0.25">
      <c r="A305" s="165">
        <f>'A) Base RI'!A307</f>
        <v>5930</v>
      </c>
      <c r="B305" s="42" t="str">
        <f>'A) Base RI'!B307</f>
        <v>Suscévaz</v>
      </c>
      <c r="C305" s="41">
        <f>'D) Ecrêtage'!M305</f>
        <v>5208.083787878787</v>
      </c>
      <c r="D305" s="41">
        <v>8212</v>
      </c>
      <c r="E305" s="14">
        <v>8997</v>
      </c>
      <c r="F305" s="52">
        <v>8911</v>
      </c>
      <c r="G305" s="52">
        <f t="shared" si="60"/>
        <v>26120</v>
      </c>
      <c r="H305" s="14">
        <f t="shared" si="56"/>
        <v>41664.670303030296</v>
      </c>
      <c r="I305" s="41">
        <f t="shared" si="61"/>
        <v>0</v>
      </c>
      <c r="J305" s="4">
        <f t="shared" si="57"/>
        <v>0</v>
      </c>
      <c r="K305" s="19">
        <v>-764</v>
      </c>
      <c r="L305" s="14">
        <f t="shared" si="58"/>
        <v>5208.083787878787</v>
      </c>
      <c r="M305" s="19">
        <f t="shared" si="62"/>
        <v>0</v>
      </c>
      <c r="N305" s="4">
        <f t="shared" si="59"/>
        <v>0</v>
      </c>
      <c r="O305" s="174">
        <f t="shared" si="63"/>
        <v>0</v>
      </c>
      <c r="P305" s="347">
        <f>O305/'D) Ecrêtage'!C305</f>
        <v>0</v>
      </c>
      <c r="Q305" s="167"/>
    </row>
    <row r="306" spans="1:17" x14ac:dyDescent="0.25">
      <c r="A306" s="165">
        <f>'A) Base RI'!A308</f>
        <v>5931</v>
      </c>
      <c r="B306" s="42" t="str">
        <f>'A) Base RI'!B308</f>
        <v>Treycovagnes</v>
      </c>
      <c r="C306" s="41">
        <f>'D) Ecrêtage'!M306</f>
        <v>13922.074155844155</v>
      </c>
      <c r="D306" s="41">
        <v>69140</v>
      </c>
      <c r="E306" s="14">
        <v>21294</v>
      </c>
      <c r="F306" s="52">
        <v>20053</v>
      </c>
      <c r="G306" s="52">
        <f t="shared" si="60"/>
        <v>110487</v>
      </c>
      <c r="H306" s="14">
        <f t="shared" si="56"/>
        <v>111376.59324675324</v>
      </c>
      <c r="I306" s="41">
        <f t="shared" si="61"/>
        <v>0</v>
      </c>
      <c r="J306" s="4">
        <f t="shared" si="57"/>
        <v>0</v>
      </c>
      <c r="K306" s="19">
        <v>1451</v>
      </c>
      <c r="L306" s="14">
        <f t="shared" si="58"/>
        <v>13922.074155844155</v>
      </c>
      <c r="M306" s="19">
        <f t="shared" si="62"/>
        <v>0</v>
      </c>
      <c r="N306" s="4">
        <f t="shared" si="59"/>
        <v>0</v>
      </c>
      <c r="O306" s="174">
        <f t="shared" si="63"/>
        <v>0</v>
      </c>
      <c r="P306" s="347">
        <f>O306/'D) Ecrêtage'!C306</f>
        <v>0</v>
      </c>
      <c r="Q306" s="167"/>
    </row>
    <row r="307" spans="1:17" x14ac:dyDescent="0.25">
      <c r="A307" s="165">
        <f>'A) Base RI'!A309</f>
        <v>5932</v>
      </c>
      <c r="B307" s="42" t="str">
        <f>'A) Base RI'!B309</f>
        <v>Ursins</v>
      </c>
      <c r="C307" s="41">
        <f>'D) Ecrêtage'!M307</f>
        <v>5429.3069230769233</v>
      </c>
      <c r="D307" s="41">
        <v>41595</v>
      </c>
      <c r="E307" s="14">
        <v>6269</v>
      </c>
      <c r="F307" s="52">
        <v>8991</v>
      </c>
      <c r="G307" s="52">
        <f t="shared" si="60"/>
        <v>56855</v>
      </c>
      <c r="H307" s="14">
        <f t="shared" si="56"/>
        <v>43434.455384615387</v>
      </c>
      <c r="I307" s="41">
        <f t="shared" si="61"/>
        <v>13420.544615384613</v>
      </c>
      <c r="J307" s="4">
        <f t="shared" si="57"/>
        <v>-9637.2045438874375</v>
      </c>
      <c r="K307" s="19">
        <v>15868</v>
      </c>
      <c r="L307" s="14">
        <f t="shared" si="58"/>
        <v>5429.3069230769233</v>
      </c>
      <c r="M307" s="19">
        <f t="shared" si="62"/>
        <v>10438.693076923077</v>
      </c>
      <c r="N307" s="4">
        <f t="shared" si="59"/>
        <v>-7495.9566274119024</v>
      </c>
      <c r="O307" s="174">
        <f t="shared" si="63"/>
        <v>-17133.16117129934</v>
      </c>
      <c r="P307" s="347">
        <f>O307/'D) Ecrêtage'!C307</f>
        <v>-3.1556810867471738</v>
      </c>
      <c r="Q307" s="167"/>
    </row>
    <row r="308" spans="1:17" x14ac:dyDescent="0.25">
      <c r="A308" s="165">
        <f>'A) Base RI'!A310</f>
        <v>5933</v>
      </c>
      <c r="B308" s="42" t="str">
        <f>'A) Base RI'!B310</f>
        <v>Valeyres-sous-Montagny</v>
      </c>
      <c r="C308" s="41">
        <f>'D) Ecrêtage'!M308</f>
        <v>17165.971111111114</v>
      </c>
      <c r="D308" s="41">
        <v>228519</v>
      </c>
      <c r="E308" s="14">
        <v>48375</v>
      </c>
      <c r="F308" s="52">
        <v>88914</v>
      </c>
      <c r="G308" s="52">
        <f t="shared" si="60"/>
        <v>365808</v>
      </c>
      <c r="H308" s="14">
        <f t="shared" si="56"/>
        <v>137327.76888888891</v>
      </c>
      <c r="I308" s="41">
        <f t="shared" si="61"/>
        <v>228480.23111111109</v>
      </c>
      <c r="J308" s="4">
        <f t="shared" si="57"/>
        <v>-164070.14652209388</v>
      </c>
      <c r="K308" s="19">
        <v>11508</v>
      </c>
      <c r="L308" s="14">
        <f t="shared" si="58"/>
        <v>17165.971111111114</v>
      </c>
      <c r="M308" s="19">
        <f t="shared" si="62"/>
        <v>0</v>
      </c>
      <c r="N308" s="4">
        <f t="shared" si="59"/>
        <v>0</v>
      </c>
      <c r="O308" s="174">
        <f t="shared" si="63"/>
        <v>-164070.14652209388</v>
      </c>
      <c r="P308" s="347">
        <f>O308/'D) Ecrêtage'!C308</f>
        <v>-9.5578715273437282</v>
      </c>
      <c r="Q308" s="167"/>
    </row>
    <row r="309" spans="1:17" x14ac:dyDescent="0.25">
      <c r="A309" s="165">
        <f>'A) Base RI'!A311</f>
        <v>5934</v>
      </c>
      <c r="B309" s="42" t="str">
        <f>'A) Base RI'!B311</f>
        <v>Valeyres-sous-Ursins</v>
      </c>
      <c r="C309" s="41">
        <f>'D) Ecrêtage'!M309</f>
        <v>6602.430506329114</v>
      </c>
      <c r="D309" s="41">
        <v>31334</v>
      </c>
      <c r="E309" s="14">
        <v>7264</v>
      </c>
      <c r="F309" s="52">
        <v>11455</v>
      </c>
      <c r="G309" s="52">
        <f t="shared" si="60"/>
        <v>50053</v>
      </c>
      <c r="H309" s="14">
        <f t="shared" si="56"/>
        <v>52819.444050632912</v>
      </c>
      <c r="I309" s="41">
        <f t="shared" si="61"/>
        <v>0</v>
      </c>
      <c r="J309" s="4">
        <f t="shared" si="57"/>
        <v>0</v>
      </c>
      <c r="K309" s="19">
        <v>15976</v>
      </c>
      <c r="L309" s="14">
        <f t="shared" si="58"/>
        <v>6602.430506329114</v>
      </c>
      <c r="M309" s="19">
        <f t="shared" si="62"/>
        <v>9373.569493670886</v>
      </c>
      <c r="N309" s="4">
        <f t="shared" si="59"/>
        <v>-6731.0984096200082</v>
      </c>
      <c r="O309" s="174">
        <f t="shared" si="63"/>
        <v>-6731.0984096200082</v>
      </c>
      <c r="P309" s="347">
        <f>O309/'D) Ecrêtage'!C309</f>
        <v>-1.0194879602545688</v>
      </c>
      <c r="Q309" s="167"/>
    </row>
    <row r="310" spans="1:17" x14ac:dyDescent="0.25">
      <c r="A310" s="165">
        <f>'A) Base RI'!A312</f>
        <v>5935</v>
      </c>
      <c r="B310" s="42" t="str">
        <f>'A) Base RI'!B312</f>
        <v>Villars-Epeney</v>
      </c>
      <c r="C310" s="41">
        <f>'D) Ecrêtage'!M310</f>
        <v>6088.5334683902975</v>
      </c>
      <c r="D310" s="41">
        <v>98995</v>
      </c>
      <c r="E310" s="14">
        <v>2682</v>
      </c>
      <c r="F310" s="52">
        <v>6949</v>
      </c>
      <c r="G310" s="52">
        <f t="shared" si="60"/>
        <v>108626</v>
      </c>
      <c r="H310" s="14">
        <f t="shared" si="56"/>
        <v>48708.26774712238</v>
      </c>
      <c r="I310" s="41">
        <f t="shared" si="61"/>
        <v>59917.73225287762</v>
      </c>
      <c r="J310" s="4">
        <f t="shared" si="57"/>
        <v>-43026.528212939782</v>
      </c>
      <c r="K310" s="19">
        <v>7701</v>
      </c>
      <c r="L310" s="14">
        <f t="shared" si="58"/>
        <v>6088.5334683902975</v>
      </c>
      <c r="M310" s="19">
        <f t="shared" si="62"/>
        <v>1612.4665316097025</v>
      </c>
      <c r="N310" s="4">
        <f t="shared" si="59"/>
        <v>-1157.9015778153723</v>
      </c>
      <c r="O310" s="174">
        <f t="shared" si="63"/>
        <v>-44184.429790755152</v>
      </c>
      <c r="P310" s="347">
        <f>O310/'D) Ecrêtage'!C310</f>
        <v>-6.8200784905575613</v>
      </c>
      <c r="Q310" s="167"/>
    </row>
    <row r="311" spans="1:17" x14ac:dyDescent="0.25">
      <c r="A311" s="165">
        <f>'A) Base RI'!A313</f>
        <v>5937</v>
      </c>
      <c r="B311" s="42" t="str">
        <f>'A) Base RI'!B313</f>
        <v>Vugelles-La Mothe</v>
      </c>
      <c r="C311" s="41">
        <f>'D) Ecrêtage'!M311</f>
        <v>2128.9780612244899</v>
      </c>
      <c r="D311" s="41">
        <v>43146</v>
      </c>
      <c r="E311" s="14">
        <v>4193</v>
      </c>
      <c r="F311" s="52">
        <v>22051</v>
      </c>
      <c r="G311" s="52">
        <f t="shared" si="60"/>
        <v>69390</v>
      </c>
      <c r="H311" s="14">
        <f t="shared" si="56"/>
        <v>17031.824489795919</v>
      </c>
      <c r="I311" s="41">
        <f t="shared" si="61"/>
        <v>52358.175510204077</v>
      </c>
      <c r="J311" s="4">
        <f t="shared" si="57"/>
        <v>-37598.060391540523</v>
      </c>
      <c r="K311" s="19">
        <v>9001</v>
      </c>
      <c r="L311" s="14">
        <f t="shared" si="58"/>
        <v>2128.9780612244899</v>
      </c>
      <c r="M311" s="19">
        <f t="shared" si="62"/>
        <v>6872.0219387755096</v>
      </c>
      <c r="N311" s="4">
        <f t="shared" si="59"/>
        <v>-4934.7536148527261</v>
      </c>
      <c r="O311" s="174">
        <f t="shared" si="63"/>
        <v>-42532.814006393251</v>
      </c>
      <c r="P311" s="347">
        <f>O311/'D) Ecrêtage'!C311</f>
        <v>-19.97804241436398</v>
      </c>
      <c r="Q311" s="167"/>
    </row>
    <row r="312" spans="1:17" x14ac:dyDescent="0.25">
      <c r="A312" s="165">
        <f>'A) Base RI'!A314</f>
        <v>5938</v>
      </c>
      <c r="B312" s="42" t="str">
        <f>'A) Base RI'!B314</f>
        <v>Yverdon-les-Bains</v>
      </c>
      <c r="C312" s="41">
        <f>'D) Ecrêtage'!M312</f>
        <v>771340.02758169943</v>
      </c>
      <c r="D312" s="41">
        <v>8875121</v>
      </c>
      <c r="E312" s="14">
        <v>6070841</v>
      </c>
      <c r="F312" s="52">
        <v>836506</v>
      </c>
      <c r="G312" s="52">
        <f t="shared" si="60"/>
        <v>15782468</v>
      </c>
      <c r="H312" s="14">
        <f t="shared" si="56"/>
        <v>6170720.2206535954</v>
      </c>
      <c r="I312" s="41">
        <f t="shared" si="61"/>
        <v>9611747.7793464046</v>
      </c>
      <c r="J312" s="4">
        <f t="shared" si="57"/>
        <v>-6902132.6651401706</v>
      </c>
      <c r="K312" s="19">
        <v>238355</v>
      </c>
      <c r="L312" s="14">
        <f t="shared" si="58"/>
        <v>771340.02758169943</v>
      </c>
      <c r="M312" s="19">
        <f t="shared" si="62"/>
        <v>0</v>
      </c>
      <c r="N312" s="4">
        <f t="shared" si="59"/>
        <v>0</v>
      </c>
      <c r="O312" s="174">
        <f t="shared" si="63"/>
        <v>-6902132.6651401706</v>
      </c>
      <c r="P312" s="347">
        <f>O312/'D) Ecrêtage'!C312</f>
        <v>-8.948236080499667</v>
      </c>
      <c r="Q312" s="167"/>
    </row>
    <row r="313" spans="1:17" x14ac:dyDescent="0.25">
      <c r="A313" s="165">
        <f>'A) Base RI'!A315</f>
        <v>5939</v>
      </c>
      <c r="B313" s="64" t="str">
        <f>'A) Base RI'!B315</f>
        <v>Yvonand</v>
      </c>
      <c r="C313" s="41">
        <f>'D) Ecrêtage'!M313</f>
        <v>88221.551917808203</v>
      </c>
      <c r="D313" s="140">
        <v>461229</v>
      </c>
      <c r="E313" s="25">
        <v>233209</v>
      </c>
      <c r="F313" s="95">
        <v>288103</v>
      </c>
      <c r="G313" s="95">
        <f t="shared" si="60"/>
        <v>982541</v>
      </c>
      <c r="H313" s="25">
        <f t="shared" si="56"/>
        <v>705772.41534246563</v>
      </c>
      <c r="I313" s="140">
        <f t="shared" si="61"/>
        <v>276768.58465753437</v>
      </c>
      <c r="J313" s="4">
        <f t="shared" si="57"/>
        <v>-198745.69461281472</v>
      </c>
      <c r="K313" s="96">
        <v>130622</v>
      </c>
      <c r="L313" s="25">
        <f t="shared" si="58"/>
        <v>88221.551917808203</v>
      </c>
      <c r="M313" s="96">
        <f t="shared" si="62"/>
        <v>42400.448082191797</v>
      </c>
      <c r="N313" s="175">
        <f t="shared" si="59"/>
        <v>-30447.482023355406</v>
      </c>
      <c r="O313" s="176">
        <f t="shared" si="63"/>
        <v>-229193.17663617013</v>
      </c>
      <c r="P313" s="347">
        <f>O313/'D) Ecrêtage'!C313</f>
        <v>-2.5979272825499424</v>
      </c>
      <c r="Q313" s="167"/>
    </row>
    <row r="314" spans="1:17" x14ac:dyDescent="0.25">
      <c r="A314" s="105"/>
      <c r="B314" s="158">
        <f>COUNTA(B5:B313)</f>
        <v>309</v>
      </c>
      <c r="C314" s="15">
        <f t="shared" ref="C314:O314" si="64">SUM(C5:C313)</f>
        <v>33840443.986265205</v>
      </c>
      <c r="D314" s="15">
        <f t="shared" si="64"/>
        <v>247055289</v>
      </c>
      <c r="E314" s="15">
        <f t="shared" si="64"/>
        <v>142454205</v>
      </c>
      <c r="F314" s="97">
        <f t="shared" si="64"/>
        <v>42667560.549999997</v>
      </c>
      <c r="G314" s="15">
        <f t="shared" si="64"/>
        <v>432177054.55000001</v>
      </c>
      <c r="H314" s="140">
        <f t="shared" si="64"/>
        <v>270723551.89012164</v>
      </c>
      <c r="I314" s="15">
        <f t="shared" si="64"/>
        <v>181212079.32083964</v>
      </c>
      <c r="J314" s="49">
        <f t="shared" si="64"/>
        <v>-130127198.58150396</v>
      </c>
      <c r="K314" s="159">
        <f t="shared" si="64"/>
        <v>21503550</v>
      </c>
      <c r="L314" s="25">
        <f t="shared" si="64"/>
        <v>33840443.986265205</v>
      </c>
      <c r="M314" s="15">
        <f t="shared" si="64"/>
        <v>7289549.4466655841</v>
      </c>
      <c r="N314" s="175">
        <f t="shared" si="64"/>
        <v>-5234577.3635568954</v>
      </c>
      <c r="O314" s="177">
        <f t="shared" si="64"/>
        <v>-135361775.94506088</v>
      </c>
      <c r="P314" s="182">
        <f>O314/C314</f>
        <v>-4.0000000000000018</v>
      </c>
    </row>
    <row r="316" spans="1:17" x14ac:dyDescent="0.25"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</row>
    <row r="318" spans="1:17" x14ac:dyDescent="0.25">
      <c r="C318" s="17"/>
      <c r="D318" s="17"/>
      <c r="E318" s="17"/>
      <c r="F318" s="17"/>
      <c r="G318" s="17"/>
      <c r="H318" s="17"/>
      <c r="I318" s="17"/>
      <c r="J318" s="17"/>
      <c r="K318" s="17"/>
    </row>
    <row r="319" spans="1:17" x14ac:dyDescent="0.25">
      <c r="J319" s="38"/>
    </row>
  </sheetData>
  <sheetProtection password="CBF3" sheet="1" objects="1" scenarios="1"/>
  <mergeCells count="10">
    <mergeCell ref="D3:D4"/>
    <mergeCell ref="C3:C4"/>
    <mergeCell ref="B3:B4"/>
    <mergeCell ref="A3:A4"/>
    <mergeCell ref="L3:L4"/>
    <mergeCell ref="K3:K4"/>
    <mergeCell ref="H3:H4"/>
    <mergeCell ref="G3:G4"/>
    <mergeCell ref="F3:F4"/>
    <mergeCell ref="E3:E4"/>
  </mergeCells>
  <phoneticPr fontId="0" type="noConversion"/>
  <printOptions horizontalCentered="1"/>
  <pageMargins left="0" right="0" top="0" bottom="0" header="0.51181102362204722" footer="0.51181102362204722"/>
  <pageSetup paperSize="9" scale="64" orientation="landscape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00B050"/>
  </sheetPr>
  <dimension ref="A1:Y314"/>
  <sheetViews>
    <sheetView workbookViewId="0"/>
  </sheetViews>
  <sheetFormatPr baseColWidth="10" defaultColWidth="10.75" defaultRowHeight="15" x14ac:dyDescent="0.25"/>
  <cols>
    <col min="1" max="1" width="7.25" style="18" customWidth="1"/>
    <col min="2" max="2" width="19.875" style="18" customWidth="1"/>
    <col min="3" max="4" width="10" style="18" customWidth="1"/>
    <col min="5" max="5" width="11.125" style="18" customWidth="1"/>
    <col min="6" max="7" width="10" style="18" customWidth="1"/>
    <col min="8" max="8" width="10" style="190" customWidth="1"/>
    <col min="9" max="9" width="10" style="18" customWidth="1"/>
    <col min="10" max="10" width="10" style="20" customWidth="1"/>
    <col min="11" max="11" width="12.125" style="20" customWidth="1"/>
    <col min="12" max="14" width="12.125" style="18" customWidth="1"/>
    <col min="15" max="17" width="8.125" style="18" customWidth="1"/>
    <col min="18" max="16384" width="10.75" style="18"/>
  </cols>
  <sheetData>
    <row r="1" spans="1:25" s="54" customFormat="1" ht="21" x14ac:dyDescent="0.25">
      <c r="A1" s="65" t="s">
        <v>240</v>
      </c>
      <c r="B1" s="53"/>
      <c r="C1" s="92"/>
      <c r="D1" s="92"/>
      <c r="E1" s="92"/>
      <c r="F1" s="92"/>
      <c r="G1" s="92"/>
      <c r="H1" s="189"/>
      <c r="I1" s="92"/>
      <c r="J1" s="178"/>
      <c r="K1" s="179"/>
      <c r="L1" s="77"/>
      <c r="N1" s="18"/>
      <c r="O1" s="18"/>
      <c r="P1" s="18"/>
      <c r="Q1" s="18"/>
      <c r="R1" s="18"/>
      <c r="Y1" s="18"/>
    </row>
    <row r="3" spans="1:25" ht="30" x14ac:dyDescent="0.25">
      <c r="A3" s="424" t="s">
        <v>50</v>
      </c>
      <c r="B3" s="424" t="s">
        <v>119</v>
      </c>
      <c r="C3" s="424" t="s">
        <v>405</v>
      </c>
      <c r="D3" s="424" t="s">
        <v>116</v>
      </c>
      <c r="E3" s="424" t="s">
        <v>362</v>
      </c>
      <c r="F3" s="424" t="s">
        <v>403</v>
      </c>
      <c r="G3" s="438" t="s">
        <v>392</v>
      </c>
      <c r="H3" s="191" t="s">
        <v>174</v>
      </c>
      <c r="I3" s="436" t="s">
        <v>406</v>
      </c>
      <c r="J3" s="443" t="s">
        <v>374</v>
      </c>
    </row>
    <row r="4" spans="1:25" x14ac:dyDescent="0.25">
      <c r="A4" s="425"/>
      <c r="B4" s="425"/>
      <c r="C4" s="425"/>
      <c r="D4" s="425"/>
      <c r="E4" s="425"/>
      <c r="F4" s="426"/>
      <c r="G4" s="448"/>
      <c r="H4" s="342">
        <f>Paramètres!B47</f>
        <v>54.939824006084386</v>
      </c>
      <c r="I4" s="445"/>
      <c r="J4" s="449"/>
    </row>
    <row r="5" spans="1:25" x14ac:dyDescent="0.25">
      <c r="A5" s="57">
        <f>'A) Base RI'!A7</f>
        <v>5401</v>
      </c>
      <c r="B5" s="113" t="str">
        <f>'A) Base RI'!B7</f>
        <v>Aigle</v>
      </c>
      <c r="C5" s="124">
        <f>'B) D RI'!U7</f>
        <v>260845.44622222218</v>
      </c>
      <c r="D5" s="381">
        <f>'E) Fact soc'!G11/C5</f>
        <v>18.794388904261204</v>
      </c>
      <c r="E5" s="181">
        <f>'H) Péréquation directe'!I16/C5</f>
        <v>-11.557003340900902</v>
      </c>
      <c r="F5" s="183">
        <f>'I) Dépenses thématiques'!P5</f>
        <v>-8.2836196820013832</v>
      </c>
      <c r="G5" s="141">
        <f>SUM(D5:F5)</f>
        <v>-1.0462341186410811</v>
      </c>
      <c r="H5" s="128">
        <f t="shared" ref="H5:H59" si="0">IF(G5&gt;H$4,H$4-G5,0)</f>
        <v>0</v>
      </c>
      <c r="I5" s="151">
        <f>H5*C5</f>
        <v>0</v>
      </c>
      <c r="J5" s="117">
        <f>G5+H5</f>
        <v>-1.0462341186410811</v>
      </c>
    </row>
    <row r="6" spans="1:25" x14ac:dyDescent="0.25">
      <c r="A6" s="61">
        <f>'A) Base RI'!A8</f>
        <v>5402</v>
      </c>
      <c r="B6" s="114" t="str">
        <f>'A) Base RI'!B8</f>
        <v>Bex</v>
      </c>
      <c r="C6" s="125">
        <f>'B) D RI'!U8</f>
        <v>175890.90239436619</v>
      </c>
      <c r="D6" s="147">
        <f>'E) Fact soc'!G12/C6</f>
        <v>20.749586654093083</v>
      </c>
      <c r="E6" s="181">
        <f>'H) Péréquation directe'!I17/C6</f>
        <v>-15.408586841196977</v>
      </c>
      <c r="F6" s="186">
        <f>'I) Dépenses thématiques'!P6</f>
        <v>-10.422147665396459</v>
      </c>
      <c r="G6" s="143">
        <f t="shared" ref="G6:G61" si="1">SUM(D6:F6)</f>
        <v>-5.0811478525003526</v>
      </c>
      <c r="H6" s="128">
        <f t="shared" si="0"/>
        <v>0</v>
      </c>
      <c r="I6" s="152">
        <f t="shared" ref="I6:I60" si="2">H6*C6</f>
        <v>0</v>
      </c>
      <c r="J6" s="43">
        <f t="shared" ref="J6:J59" si="3">G6+H6</f>
        <v>-5.0811478525003526</v>
      </c>
    </row>
    <row r="7" spans="1:25" x14ac:dyDescent="0.25">
      <c r="A7" s="61">
        <f>'A) Base RI'!A9</f>
        <v>5403</v>
      </c>
      <c r="B7" s="114" t="str">
        <f>'A) Base RI'!B9</f>
        <v>Chessel</v>
      </c>
      <c r="C7" s="125">
        <f>'B) D RI'!U9</f>
        <v>8284.5784210526326</v>
      </c>
      <c r="D7" s="147">
        <f>'E) Fact soc'!G13/C7</f>
        <v>17.362733947026111</v>
      </c>
      <c r="E7" s="181">
        <f>'H) Péréquation directe'!I18/C7</f>
        <v>-11.583077086112468</v>
      </c>
      <c r="F7" s="186">
        <f>'I) Dépenses thématiques'!P7</f>
        <v>-5.2811193059001242</v>
      </c>
      <c r="G7" s="143">
        <f t="shared" si="1"/>
        <v>0.49853755501351937</v>
      </c>
      <c r="H7" s="128">
        <f t="shared" si="0"/>
        <v>0</v>
      </c>
      <c r="I7" s="152">
        <f t="shared" si="2"/>
        <v>0</v>
      </c>
      <c r="J7" s="43">
        <f t="shared" si="3"/>
        <v>0.49853755501351937</v>
      </c>
    </row>
    <row r="8" spans="1:25" x14ac:dyDescent="0.25">
      <c r="A8" s="61">
        <f>'A) Base RI'!A10</f>
        <v>5404</v>
      </c>
      <c r="B8" s="114" t="str">
        <f>'A) Base RI'!B10</f>
        <v>Corbeyrier</v>
      </c>
      <c r="C8" s="125">
        <f>'B) D RI'!U10</f>
        <v>9966.1885714285709</v>
      </c>
      <c r="D8" s="147">
        <f>'E) Fact soc'!G14/C8</f>
        <v>20.298751333688493</v>
      </c>
      <c r="E8" s="181">
        <f>'H) Péréquation directe'!I19/C8</f>
        <v>-3.5544885613260058</v>
      </c>
      <c r="F8" s="186">
        <f>'I) Dépenses thématiques'!P8</f>
        <v>-21.204848152500201</v>
      </c>
      <c r="G8" s="143">
        <f t="shared" si="1"/>
        <v>-4.4605853801377151</v>
      </c>
      <c r="H8" s="128">
        <f t="shared" si="0"/>
        <v>0</v>
      </c>
      <c r="I8" s="152">
        <f t="shared" si="2"/>
        <v>0</v>
      </c>
      <c r="J8" s="43">
        <f t="shared" si="3"/>
        <v>-4.4605853801377151</v>
      </c>
    </row>
    <row r="9" spans="1:25" x14ac:dyDescent="0.25">
      <c r="A9" s="61">
        <f>'A) Base RI'!A11</f>
        <v>5405</v>
      </c>
      <c r="B9" s="114" t="str">
        <f>'A) Base RI'!B11</f>
        <v>Gryon</v>
      </c>
      <c r="C9" s="125">
        <f>'B) D RI'!U11</f>
        <v>72189.140533333324</v>
      </c>
      <c r="D9" s="147">
        <f>'E) Fact soc'!G15/C9</f>
        <v>21.307052778500257</v>
      </c>
      <c r="E9" s="181">
        <f>'H) Péréquation directe'!I20/C9</f>
        <v>15.751090338701339</v>
      </c>
      <c r="F9" s="186">
        <f>'I) Dépenses thématiques'!P9</f>
        <v>-7.1552481700198465</v>
      </c>
      <c r="G9" s="143">
        <f t="shared" si="1"/>
        <v>29.90289494718175</v>
      </c>
      <c r="H9" s="128">
        <f t="shared" si="0"/>
        <v>0</v>
      </c>
      <c r="I9" s="152">
        <f t="shared" si="2"/>
        <v>0</v>
      </c>
      <c r="J9" s="43">
        <f t="shared" si="3"/>
        <v>29.90289494718175</v>
      </c>
    </row>
    <row r="10" spans="1:25" x14ac:dyDescent="0.25">
      <c r="A10" s="61">
        <f>'A) Base RI'!A12</f>
        <v>5406</v>
      </c>
      <c r="B10" s="114" t="str">
        <f>'A) Base RI'!B12</f>
        <v>Lavey-Morcles</v>
      </c>
      <c r="C10" s="125">
        <f>'B) D RI'!U12</f>
        <v>19831.448851570964</v>
      </c>
      <c r="D10" s="147">
        <f>'E) Fact soc'!G16/C10</f>
        <v>17.645922243354516</v>
      </c>
      <c r="E10" s="181">
        <f>'H) Péréquation directe'!I21/C10</f>
        <v>-6.3171435037988148</v>
      </c>
      <c r="F10" s="186">
        <f>'I) Dépenses thématiques'!P10</f>
        <v>-4.1916648001795469</v>
      </c>
      <c r="G10" s="143">
        <f t="shared" si="1"/>
        <v>7.1371139393761549</v>
      </c>
      <c r="H10" s="128">
        <f t="shared" si="0"/>
        <v>0</v>
      </c>
      <c r="I10" s="152">
        <f t="shared" si="2"/>
        <v>0</v>
      </c>
      <c r="J10" s="43">
        <f t="shared" si="3"/>
        <v>7.1371139393761549</v>
      </c>
    </row>
    <row r="11" spans="1:25" x14ac:dyDescent="0.25">
      <c r="A11" s="61">
        <f>'A) Base RI'!A13</f>
        <v>5407</v>
      </c>
      <c r="B11" s="114" t="str">
        <f>'A) Base RI'!B13</f>
        <v>Leysin</v>
      </c>
      <c r="C11" s="125">
        <f>'B) D RI'!U13</f>
        <v>102799.09089743589</v>
      </c>
      <c r="D11" s="147">
        <f>'E) Fact soc'!G17/C11</f>
        <v>19.344837581745086</v>
      </c>
      <c r="E11" s="181">
        <f>'H) Péréquation directe'!I22/C11</f>
        <v>-13.493072863382524</v>
      </c>
      <c r="F11" s="186">
        <f>'I) Dépenses thématiques'!P11</f>
        <v>-13.107068110462155</v>
      </c>
      <c r="G11" s="143">
        <f t="shared" si="1"/>
        <v>-7.2553033920995933</v>
      </c>
      <c r="H11" s="128">
        <f t="shared" si="0"/>
        <v>0</v>
      </c>
      <c r="I11" s="152">
        <f t="shared" si="2"/>
        <v>0</v>
      </c>
      <c r="J11" s="43">
        <f t="shared" si="3"/>
        <v>-7.2553033920995933</v>
      </c>
    </row>
    <row r="12" spans="1:25" x14ac:dyDescent="0.25">
      <c r="A12" s="61">
        <f>'A) Base RI'!A14</f>
        <v>5408</v>
      </c>
      <c r="B12" s="114" t="str">
        <f>'A) Base RI'!B14</f>
        <v>Noville</v>
      </c>
      <c r="C12" s="125">
        <f>'B) D RI'!U14</f>
        <v>34745.229256900217</v>
      </c>
      <c r="D12" s="147">
        <f>'E) Fact soc'!G18/C12</f>
        <v>19.637020470757175</v>
      </c>
      <c r="E12" s="181">
        <f>'H) Péréquation directe'!I23/C12</f>
        <v>7.9559923762995446</v>
      </c>
      <c r="F12" s="186">
        <f>'I) Dépenses thématiques'!P12</f>
        <v>-2.6392664593289799</v>
      </c>
      <c r="G12" s="143">
        <f t="shared" si="1"/>
        <v>24.95374638772774</v>
      </c>
      <c r="H12" s="128">
        <f t="shared" si="0"/>
        <v>0</v>
      </c>
      <c r="I12" s="152">
        <f t="shared" si="2"/>
        <v>0</v>
      </c>
      <c r="J12" s="43">
        <f t="shared" si="3"/>
        <v>24.95374638772774</v>
      </c>
    </row>
    <row r="13" spans="1:25" x14ac:dyDescent="0.25">
      <c r="A13" s="61">
        <f>'A) Base RI'!A15</f>
        <v>5409</v>
      </c>
      <c r="B13" s="114" t="str">
        <f>'A) Base RI'!B15</f>
        <v>Ollon</v>
      </c>
      <c r="C13" s="125">
        <f>'B) D RI'!U15</f>
        <v>485365.10493778286</v>
      </c>
      <c r="D13" s="147">
        <f>'E) Fact soc'!G19/C13</f>
        <v>22.408520923659786</v>
      </c>
      <c r="E13" s="181">
        <f>'H) Péréquation directe'!I24/C13</f>
        <v>11.232035759951565</v>
      </c>
      <c r="F13" s="186">
        <f>'I) Dépenses thématiques'!P13</f>
        <v>-2.3322150368427259</v>
      </c>
      <c r="G13" s="143">
        <f t="shared" si="1"/>
        <v>31.308341646768625</v>
      </c>
      <c r="H13" s="128">
        <f t="shared" si="0"/>
        <v>0</v>
      </c>
      <c r="I13" s="152">
        <f t="shared" si="2"/>
        <v>0</v>
      </c>
      <c r="J13" s="43">
        <f t="shared" si="3"/>
        <v>31.308341646768625</v>
      </c>
    </row>
    <row r="14" spans="1:25" x14ac:dyDescent="0.25">
      <c r="A14" s="61">
        <f>'A) Base RI'!A16</f>
        <v>5410</v>
      </c>
      <c r="B14" s="114" t="str">
        <f>'A) Base RI'!B16</f>
        <v>Ormont-Dessous</v>
      </c>
      <c r="C14" s="125">
        <f>'B) D RI'!U16</f>
        <v>35234.198174097655</v>
      </c>
      <c r="D14" s="147">
        <f>'E) Fact soc'!G20/C14</f>
        <v>20.17207729277272</v>
      </c>
      <c r="E14" s="181">
        <f>'H) Péréquation directe'!I25/C14</f>
        <v>4.7987861119049482</v>
      </c>
      <c r="F14" s="186">
        <f>'I) Dépenses thématiques'!P14</f>
        <v>-22.512902834929157</v>
      </c>
      <c r="G14" s="143">
        <f t="shared" si="1"/>
        <v>2.4579605697485114</v>
      </c>
      <c r="H14" s="128">
        <f t="shared" si="0"/>
        <v>0</v>
      </c>
      <c r="I14" s="152">
        <f t="shared" si="2"/>
        <v>0</v>
      </c>
      <c r="J14" s="43">
        <f t="shared" si="3"/>
        <v>2.4579605697485114</v>
      </c>
    </row>
    <row r="15" spans="1:25" x14ac:dyDescent="0.25">
      <c r="A15" s="61">
        <f>'A) Base RI'!A17</f>
        <v>5411</v>
      </c>
      <c r="B15" s="114" t="str">
        <f>'A) Base RI'!B17</f>
        <v>Ormont-Dessus</v>
      </c>
      <c r="C15" s="125">
        <f>'B) D RI'!U17</f>
        <v>71790.213859649128</v>
      </c>
      <c r="D15" s="147">
        <f>'E) Fact soc'!G21/C15</f>
        <v>19.114208448105071</v>
      </c>
      <c r="E15" s="181">
        <f>'H) Péréquation directe'!I26/C15</f>
        <v>14.887539475991476</v>
      </c>
      <c r="F15" s="186">
        <f>'I) Dépenses thématiques'!P15</f>
        <v>-11.391894976698715</v>
      </c>
      <c r="G15" s="143">
        <f t="shared" si="1"/>
        <v>22.609852947397833</v>
      </c>
      <c r="H15" s="128">
        <f t="shared" si="0"/>
        <v>0</v>
      </c>
      <c r="I15" s="152">
        <f t="shared" si="2"/>
        <v>0</v>
      </c>
      <c r="J15" s="43">
        <f t="shared" si="3"/>
        <v>22.609852947397833</v>
      </c>
    </row>
    <row r="16" spans="1:25" x14ac:dyDescent="0.25">
      <c r="A16" s="61">
        <f>'A) Base RI'!A18</f>
        <v>5412</v>
      </c>
      <c r="B16" s="114" t="str">
        <f>'A) Base RI'!B18</f>
        <v>Rennaz</v>
      </c>
      <c r="C16" s="125">
        <f>'B) D RI'!U18</f>
        <v>26501.739703703701</v>
      </c>
      <c r="D16" s="147">
        <f>'E) Fact soc'!G22/C16</f>
        <v>18.997219069462666</v>
      </c>
      <c r="E16" s="181">
        <f>'H) Péréquation directe'!I27/C16</f>
        <v>8.1459644676449958</v>
      </c>
      <c r="F16" s="186">
        <f>'I) Dépenses thématiques'!P16</f>
        <v>0</v>
      </c>
      <c r="G16" s="143">
        <f t="shared" si="1"/>
        <v>27.14318353710766</v>
      </c>
      <c r="H16" s="128">
        <f t="shared" si="0"/>
        <v>0</v>
      </c>
      <c r="I16" s="152">
        <f t="shared" si="2"/>
        <v>0</v>
      </c>
      <c r="J16" s="43">
        <f t="shared" si="3"/>
        <v>27.14318353710766</v>
      </c>
    </row>
    <row r="17" spans="1:10" x14ac:dyDescent="0.25">
      <c r="A17" s="61">
        <f>'A) Base RI'!A19</f>
        <v>5413</v>
      </c>
      <c r="B17" s="114" t="str">
        <f>'A) Base RI'!B19</f>
        <v>Roche</v>
      </c>
      <c r="C17" s="125">
        <f>'B) D RI'!U19</f>
        <v>34861.221617647054</v>
      </c>
      <c r="D17" s="147">
        <f>'E) Fact soc'!G23/C17</f>
        <v>20.420210321566383</v>
      </c>
      <c r="E17" s="181">
        <f>'H) Péréquation directe'!I28/C17</f>
        <v>-5.9501706429505381</v>
      </c>
      <c r="F17" s="186">
        <f>'I) Dépenses thématiques'!P17</f>
        <v>-0.59773571983776874</v>
      </c>
      <c r="G17" s="143">
        <f t="shared" si="1"/>
        <v>13.872303958778076</v>
      </c>
      <c r="H17" s="128">
        <f t="shared" si="0"/>
        <v>0</v>
      </c>
      <c r="I17" s="152">
        <f t="shared" si="2"/>
        <v>0</v>
      </c>
      <c r="J17" s="43">
        <f t="shared" si="3"/>
        <v>13.872303958778076</v>
      </c>
    </row>
    <row r="18" spans="1:10" x14ac:dyDescent="0.25">
      <c r="A18" s="61">
        <f>'A) Base RI'!A20</f>
        <v>5414</v>
      </c>
      <c r="B18" s="114" t="str">
        <f>'A) Base RI'!B20</f>
        <v>Villeneuve</v>
      </c>
      <c r="C18" s="125">
        <f>'B) D RI'!U20</f>
        <v>168009.32057971013</v>
      </c>
      <c r="D18" s="147">
        <f>'E) Fact soc'!G24/C18</f>
        <v>21.023593478915068</v>
      </c>
      <c r="E18" s="181">
        <f>'H) Péréquation directe'!I29/C18</f>
        <v>-1.5679885578544992</v>
      </c>
      <c r="F18" s="186">
        <f>'I) Dépenses thématiques'!P18</f>
        <v>-6.2412665136354724</v>
      </c>
      <c r="G18" s="143">
        <f t="shared" si="1"/>
        <v>13.214338407425096</v>
      </c>
      <c r="H18" s="128">
        <f t="shared" si="0"/>
        <v>0</v>
      </c>
      <c r="I18" s="152">
        <f t="shared" si="2"/>
        <v>0</v>
      </c>
      <c r="J18" s="43">
        <f t="shared" si="3"/>
        <v>13.214338407425096</v>
      </c>
    </row>
    <row r="19" spans="1:10" x14ac:dyDescent="0.25">
      <c r="A19" s="61">
        <f>'A) Base RI'!A21</f>
        <v>5415</v>
      </c>
      <c r="B19" s="114" t="str">
        <f>'A) Base RI'!B21</f>
        <v>Yvorne</v>
      </c>
      <c r="C19" s="125">
        <f>'B) D RI'!U21</f>
        <v>43055.973722627736</v>
      </c>
      <c r="D19" s="147">
        <f>'E) Fact soc'!G25/C19</f>
        <v>17.29086869111676</v>
      </c>
      <c r="E19" s="181">
        <f>'H) Péréquation directe'!I30/C19</f>
        <v>14.970788441297392</v>
      </c>
      <c r="F19" s="186">
        <f>'I) Dépenses thématiques'!P19</f>
        <v>-4.2195557738663849</v>
      </c>
      <c r="G19" s="143">
        <f t="shared" si="1"/>
        <v>28.042101358547765</v>
      </c>
      <c r="H19" s="128">
        <f t="shared" si="0"/>
        <v>0</v>
      </c>
      <c r="I19" s="152">
        <f t="shared" si="2"/>
        <v>0</v>
      </c>
      <c r="J19" s="43">
        <f t="shared" si="3"/>
        <v>28.042101358547765</v>
      </c>
    </row>
    <row r="20" spans="1:10" x14ac:dyDescent="0.25">
      <c r="A20" s="61">
        <f>'A) Base RI'!A22</f>
        <v>5421</v>
      </c>
      <c r="B20" s="114" t="str">
        <f>'A) Base RI'!B22</f>
        <v>Apples</v>
      </c>
      <c r="C20" s="125">
        <f>'B) D RI'!U22</f>
        <v>57391.691408450701</v>
      </c>
      <c r="D20" s="147">
        <f>'E) Fact soc'!G26/C20</f>
        <v>20.801419999039172</v>
      </c>
      <c r="E20" s="181">
        <f>'H) Péréquation directe'!I31/C20</f>
        <v>13.726523211587507</v>
      </c>
      <c r="F20" s="186">
        <f>'I) Dépenses thématiques'!P20</f>
        <v>-3.2120035318275399</v>
      </c>
      <c r="G20" s="143">
        <f t="shared" si="1"/>
        <v>31.31593967879914</v>
      </c>
      <c r="H20" s="128">
        <f t="shared" si="0"/>
        <v>0</v>
      </c>
      <c r="I20" s="152">
        <f t="shared" si="2"/>
        <v>0</v>
      </c>
      <c r="J20" s="43">
        <f t="shared" si="3"/>
        <v>31.31593967879914</v>
      </c>
    </row>
    <row r="21" spans="1:10" x14ac:dyDescent="0.25">
      <c r="A21" s="61">
        <f>'A) Base RI'!A23</f>
        <v>5422</v>
      </c>
      <c r="B21" s="114" t="str">
        <f>'A) Base RI'!B23</f>
        <v>Aubonne</v>
      </c>
      <c r="C21" s="125">
        <f>'B) D RI'!U23</f>
        <v>231550.9032352941</v>
      </c>
      <c r="D21" s="147">
        <f>'E) Fact soc'!G27/C21</f>
        <v>23.924218050076814</v>
      </c>
      <c r="E21" s="181">
        <f>'H) Péréquation directe'!I32/C21</f>
        <v>13.57759146450069</v>
      </c>
      <c r="F21" s="186">
        <f>'I) Dépenses thématiques'!P21</f>
        <v>-5.049218414359128E-2</v>
      </c>
      <c r="G21" s="143">
        <f t="shared" si="1"/>
        <v>37.451317330433909</v>
      </c>
      <c r="H21" s="128">
        <f t="shared" si="0"/>
        <v>0</v>
      </c>
      <c r="I21" s="152">
        <f t="shared" si="2"/>
        <v>0</v>
      </c>
      <c r="J21" s="43">
        <f t="shared" si="3"/>
        <v>37.451317330433909</v>
      </c>
    </row>
    <row r="22" spans="1:10" x14ac:dyDescent="0.25">
      <c r="A22" s="61">
        <f>'A) Base RI'!A24</f>
        <v>5423</v>
      </c>
      <c r="B22" s="114" t="str">
        <f>'A) Base RI'!B24</f>
        <v>Ballens</v>
      </c>
      <c r="C22" s="125">
        <f>'B) D RI'!U24</f>
        <v>18689.408115942024</v>
      </c>
      <c r="D22" s="147">
        <f>'E) Fact soc'!G28/C22</f>
        <v>17.277116600860115</v>
      </c>
      <c r="E22" s="181">
        <f>'H) Péréquation directe'!I33/C22</f>
        <v>12.089692546377021</v>
      </c>
      <c r="F22" s="186">
        <f>'I) Dépenses thématiques'!P22</f>
        <v>-3.4087781088294009</v>
      </c>
      <c r="G22" s="143">
        <f t="shared" si="1"/>
        <v>25.958031038407732</v>
      </c>
      <c r="H22" s="128">
        <f t="shared" si="0"/>
        <v>0</v>
      </c>
      <c r="I22" s="152">
        <f t="shared" si="2"/>
        <v>0</v>
      </c>
      <c r="J22" s="43">
        <f t="shared" si="3"/>
        <v>25.958031038407732</v>
      </c>
    </row>
    <row r="23" spans="1:10" x14ac:dyDescent="0.25">
      <c r="A23" s="61">
        <f>'A) Base RI'!A25</f>
        <v>5424</v>
      </c>
      <c r="B23" s="114" t="str">
        <f>'A) Base RI'!B25</f>
        <v>Berolle</v>
      </c>
      <c r="C23" s="125">
        <f>'B) D RI'!U25</f>
        <v>9360.1262337662338</v>
      </c>
      <c r="D23" s="147">
        <f>'E) Fact soc'!G29/C23</f>
        <v>18.301302338982353</v>
      </c>
      <c r="E23" s="181">
        <f>'H) Péréquation directe'!I34/C23</f>
        <v>6.6466551148609687</v>
      </c>
      <c r="F23" s="186">
        <f>'I) Dépenses thématiques'!P23</f>
        <v>-4.6508091251234429</v>
      </c>
      <c r="G23" s="143">
        <f t="shared" si="1"/>
        <v>20.297148328719878</v>
      </c>
      <c r="H23" s="128">
        <f t="shared" si="0"/>
        <v>0</v>
      </c>
      <c r="I23" s="152">
        <f t="shared" si="2"/>
        <v>0</v>
      </c>
      <c r="J23" s="43">
        <f t="shared" si="3"/>
        <v>20.297148328719878</v>
      </c>
    </row>
    <row r="24" spans="1:10" x14ac:dyDescent="0.25">
      <c r="A24" s="61">
        <f>'A) Base RI'!A26</f>
        <v>5425</v>
      </c>
      <c r="B24" s="114" t="str">
        <f>'A) Base RI'!B26</f>
        <v>Bière</v>
      </c>
      <c r="C24" s="125">
        <f>'B) D RI'!U26</f>
        <v>40787.403970588231</v>
      </c>
      <c r="D24" s="147">
        <f>'E) Fact soc'!G30/C24</f>
        <v>18.333169041814411</v>
      </c>
      <c r="E24" s="181">
        <f>'H) Péréquation directe'!I35/C24</f>
        <v>-0.93334697980154957</v>
      </c>
      <c r="F24" s="186">
        <f>'I) Dépenses thématiques'!P24</f>
        <v>-9.9640940981237023</v>
      </c>
      <c r="G24" s="143">
        <f t="shared" si="1"/>
        <v>7.4357279638891605</v>
      </c>
      <c r="H24" s="128">
        <f t="shared" si="0"/>
        <v>0</v>
      </c>
      <c r="I24" s="152">
        <f t="shared" si="2"/>
        <v>0</v>
      </c>
      <c r="J24" s="43">
        <f t="shared" si="3"/>
        <v>7.4357279638891605</v>
      </c>
    </row>
    <row r="25" spans="1:10" x14ac:dyDescent="0.25">
      <c r="A25" s="61">
        <f>'A) Base RI'!A27</f>
        <v>5426</v>
      </c>
      <c r="B25" s="114" t="str">
        <f>'A) Base RI'!B27</f>
        <v>Bougy-Villars</v>
      </c>
      <c r="C25" s="125">
        <f>'B) D RI'!U27</f>
        <v>42113.452258064506</v>
      </c>
      <c r="D25" s="147">
        <f>'E) Fact soc'!G31/C25</f>
        <v>26.665788133930082</v>
      </c>
      <c r="E25" s="181">
        <f>'H) Péréquation directe'!I36/C25</f>
        <v>15.548816782517354</v>
      </c>
      <c r="F25" s="186">
        <f>'I) Dépenses thématiques'!P25</f>
        <v>0</v>
      </c>
      <c r="G25" s="143">
        <f t="shared" si="1"/>
        <v>42.214604916447435</v>
      </c>
      <c r="H25" s="128">
        <f t="shared" si="0"/>
        <v>0</v>
      </c>
      <c r="I25" s="152">
        <f t="shared" si="2"/>
        <v>0</v>
      </c>
      <c r="J25" s="43">
        <f t="shared" si="3"/>
        <v>42.214604916447435</v>
      </c>
    </row>
    <row r="26" spans="1:10" x14ac:dyDescent="0.25">
      <c r="A26" s="61">
        <f>'A) Base RI'!A28</f>
        <v>5427</v>
      </c>
      <c r="B26" s="114" t="str">
        <f>'A) Base RI'!B28</f>
        <v>Féchy</v>
      </c>
      <c r="C26" s="125">
        <f>'B) D RI'!U28</f>
        <v>64357.078870192301</v>
      </c>
      <c r="D26" s="147">
        <f>'E) Fact soc'!G32/C26</f>
        <v>23.17445547849853</v>
      </c>
      <c r="E26" s="181">
        <f>'H) Péréquation directe'!I37/C26</f>
        <v>15.976940496313899</v>
      </c>
      <c r="F26" s="186">
        <f>'I) Dépenses thématiques'!P26</f>
        <v>0</v>
      </c>
      <c r="G26" s="143">
        <f t="shared" si="1"/>
        <v>39.151395974812431</v>
      </c>
      <c r="H26" s="128">
        <f t="shared" si="0"/>
        <v>0</v>
      </c>
      <c r="I26" s="152">
        <f t="shared" si="2"/>
        <v>0</v>
      </c>
      <c r="J26" s="43">
        <f t="shared" si="3"/>
        <v>39.151395974812431</v>
      </c>
    </row>
    <row r="27" spans="1:10" x14ac:dyDescent="0.25">
      <c r="A27" s="61">
        <f>'A) Base RI'!A29</f>
        <v>5428</v>
      </c>
      <c r="B27" s="114" t="str">
        <f>'A) Base RI'!B29</f>
        <v>Gimel</v>
      </c>
      <c r="C27" s="125">
        <f>'B) D RI'!U29</f>
        <v>57546.053752913758</v>
      </c>
      <c r="D27" s="147">
        <f>'E) Fact soc'!G33/C27</f>
        <v>20.219455624528482</v>
      </c>
      <c r="E27" s="181">
        <f>'H) Péréquation directe'!I38/C27</f>
        <v>2.0320811877930214</v>
      </c>
      <c r="F27" s="186">
        <f>'I) Dépenses thématiques'!P27</f>
        <v>-5.5910003022712145</v>
      </c>
      <c r="G27" s="143">
        <f t="shared" si="1"/>
        <v>16.660536510050289</v>
      </c>
      <c r="H27" s="128">
        <f t="shared" si="0"/>
        <v>0</v>
      </c>
      <c r="I27" s="152">
        <f t="shared" si="2"/>
        <v>0</v>
      </c>
      <c r="J27" s="43">
        <f t="shared" si="3"/>
        <v>16.660536510050289</v>
      </c>
    </row>
    <row r="28" spans="1:10" x14ac:dyDescent="0.25">
      <c r="A28" s="61">
        <f>'A) Base RI'!A30</f>
        <v>5429</v>
      </c>
      <c r="B28" s="114" t="str">
        <f>'A) Base RI'!B30</f>
        <v>Longirod</v>
      </c>
      <c r="C28" s="125">
        <f>'B) D RI'!U30</f>
        <v>13645.142716049384</v>
      </c>
      <c r="D28" s="147">
        <f>'E) Fact soc'!G34/C28</f>
        <v>18.054212972374295</v>
      </c>
      <c r="E28" s="181">
        <f>'H) Péréquation directe'!I39/C28</f>
        <v>2.2856164577174067</v>
      </c>
      <c r="F28" s="186">
        <f>'I) Dépenses thématiques'!P28</f>
        <v>-10.433412547044471</v>
      </c>
      <c r="G28" s="143">
        <f t="shared" si="1"/>
        <v>9.9064168830472301</v>
      </c>
      <c r="H28" s="128">
        <f t="shared" si="0"/>
        <v>0</v>
      </c>
      <c r="I28" s="152">
        <f t="shared" si="2"/>
        <v>0</v>
      </c>
      <c r="J28" s="43">
        <f t="shared" si="3"/>
        <v>9.9064168830472301</v>
      </c>
    </row>
    <row r="29" spans="1:10" x14ac:dyDescent="0.25">
      <c r="A29" s="61">
        <f>'A) Base RI'!A31</f>
        <v>5430</v>
      </c>
      <c r="B29" s="114" t="str">
        <f>'A) Base RI'!B31</f>
        <v>Marchissy</v>
      </c>
      <c r="C29" s="125">
        <f>'B) D RI'!U31</f>
        <v>12901.686543209877</v>
      </c>
      <c r="D29" s="147">
        <f>'E) Fact soc'!G35/C29</f>
        <v>23.118386302268512</v>
      </c>
      <c r="E29" s="181">
        <f>'H) Péréquation directe'!I40/C29</f>
        <v>1.2953223182530362</v>
      </c>
      <c r="F29" s="186">
        <f>'I) Dépenses thématiques'!P29</f>
        <v>-17.609568623503712</v>
      </c>
      <c r="G29" s="143">
        <f t="shared" si="1"/>
        <v>6.8041399970178347</v>
      </c>
      <c r="H29" s="128">
        <f t="shared" si="0"/>
        <v>0</v>
      </c>
      <c r="I29" s="152">
        <f t="shared" si="2"/>
        <v>0</v>
      </c>
      <c r="J29" s="43">
        <f t="shared" si="3"/>
        <v>6.8041399970178347</v>
      </c>
    </row>
    <row r="30" spans="1:10" x14ac:dyDescent="0.25">
      <c r="A30" s="61">
        <f>'A) Base RI'!A32</f>
        <v>5431</v>
      </c>
      <c r="B30" s="114" t="str">
        <f>'A) Base RI'!B32</f>
        <v>Mollens</v>
      </c>
      <c r="C30" s="125">
        <f>'B) D RI'!U32</f>
        <v>8965.3154054054066</v>
      </c>
      <c r="D30" s="147">
        <f>'E) Fact soc'!G36/C30</f>
        <v>17.610927914132461</v>
      </c>
      <c r="E30" s="181">
        <f>'H) Péréquation directe'!I41/C30</f>
        <v>5.6317919954788769</v>
      </c>
      <c r="F30" s="186">
        <f>'I) Dépenses thématiques'!P30</f>
        <v>-5.0063855932015624</v>
      </c>
      <c r="G30" s="143">
        <f t="shared" si="1"/>
        <v>18.236334316409774</v>
      </c>
      <c r="H30" s="128">
        <f t="shared" si="0"/>
        <v>0</v>
      </c>
      <c r="I30" s="152">
        <f t="shared" si="2"/>
        <v>0</v>
      </c>
      <c r="J30" s="43">
        <f t="shared" si="3"/>
        <v>18.236334316409774</v>
      </c>
    </row>
    <row r="31" spans="1:10" x14ac:dyDescent="0.25">
      <c r="A31" s="61">
        <f>'A) Base RI'!A33</f>
        <v>5432</v>
      </c>
      <c r="B31" s="114" t="str">
        <f>'A) Base RI'!B33</f>
        <v>Montherod</v>
      </c>
      <c r="C31" s="125">
        <f>'B) D RI'!U33</f>
        <v>18938.674054054052</v>
      </c>
      <c r="D31" s="147">
        <f>'E) Fact soc'!G37/C31</f>
        <v>20.041830933682409</v>
      </c>
      <c r="E31" s="181">
        <f>'H) Péréquation directe'!I42/C31</f>
        <v>11.395028020564345</v>
      </c>
      <c r="F31" s="186">
        <f>'I) Dépenses thématiques'!P31</f>
        <v>0</v>
      </c>
      <c r="G31" s="143">
        <f t="shared" si="1"/>
        <v>31.436858954246752</v>
      </c>
      <c r="H31" s="128">
        <f t="shared" si="0"/>
        <v>0</v>
      </c>
      <c r="I31" s="152">
        <f t="shared" si="2"/>
        <v>0</v>
      </c>
      <c r="J31" s="43">
        <f t="shared" si="3"/>
        <v>31.436858954246752</v>
      </c>
    </row>
    <row r="32" spans="1:10" x14ac:dyDescent="0.25">
      <c r="A32" s="61">
        <f>'A) Base RI'!A34</f>
        <v>5434</v>
      </c>
      <c r="B32" s="114" t="str">
        <f>'A) Base RI'!B34</f>
        <v>Saint-George</v>
      </c>
      <c r="C32" s="125">
        <f>'B) D RI'!U34</f>
        <v>33015.772116788328</v>
      </c>
      <c r="D32" s="147">
        <f>'E) Fact soc'!G38/C32</f>
        <v>19.633354913236015</v>
      </c>
      <c r="E32" s="181">
        <f>'H) Péréquation directe'!I43/C32</f>
        <v>10.753618190476121</v>
      </c>
      <c r="F32" s="186">
        <f>'I) Dépenses thématiques'!P32</f>
        <v>-4.1924897028423533</v>
      </c>
      <c r="G32" s="143">
        <f t="shared" si="1"/>
        <v>26.194483400869785</v>
      </c>
      <c r="H32" s="128">
        <f t="shared" si="0"/>
        <v>0</v>
      </c>
      <c r="I32" s="152">
        <f t="shared" si="2"/>
        <v>0</v>
      </c>
      <c r="J32" s="43">
        <f t="shared" si="3"/>
        <v>26.194483400869785</v>
      </c>
    </row>
    <row r="33" spans="1:10" x14ac:dyDescent="0.25">
      <c r="A33" s="61">
        <f>'A) Base RI'!A35</f>
        <v>5435</v>
      </c>
      <c r="B33" s="114" t="str">
        <f>'A) Base RI'!B35</f>
        <v>Saint-Livres</v>
      </c>
      <c r="C33" s="125">
        <f>'B) D RI'!U35</f>
        <v>24335.25550724638</v>
      </c>
      <c r="D33" s="147">
        <f>'E) Fact soc'!G39/C33</f>
        <v>16.135390159874589</v>
      </c>
      <c r="E33" s="181">
        <f>'H) Péréquation directe'!I44/C33</f>
        <v>10.162091692955967</v>
      </c>
      <c r="F33" s="186">
        <f>'I) Dépenses thématiques'!P33</f>
        <v>-1.0750766632099038</v>
      </c>
      <c r="G33" s="143">
        <f t="shared" si="1"/>
        <v>25.222405189620655</v>
      </c>
      <c r="H33" s="128">
        <f t="shared" si="0"/>
        <v>0</v>
      </c>
      <c r="I33" s="152">
        <f t="shared" si="2"/>
        <v>0</v>
      </c>
      <c r="J33" s="43">
        <f t="shared" si="3"/>
        <v>25.222405189620655</v>
      </c>
    </row>
    <row r="34" spans="1:10" x14ac:dyDescent="0.25">
      <c r="A34" s="61">
        <f>'A) Base RI'!A36</f>
        <v>5436</v>
      </c>
      <c r="B34" s="114" t="str">
        <f>'A) Base RI'!B36</f>
        <v>Saint-Oyens</v>
      </c>
      <c r="C34" s="125">
        <f>'B) D RI'!U36</f>
        <v>9937.7678395061721</v>
      </c>
      <c r="D34" s="147">
        <f>'E) Fact soc'!G40/C34</f>
        <v>19.406018033286806</v>
      </c>
      <c r="E34" s="181">
        <f>'H) Péréquation directe'!I45/C34</f>
        <v>1.3054380867933819</v>
      </c>
      <c r="F34" s="186">
        <f>'I) Dépenses thématiques'!P34</f>
        <v>-6.4637206555273039</v>
      </c>
      <c r="G34" s="143">
        <f t="shared" si="1"/>
        <v>14.247735464552882</v>
      </c>
      <c r="H34" s="128">
        <f t="shared" si="0"/>
        <v>0</v>
      </c>
      <c r="I34" s="152">
        <f t="shared" si="2"/>
        <v>0</v>
      </c>
      <c r="J34" s="43">
        <f t="shared" si="3"/>
        <v>14.247735464552882</v>
      </c>
    </row>
    <row r="35" spans="1:10" x14ac:dyDescent="0.25">
      <c r="A35" s="61">
        <f>'A) Base RI'!A37</f>
        <v>5437</v>
      </c>
      <c r="B35" s="114" t="str">
        <f>'A) Base RI'!B37</f>
        <v>Saubraz</v>
      </c>
      <c r="C35" s="125">
        <f>'B) D RI'!U37</f>
        <v>9144.65614457831</v>
      </c>
      <c r="D35" s="147">
        <f>'E) Fact soc'!G41/C35</f>
        <v>29.106941049976918</v>
      </c>
      <c r="E35" s="181">
        <f>'H) Péréquation directe'!I46/C35</f>
        <v>-9.8953292861138085</v>
      </c>
      <c r="F35" s="186">
        <f>'I) Dépenses thématiques'!P35</f>
        <v>-5.7382959564242544</v>
      </c>
      <c r="G35" s="143">
        <f t="shared" si="1"/>
        <v>13.473315807438857</v>
      </c>
      <c r="H35" s="128">
        <f t="shared" si="0"/>
        <v>0</v>
      </c>
      <c r="I35" s="152">
        <f t="shared" si="2"/>
        <v>0</v>
      </c>
      <c r="J35" s="43">
        <f t="shared" si="3"/>
        <v>13.473315807438857</v>
      </c>
    </row>
    <row r="36" spans="1:10" x14ac:dyDescent="0.25">
      <c r="A36" s="61">
        <f>'A) Base RI'!A38</f>
        <v>5451</v>
      </c>
      <c r="B36" s="114" t="str">
        <f>'A) Base RI'!B38</f>
        <v>Avenches</v>
      </c>
      <c r="C36" s="125">
        <f>'B) D RI'!U38</f>
        <v>102028.81651960785</v>
      </c>
      <c r="D36" s="147">
        <f>'E) Fact soc'!G42/C36</f>
        <v>19.854704274809482</v>
      </c>
      <c r="E36" s="181">
        <f>'H) Péréquation directe'!I47/C36</f>
        <v>-8.5742886071829609</v>
      </c>
      <c r="F36" s="186">
        <f>'I) Dépenses thématiques'!P36</f>
        <v>-15.571776356509195</v>
      </c>
      <c r="G36" s="143">
        <f t="shared" si="1"/>
        <v>-4.2913606888826745</v>
      </c>
      <c r="H36" s="128">
        <f t="shared" si="0"/>
        <v>0</v>
      </c>
      <c r="I36" s="152">
        <f t="shared" si="2"/>
        <v>0</v>
      </c>
      <c r="J36" s="43">
        <f t="shared" si="3"/>
        <v>-4.2913606888826745</v>
      </c>
    </row>
    <row r="37" spans="1:10" x14ac:dyDescent="0.25">
      <c r="A37" s="61">
        <f>'A) Base RI'!A39</f>
        <v>5456</v>
      </c>
      <c r="B37" s="114" t="str">
        <f>'A) Base RI'!B39</f>
        <v>Cudrefin</v>
      </c>
      <c r="C37" s="125">
        <f>'B) D RI'!U39</f>
        <v>45272.368813559326</v>
      </c>
      <c r="D37" s="147">
        <f>'E) Fact soc'!G43/C37</f>
        <v>24.008983824763071</v>
      </c>
      <c r="E37" s="181">
        <f>'H) Péréquation directe'!I48/C37</f>
        <v>5.8568098018486383</v>
      </c>
      <c r="F37" s="186">
        <f>'I) Dépenses thématiques'!P37</f>
        <v>-5.9163874483578374</v>
      </c>
      <c r="G37" s="143">
        <f t="shared" si="1"/>
        <v>23.94940617825387</v>
      </c>
      <c r="H37" s="128">
        <f t="shared" si="0"/>
        <v>0</v>
      </c>
      <c r="I37" s="152">
        <f t="shared" si="2"/>
        <v>0</v>
      </c>
      <c r="J37" s="43">
        <f t="shared" si="3"/>
        <v>23.94940617825387</v>
      </c>
    </row>
    <row r="38" spans="1:10" x14ac:dyDescent="0.25">
      <c r="A38" s="61">
        <f>'A) Base RI'!A40</f>
        <v>5458</v>
      </c>
      <c r="B38" s="114" t="str">
        <f>'A) Base RI'!B40</f>
        <v>Faoug</v>
      </c>
      <c r="C38" s="125">
        <f>'B) D RI'!U40</f>
        <v>28143.986721311474</v>
      </c>
      <c r="D38" s="147">
        <f>'E) Fact soc'!G44/C38</f>
        <v>18.729605940064232</v>
      </c>
      <c r="E38" s="181">
        <f>'H) Péréquation directe'!I49/C38</f>
        <v>10.610622926672287</v>
      </c>
      <c r="F38" s="186">
        <f>'I) Dépenses thématiques'!P38</f>
        <v>-4.0899017347634548</v>
      </c>
      <c r="G38" s="143">
        <f t="shared" si="1"/>
        <v>25.250327131973062</v>
      </c>
      <c r="H38" s="128">
        <f t="shared" si="0"/>
        <v>0</v>
      </c>
      <c r="I38" s="152">
        <f t="shared" si="2"/>
        <v>0</v>
      </c>
      <c r="J38" s="43">
        <f t="shared" si="3"/>
        <v>25.250327131973062</v>
      </c>
    </row>
    <row r="39" spans="1:10" x14ac:dyDescent="0.25">
      <c r="A39" s="61">
        <f>'A) Base RI'!A41</f>
        <v>5464</v>
      </c>
      <c r="B39" s="114" t="str">
        <f>'A) Base RI'!B41</f>
        <v>Vully-les-Lacs</v>
      </c>
      <c r="C39" s="125">
        <f>'B) D RI'!U41</f>
        <v>96865.968557213928</v>
      </c>
      <c r="D39" s="147">
        <f>'E) Fact soc'!G45/C39</f>
        <v>19.368754538340593</v>
      </c>
      <c r="E39" s="181">
        <f>'H) Péréquation directe'!I50/C39</f>
        <v>5.9346889958364875</v>
      </c>
      <c r="F39" s="186">
        <f>'I) Dépenses thématiques'!P39</f>
        <v>-4.6322862720864215</v>
      </c>
      <c r="G39" s="143">
        <f t="shared" si="1"/>
        <v>20.671157262090659</v>
      </c>
      <c r="H39" s="128">
        <f t="shared" si="0"/>
        <v>0</v>
      </c>
      <c r="I39" s="152">
        <f t="shared" si="2"/>
        <v>0</v>
      </c>
      <c r="J39" s="43">
        <f t="shared" si="3"/>
        <v>20.671157262090659</v>
      </c>
    </row>
    <row r="40" spans="1:10" x14ac:dyDescent="0.25">
      <c r="A40" s="61">
        <f>'A) Base RI'!A42</f>
        <v>5471</v>
      </c>
      <c r="B40" s="114" t="str">
        <f>'A) Base RI'!B42</f>
        <v>Bettens</v>
      </c>
      <c r="C40" s="125">
        <f>'B) D RI'!U42</f>
        <v>18168.257063492067</v>
      </c>
      <c r="D40" s="147">
        <f>'E) Fact soc'!G46/C40</f>
        <v>19.026795517518007</v>
      </c>
      <c r="E40" s="181">
        <f>'H) Péréquation directe'!I51/C40</f>
        <v>8.6988775708788815</v>
      </c>
      <c r="F40" s="186">
        <f>'I) Dépenses thématiques'!P40</f>
        <v>0</v>
      </c>
      <c r="G40" s="143">
        <f t="shared" si="1"/>
        <v>27.725673088396888</v>
      </c>
      <c r="H40" s="128">
        <f t="shared" si="0"/>
        <v>0</v>
      </c>
      <c r="I40" s="152">
        <f t="shared" si="2"/>
        <v>0</v>
      </c>
      <c r="J40" s="43">
        <f t="shared" si="3"/>
        <v>27.725673088396888</v>
      </c>
    </row>
    <row r="41" spans="1:10" x14ac:dyDescent="0.25">
      <c r="A41" s="61">
        <f>'A) Base RI'!A43</f>
        <v>5472</v>
      </c>
      <c r="B41" s="114" t="str">
        <f>'A) Base RI'!B43</f>
        <v>Bournens</v>
      </c>
      <c r="C41" s="125">
        <f>'B) D RI'!U43</f>
        <v>13213.617875</v>
      </c>
      <c r="D41" s="147">
        <f>'E) Fact soc'!G47/C41</f>
        <v>19.380395880686592</v>
      </c>
      <c r="E41" s="181">
        <f>'H) Péréquation directe'!I52/C41</f>
        <v>9.5672711497164862</v>
      </c>
      <c r="F41" s="186">
        <f>'I) Dépenses thématiques'!P41</f>
        <v>-2.0412201850518836</v>
      </c>
      <c r="G41" s="143">
        <f t="shared" si="1"/>
        <v>26.906446845351194</v>
      </c>
      <c r="H41" s="128">
        <f t="shared" si="0"/>
        <v>0</v>
      </c>
      <c r="I41" s="152">
        <f t="shared" si="2"/>
        <v>0</v>
      </c>
      <c r="J41" s="43">
        <f t="shared" si="3"/>
        <v>26.906446845351194</v>
      </c>
    </row>
    <row r="42" spans="1:10" x14ac:dyDescent="0.25">
      <c r="A42" s="61">
        <f>'A) Base RI'!A44</f>
        <v>5473</v>
      </c>
      <c r="B42" s="114" t="str">
        <f>'A) Base RI'!B44</f>
        <v>Boussens</v>
      </c>
      <c r="C42" s="125">
        <f>'B) D RI'!U44</f>
        <v>33007.750579710155</v>
      </c>
      <c r="D42" s="147">
        <f>'E) Fact soc'!G48/C42</f>
        <v>16.123799025573518</v>
      </c>
      <c r="E42" s="181">
        <f>'H) Péréquation directe'!I53/C42</f>
        <v>10.4194026506018</v>
      </c>
      <c r="F42" s="186">
        <f>'I) Dépenses thématiques'!P42</f>
        <v>0</v>
      </c>
      <c r="G42" s="143">
        <f t="shared" si="1"/>
        <v>26.543201676175318</v>
      </c>
      <c r="H42" s="128">
        <f t="shared" si="0"/>
        <v>0</v>
      </c>
      <c r="I42" s="152">
        <f t="shared" si="2"/>
        <v>0</v>
      </c>
      <c r="J42" s="43">
        <f t="shared" si="3"/>
        <v>26.543201676175318</v>
      </c>
    </row>
    <row r="43" spans="1:10" x14ac:dyDescent="0.25">
      <c r="A43" s="61">
        <f>'A) Base RI'!A45</f>
        <v>5474</v>
      </c>
      <c r="B43" s="114" t="str">
        <f>'A) Base RI'!B45</f>
        <v>La Chaux (Cossonay)</v>
      </c>
      <c r="C43" s="125">
        <f>'B) D RI'!U45</f>
        <v>12690.44829004329</v>
      </c>
      <c r="D43" s="147">
        <f>'E) Fact soc'!G49/C43</f>
        <v>14.942818669545806</v>
      </c>
      <c r="E43" s="181">
        <f>'H) Péréquation directe'!I54/C43</f>
        <v>4.3941902843270215</v>
      </c>
      <c r="F43" s="186">
        <f>'I) Dépenses thématiques'!P43</f>
        <v>-8.7893997737521055</v>
      </c>
      <c r="G43" s="143">
        <f t="shared" si="1"/>
        <v>10.547609180120723</v>
      </c>
      <c r="H43" s="128">
        <f t="shared" si="0"/>
        <v>0</v>
      </c>
      <c r="I43" s="152">
        <f t="shared" si="2"/>
        <v>0</v>
      </c>
      <c r="J43" s="43">
        <f t="shared" si="3"/>
        <v>10.547609180120723</v>
      </c>
    </row>
    <row r="44" spans="1:10" x14ac:dyDescent="0.25">
      <c r="A44" s="61">
        <f>'A) Base RI'!A46</f>
        <v>5475</v>
      </c>
      <c r="B44" s="114" t="str">
        <f>'A) Base RI'!B46</f>
        <v>Chavannes-le-Veyron</v>
      </c>
      <c r="C44" s="125">
        <f>'B) D RI'!U46</f>
        <v>2750.1545454545449</v>
      </c>
      <c r="D44" s="147">
        <f>'E) Fact soc'!G50/C44</f>
        <v>16.187927503331501</v>
      </c>
      <c r="E44" s="181">
        <f>'H) Péréquation directe'!I55/C44</f>
        <v>-7.5141040976164977</v>
      </c>
      <c r="F44" s="186">
        <f>'I) Dépenses thématiques'!P44</f>
        <v>-23.923075528146608</v>
      </c>
      <c r="G44" s="143">
        <f t="shared" si="1"/>
        <v>-15.249252122431605</v>
      </c>
      <c r="H44" s="128">
        <f t="shared" si="0"/>
        <v>0</v>
      </c>
      <c r="I44" s="152">
        <f t="shared" si="2"/>
        <v>0</v>
      </c>
      <c r="J44" s="43">
        <f t="shared" si="3"/>
        <v>-15.249252122431605</v>
      </c>
    </row>
    <row r="45" spans="1:10" x14ac:dyDescent="0.25">
      <c r="A45" s="61">
        <f>'A) Base RI'!A47</f>
        <v>5476</v>
      </c>
      <c r="B45" s="114" t="str">
        <f>'A) Base RI'!B47</f>
        <v>Chevilly</v>
      </c>
      <c r="C45" s="125">
        <f>'B) D RI'!U47</f>
        <v>7887.6179729729729</v>
      </c>
      <c r="D45" s="147">
        <f>'E) Fact soc'!G51/C45</f>
        <v>20.411357147480292</v>
      </c>
      <c r="E45" s="181">
        <f>'H) Péréquation directe'!I56/C45</f>
        <v>1.9605964410207346</v>
      </c>
      <c r="F45" s="186">
        <f>'I) Dépenses thématiques'!P45</f>
        <v>-4.6729365759368591</v>
      </c>
      <c r="G45" s="143">
        <f t="shared" si="1"/>
        <v>17.699017012564166</v>
      </c>
      <c r="H45" s="128">
        <f t="shared" si="0"/>
        <v>0</v>
      </c>
      <c r="I45" s="152">
        <f t="shared" si="2"/>
        <v>0</v>
      </c>
      <c r="J45" s="43">
        <f t="shared" si="3"/>
        <v>17.699017012564166</v>
      </c>
    </row>
    <row r="46" spans="1:10" x14ac:dyDescent="0.25">
      <c r="A46" s="61">
        <f>'A) Base RI'!A48</f>
        <v>5477</v>
      </c>
      <c r="B46" s="114" t="str">
        <f>'A) Base RI'!B48</f>
        <v>Cossonay</v>
      </c>
      <c r="C46" s="125">
        <f>'B) D RI'!U48</f>
        <v>120589.74256854257</v>
      </c>
      <c r="D46" s="147">
        <f>'E) Fact soc'!G52/C46</f>
        <v>18.73611916964105</v>
      </c>
      <c r="E46" s="181">
        <f>'H) Péréquation directe'!I57/C46</f>
        <v>3.0519669837201571</v>
      </c>
      <c r="F46" s="186">
        <f>'I) Dépenses thématiques'!P46</f>
        <v>-5.4608327568467239</v>
      </c>
      <c r="G46" s="143">
        <f t="shared" si="1"/>
        <v>16.327253396514482</v>
      </c>
      <c r="H46" s="128">
        <f t="shared" si="0"/>
        <v>0</v>
      </c>
      <c r="I46" s="152">
        <f t="shared" si="2"/>
        <v>0</v>
      </c>
      <c r="J46" s="43">
        <f t="shared" si="3"/>
        <v>16.327253396514482</v>
      </c>
    </row>
    <row r="47" spans="1:10" x14ac:dyDescent="0.25">
      <c r="A47" s="61">
        <f>'A) Base RI'!A49</f>
        <v>5478</v>
      </c>
      <c r="B47" s="114" t="str">
        <f>'A) Base RI'!B49</f>
        <v>Cottens</v>
      </c>
      <c r="C47" s="125">
        <f>'B) D RI'!U49</f>
        <v>15464.23347222222</v>
      </c>
      <c r="D47" s="147">
        <f>'E) Fact soc'!G53/C47</f>
        <v>16.412735457067122</v>
      </c>
      <c r="E47" s="181">
        <f>'H) Péréquation directe'!I58/C47</f>
        <v>8.3733411626914513</v>
      </c>
      <c r="F47" s="186">
        <f>'I) Dépenses thématiques'!P47</f>
        <v>-0.62270965388311261</v>
      </c>
      <c r="G47" s="143">
        <f t="shared" si="1"/>
        <v>24.163366965875461</v>
      </c>
      <c r="H47" s="128">
        <f t="shared" si="0"/>
        <v>0</v>
      </c>
      <c r="I47" s="152">
        <f t="shared" si="2"/>
        <v>0</v>
      </c>
      <c r="J47" s="43">
        <f t="shared" si="3"/>
        <v>24.163366965875461</v>
      </c>
    </row>
    <row r="48" spans="1:10" x14ac:dyDescent="0.25">
      <c r="A48" s="61">
        <f>'A) Base RI'!A50</f>
        <v>5479</v>
      </c>
      <c r="B48" s="114" t="str">
        <f>'A) Base RI'!B50</f>
        <v>Cuarnens</v>
      </c>
      <c r="C48" s="125">
        <f>'B) D RI'!U50</f>
        <v>11805.525064935064</v>
      </c>
      <c r="D48" s="147">
        <f>'E) Fact soc'!G54/C48</f>
        <v>16.205011817100228</v>
      </c>
      <c r="E48" s="181">
        <f>'H) Péréquation directe'!I59/C48</f>
        <v>-0.1729354425395831</v>
      </c>
      <c r="F48" s="186">
        <f>'I) Dépenses thématiques'!P48</f>
        <v>-15.789339755657236</v>
      </c>
      <c r="G48" s="143">
        <f t="shared" si="1"/>
        <v>0.24273661890340925</v>
      </c>
      <c r="H48" s="128">
        <f t="shared" si="0"/>
        <v>0</v>
      </c>
      <c r="I48" s="152">
        <f t="shared" si="2"/>
        <v>0</v>
      </c>
      <c r="J48" s="43">
        <f t="shared" si="3"/>
        <v>0.24273661890340925</v>
      </c>
    </row>
    <row r="49" spans="1:10" x14ac:dyDescent="0.25">
      <c r="A49" s="61">
        <f>'A) Base RI'!A51</f>
        <v>5480</v>
      </c>
      <c r="B49" s="114" t="str">
        <f>'A) Base RI'!B51</f>
        <v>Daillens</v>
      </c>
      <c r="C49" s="125">
        <f>'B) D RI'!U51</f>
        <v>42113.849718309852</v>
      </c>
      <c r="D49" s="147">
        <f>'E) Fact soc'!G55/C49</f>
        <v>19.69358471433662</v>
      </c>
      <c r="E49" s="181">
        <f>'H) Péréquation directe'!I60/C49</f>
        <v>16.378319115718259</v>
      </c>
      <c r="F49" s="186">
        <f>'I) Dépenses thématiques'!P49</f>
        <v>-4.3180938300424314</v>
      </c>
      <c r="G49" s="143">
        <f t="shared" si="1"/>
        <v>31.753810000012447</v>
      </c>
      <c r="H49" s="128">
        <f t="shared" si="0"/>
        <v>0</v>
      </c>
      <c r="I49" s="152">
        <f t="shared" si="2"/>
        <v>0</v>
      </c>
      <c r="J49" s="43">
        <f t="shared" si="3"/>
        <v>31.753810000012447</v>
      </c>
    </row>
    <row r="50" spans="1:10" x14ac:dyDescent="0.25">
      <c r="A50" s="61">
        <f>'A) Base RI'!A52</f>
        <v>5481</v>
      </c>
      <c r="B50" s="114" t="str">
        <f>'A) Base RI'!B52</f>
        <v>Dizy</v>
      </c>
      <c r="C50" s="125">
        <f>'B) D RI'!U52</f>
        <v>8240.9954054054051</v>
      </c>
      <c r="D50" s="147">
        <f>'E) Fact soc'!G56/C50</f>
        <v>16.963210888882507</v>
      </c>
      <c r="E50" s="181">
        <f>'H) Péréquation directe'!I61/C50</f>
        <v>11.960898462726682</v>
      </c>
      <c r="F50" s="186">
        <f>'I) Dépenses thématiques'!P50</f>
        <v>-1.4957923324376057</v>
      </c>
      <c r="G50" s="143">
        <f t="shared" si="1"/>
        <v>27.428317019171583</v>
      </c>
      <c r="H50" s="128">
        <f t="shared" si="0"/>
        <v>0</v>
      </c>
      <c r="I50" s="152">
        <f t="shared" si="2"/>
        <v>0</v>
      </c>
      <c r="J50" s="43">
        <f t="shared" si="3"/>
        <v>27.428317019171583</v>
      </c>
    </row>
    <row r="51" spans="1:10" x14ac:dyDescent="0.25">
      <c r="A51" s="61">
        <f>'A) Base RI'!A53</f>
        <v>5482</v>
      </c>
      <c r="B51" s="114" t="str">
        <f>'A) Base RI'!B53</f>
        <v>Eclépens</v>
      </c>
      <c r="C51" s="125">
        <f>'B) D RI'!U53</f>
        <v>64551.928043478263</v>
      </c>
      <c r="D51" s="147">
        <f>'E) Fact soc'!G57/C51</f>
        <v>19.147246188273286</v>
      </c>
      <c r="E51" s="181">
        <f>'H) Péréquation directe'!I62/C51</f>
        <v>16.312775982166823</v>
      </c>
      <c r="F51" s="186">
        <f>'I) Dépenses thématiques'!P51</f>
        <v>-0.15427650296038761</v>
      </c>
      <c r="G51" s="143">
        <f t="shared" si="1"/>
        <v>35.305745667479727</v>
      </c>
      <c r="H51" s="128">
        <f t="shared" si="0"/>
        <v>0</v>
      </c>
      <c r="I51" s="152">
        <f t="shared" si="2"/>
        <v>0</v>
      </c>
      <c r="J51" s="43">
        <f t="shared" si="3"/>
        <v>35.305745667479727</v>
      </c>
    </row>
    <row r="52" spans="1:10" x14ac:dyDescent="0.25">
      <c r="A52" s="61">
        <f>'A) Base RI'!A54</f>
        <v>5483</v>
      </c>
      <c r="B52" s="114" t="str">
        <f>'A) Base RI'!B54</f>
        <v>Ferreyres</v>
      </c>
      <c r="C52" s="125">
        <f>'B) D RI'!U54</f>
        <v>9097.5578947368413</v>
      </c>
      <c r="D52" s="147">
        <f>'E) Fact soc'!G58/C52</f>
        <v>16.989196880042616</v>
      </c>
      <c r="E52" s="181">
        <f>'H) Péréquation directe'!I63/C52</f>
        <v>3.3080086879984587</v>
      </c>
      <c r="F52" s="186">
        <f>'I) Dépenses thématiques'!P52</f>
        <v>-1.9050793595788091</v>
      </c>
      <c r="G52" s="143">
        <f t="shared" si="1"/>
        <v>18.392126208462265</v>
      </c>
      <c r="H52" s="128">
        <f t="shared" si="0"/>
        <v>0</v>
      </c>
      <c r="I52" s="152">
        <f t="shared" si="2"/>
        <v>0</v>
      </c>
      <c r="J52" s="43">
        <f t="shared" si="3"/>
        <v>18.392126208462265</v>
      </c>
    </row>
    <row r="53" spans="1:10" x14ac:dyDescent="0.25">
      <c r="A53" s="61">
        <f>'A) Base RI'!A55</f>
        <v>5484</v>
      </c>
      <c r="B53" s="114" t="str">
        <f>'A) Base RI'!B55</f>
        <v>Gollion</v>
      </c>
      <c r="C53" s="125">
        <f>'B) D RI'!U55</f>
        <v>23163.007162162161</v>
      </c>
      <c r="D53" s="147">
        <f>'E) Fact soc'!G59/C53</f>
        <v>20.825878769343394</v>
      </c>
      <c r="E53" s="181">
        <f>'H) Péréquation directe'!I64/C53</f>
        <v>1.1776127257288886</v>
      </c>
      <c r="F53" s="186">
        <f>'I) Dépenses thématiques'!P53</f>
        <v>-6.6061266418648561</v>
      </c>
      <c r="G53" s="143">
        <f t="shared" si="1"/>
        <v>15.397364853207426</v>
      </c>
      <c r="H53" s="128">
        <f t="shared" si="0"/>
        <v>0</v>
      </c>
      <c r="I53" s="152">
        <f t="shared" si="2"/>
        <v>0</v>
      </c>
      <c r="J53" s="43">
        <f t="shared" si="3"/>
        <v>15.397364853207426</v>
      </c>
    </row>
    <row r="54" spans="1:10" x14ac:dyDescent="0.25">
      <c r="A54" s="61">
        <f>'A) Base RI'!A56</f>
        <v>5485</v>
      </c>
      <c r="B54" s="114" t="str">
        <f>'A) Base RI'!B56</f>
        <v>Grancy</v>
      </c>
      <c r="C54" s="125">
        <f>'B) D RI'!U56</f>
        <v>17298.355857142858</v>
      </c>
      <c r="D54" s="147">
        <f>'E) Fact soc'!G60/C54</f>
        <v>17.377157915554495</v>
      </c>
      <c r="E54" s="181">
        <f>'H) Péréquation directe'!I65/C54</f>
        <v>16.139137059398795</v>
      </c>
      <c r="F54" s="186">
        <f>'I) Dépenses thématiques'!P54</f>
        <v>-3.0088334859642725</v>
      </c>
      <c r="G54" s="143">
        <f t="shared" si="1"/>
        <v>30.507461488989016</v>
      </c>
      <c r="H54" s="128">
        <f t="shared" si="0"/>
        <v>0</v>
      </c>
      <c r="I54" s="152">
        <f t="shared" si="2"/>
        <v>0</v>
      </c>
      <c r="J54" s="43">
        <f t="shared" si="3"/>
        <v>30.507461488989016</v>
      </c>
    </row>
    <row r="55" spans="1:10" x14ac:dyDescent="0.25">
      <c r="A55" s="61">
        <f>'A) Base RI'!A57</f>
        <v>5486</v>
      </c>
      <c r="B55" s="114" t="str">
        <f>'A) Base RI'!B57</f>
        <v>L'Isle</v>
      </c>
      <c r="C55" s="125">
        <f>'B) D RI'!U57</f>
        <v>27212.445657894736</v>
      </c>
      <c r="D55" s="147">
        <f>'E) Fact soc'!G61/C55</f>
        <v>25.359918697126851</v>
      </c>
      <c r="E55" s="181">
        <f>'H) Péréquation directe'!I66/C55</f>
        <v>-0.89509156453678407</v>
      </c>
      <c r="F55" s="186">
        <f>'I) Dépenses thématiques'!P55</f>
        <v>-12.80980883195013</v>
      </c>
      <c r="G55" s="143">
        <f t="shared" si="1"/>
        <v>11.655018300639936</v>
      </c>
      <c r="H55" s="128">
        <f t="shared" si="0"/>
        <v>0</v>
      </c>
      <c r="I55" s="152">
        <f t="shared" si="2"/>
        <v>0</v>
      </c>
      <c r="J55" s="43">
        <f t="shared" si="3"/>
        <v>11.655018300639936</v>
      </c>
    </row>
    <row r="56" spans="1:10" x14ac:dyDescent="0.25">
      <c r="A56" s="61">
        <f>'A) Base RI'!A58</f>
        <v>5487</v>
      </c>
      <c r="B56" s="114" t="str">
        <f>'A) Base RI'!B58</f>
        <v>Lussery-Villars</v>
      </c>
      <c r="C56" s="125">
        <f>'B) D RI'!U58</f>
        <v>12274.32455882353</v>
      </c>
      <c r="D56" s="147">
        <f>'E) Fact soc'!G62/C56</f>
        <v>17.439832912546052</v>
      </c>
      <c r="E56" s="181">
        <f>'H) Péréquation directe'!I67/C56</f>
        <v>5.6240687992685912</v>
      </c>
      <c r="F56" s="186">
        <f>'I) Dépenses thématiques'!P56</f>
        <v>-3.5998732795260504</v>
      </c>
      <c r="G56" s="143">
        <f t="shared" si="1"/>
        <v>19.464028432288593</v>
      </c>
      <c r="H56" s="128">
        <f t="shared" si="0"/>
        <v>0</v>
      </c>
      <c r="I56" s="152">
        <f t="shared" si="2"/>
        <v>0</v>
      </c>
      <c r="J56" s="43">
        <f t="shared" si="3"/>
        <v>19.464028432288593</v>
      </c>
    </row>
    <row r="57" spans="1:10" x14ac:dyDescent="0.25">
      <c r="A57" s="61">
        <f>'A) Base RI'!A59</f>
        <v>5488</v>
      </c>
      <c r="B57" s="114" t="str">
        <f>'A) Base RI'!B59</f>
        <v>Mauraz</v>
      </c>
      <c r="C57" s="125">
        <f>'B) D RI'!U59</f>
        <v>1417.5255405405405</v>
      </c>
      <c r="D57" s="147">
        <f>'E) Fact soc'!G63/C57</f>
        <v>15.524464788839424</v>
      </c>
      <c r="E57" s="181">
        <f>'H) Péréquation directe'!I68/C57</f>
        <v>3.7526923678311963</v>
      </c>
      <c r="F57" s="186">
        <f>'I) Dépenses thématiques'!P57</f>
        <v>-3.3443530875490342</v>
      </c>
      <c r="G57" s="143">
        <f t="shared" si="1"/>
        <v>15.932804069121584</v>
      </c>
      <c r="H57" s="128">
        <f t="shared" si="0"/>
        <v>0</v>
      </c>
      <c r="I57" s="152">
        <f t="shared" si="2"/>
        <v>0</v>
      </c>
      <c r="J57" s="43">
        <f t="shared" si="3"/>
        <v>15.932804069121584</v>
      </c>
    </row>
    <row r="58" spans="1:10" x14ac:dyDescent="0.25">
      <c r="A58" s="61">
        <f>'A) Base RI'!A60</f>
        <v>5489</v>
      </c>
      <c r="B58" s="114" t="str">
        <f>'A) Base RI'!B60</f>
        <v>Mex</v>
      </c>
      <c r="C58" s="125">
        <f>'B) D RI'!U60</f>
        <v>37121.285573770496</v>
      </c>
      <c r="D58" s="147">
        <f>'E) Fact soc'!G64/C58</f>
        <v>17.481814943763226</v>
      </c>
      <c r="E58" s="181">
        <f>'H) Péréquation directe'!I69/C58</f>
        <v>16.761977149522153</v>
      </c>
      <c r="F58" s="186">
        <f>'I) Dépenses thématiques'!P58</f>
        <v>-0.18588285861102707</v>
      </c>
      <c r="G58" s="143">
        <f t="shared" si="1"/>
        <v>34.057909234674348</v>
      </c>
      <c r="H58" s="128">
        <f t="shared" si="0"/>
        <v>0</v>
      </c>
      <c r="I58" s="152">
        <f t="shared" si="2"/>
        <v>0</v>
      </c>
      <c r="J58" s="43">
        <f t="shared" si="3"/>
        <v>34.057909234674348</v>
      </c>
    </row>
    <row r="59" spans="1:10" x14ac:dyDescent="0.25">
      <c r="A59" s="61">
        <f>'A) Base RI'!A61</f>
        <v>5490</v>
      </c>
      <c r="B59" s="114" t="str">
        <f>'A) Base RI'!B61</f>
        <v>Moiry</v>
      </c>
      <c r="C59" s="125">
        <f>'B) D RI'!U61</f>
        <v>7321.727037037037</v>
      </c>
      <c r="D59" s="147">
        <f>'E) Fact soc'!G65/C59</f>
        <v>17.434813252971775</v>
      </c>
      <c r="E59" s="181">
        <f>'H) Péréquation directe'!I70/C59</f>
        <v>-4.8064512399694115</v>
      </c>
      <c r="F59" s="186">
        <f>'I) Dépenses thématiques'!P59</f>
        <v>-2.4471385380991171</v>
      </c>
      <c r="G59" s="143">
        <f t="shared" si="1"/>
        <v>10.181223474903245</v>
      </c>
      <c r="H59" s="128">
        <f t="shared" si="0"/>
        <v>0</v>
      </c>
      <c r="I59" s="152">
        <f t="shared" si="2"/>
        <v>0</v>
      </c>
      <c r="J59" s="43">
        <f t="shared" si="3"/>
        <v>10.181223474903245</v>
      </c>
    </row>
    <row r="60" spans="1:10" x14ac:dyDescent="0.25">
      <c r="A60" s="61">
        <f>'A) Base RI'!A62</f>
        <v>5491</v>
      </c>
      <c r="B60" s="114" t="str">
        <f>'A) Base RI'!B62</f>
        <v>Mont-la-Ville</v>
      </c>
      <c r="C60" s="125">
        <f>'B) D RI'!U62</f>
        <v>8599.6809210526335</v>
      </c>
      <c r="D60" s="147">
        <f>'E) Fact soc'!G66/C60</f>
        <v>20.015035468672636</v>
      </c>
      <c r="E60" s="181">
        <f>'H) Péréquation directe'!I71/C60</f>
        <v>-7.8261777131118802</v>
      </c>
      <c r="F60" s="186">
        <f>'I) Dépenses thématiques'!P60</f>
        <v>-13.023847845597087</v>
      </c>
      <c r="G60" s="143">
        <f t="shared" si="1"/>
        <v>-0.83499009003633162</v>
      </c>
      <c r="H60" s="128">
        <f t="shared" ref="H60:H113" si="4">IF(G60&gt;H$4,H$4-G60,0)</f>
        <v>0</v>
      </c>
      <c r="I60" s="152">
        <f t="shared" si="2"/>
        <v>0</v>
      </c>
      <c r="J60" s="43">
        <f t="shared" ref="J60:J113" si="5">G60+H60</f>
        <v>-0.83499009003633162</v>
      </c>
    </row>
    <row r="61" spans="1:10" x14ac:dyDescent="0.25">
      <c r="A61" s="61">
        <f>'A) Base RI'!A63</f>
        <v>5492</v>
      </c>
      <c r="B61" s="114" t="str">
        <f>'A) Base RI'!B63</f>
        <v>Montricher</v>
      </c>
      <c r="C61" s="125">
        <f>'B) D RI'!U63</f>
        <v>187025.79406249998</v>
      </c>
      <c r="D61" s="147">
        <f>'E) Fact soc'!G67/C61</f>
        <v>37.822090132590731</v>
      </c>
      <c r="E61" s="181">
        <f>'H) Péréquation directe'!I72/C61</f>
        <v>13.157267972814035</v>
      </c>
      <c r="F61" s="186">
        <f>'I) Dépenses thématiques'!P61</f>
        <v>-1.2617488529247884</v>
      </c>
      <c r="G61" s="143">
        <f t="shared" si="1"/>
        <v>49.717609252479974</v>
      </c>
      <c r="H61" s="128">
        <f t="shared" si="4"/>
        <v>0</v>
      </c>
      <c r="I61" s="152">
        <f t="shared" ref="I61:I115" si="6">H61*C61</f>
        <v>0</v>
      </c>
      <c r="J61" s="43">
        <f t="shared" si="5"/>
        <v>49.717609252479974</v>
      </c>
    </row>
    <row r="62" spans="1:10" x14ac:dyDescent="0.25">
      <c r="A62" s="61">
        <f>'A) Base RI'!A64</f>
        <v>5493</v>
      </c>
      <c r="B62" s="114" t="str">
        <f>'A) Base RI'!B64</f>
        <v>Orny</v>
      </c>
      <c r="C62" s="125">
        <f>'B) D RI'!U64</f>
        <v>10614.324773445733</v>
      </c>
      <c r="D62" s="147">
        <f>'E) Fact soc'!G68/C62</f>
        <v>18.060098526685085</v>
      </c>
      <c r="E62" s="181">
        <f>'H) Péréquation directe'!I73/C62</f>
        <v>3.271328675027918</v>
      </c>
      <c r="F62" s="186">
        <f>'I) Dépenses thématiques'!P62</f>
        <v>-5.0234828008026522</v>
      </c>
      <c r="G62" s="143">
        <f t="shared" ref="G62:G116" si="7">SUM(D62:F62)</f>
        <v>16.307944400910351</v>
      </c>
      <c r="H62" s="128">
        <f t="shared" si="4"/>
        <v>0</v>
      </c>
      <c r="I62" s="152">
        <f t="shared" si="6"/>
        <v>0</v>
      </c>
      <c r="J62" s="43">
        <f t="shared" si="5"/>
        <v>16.307944400910351</v>
      </c>
    </row>
    <row r="63" spans="1:10" x14ac:dyDescent="0.25">
      <c r="A63" s="61">
        <f>'A) Base RI'!A65</f>
        <v>5494</v>
      </c>
      <c r="B63" s="114" t="str">
        <f>'A) Base RI'!B65</f>
        <v>Pampigny</v>
      </c>
      <c r="C63" s="125">
        <f>'B) D RI'!U65</f>
        <v>33982.091568253971</v>
      </c>
      <c r="D63" s="147">
        <f>'E) Fact soc'!G69/C63</f>
        <v>18.026613305190118</v>
      </c>
      <c r="E63" s="181">
        <f>'H) Péréquation directe'!I74/C63</f>
        <v>4.157187508393922</v>
      </c>
      <c r="F63" s="186">
        <f>'I) Dépenses thématiques'!P63</f>
        <v>-5.7637749591236922</v>
      </c>
      <c r="G63" s="143">
        <f t="shared" si="7"/>
        <v>16.420025854460349</v>
      </c>
      <c r="H63" s="128">
        <f t="shared" si="4"/>
        <v>0</v>
      </c>
      <c r="I63" s="152">
        <f t="shared" si="6"/>
        <v>0</v>
      </c>
      <c r="J63" s="43">
        <f t="shared" si="5"/>
        <v>16.420025854460349</v>
      </c>
    </row>
    <row r="64" spans="1:10" x14ac:dyDescent="0.25">
      <c r="A64" s="61">
        <f>'A) Base RI'!A66</f>
        <v>5495</v>
      </c>
      <c r="B64" s="114" t="str">
        <f>'A) Base RI'!B66</f>
        <v>Penthalaz</v>
      </c>
      <c r="C64" s="125">
        <f>'B) D RI'!U66</f>
        <v>96162.321351351362</v>
      </c>
      <c r="D64" s="147">
        <f>'E) Fact soc'!G70/C64</f>
        <v>17.887331156944285</v>
      </c>
      <c r="E64" s="181">
        <f>'H) Péréquation directe'!I75/C64</f>
        <v>-1.472019016847486</v>
      </c>
      <c r="F64" s="186">
        <f>'I) Dépenses thématiques'!P64</f>
        <v>-4.182599743713884</v>
      </c>
      <c r="G64" s="143">
        <f t="shared" si="7"/>
        <v>12.232712396382915</v>
      </c>
      <c r="H64" s="128">
        <f t="shared" si="4"/>
        <v>0</v>
      </c>
      <c r="I64" s="152">
        <f t="shared" si="6"/>
        <v>0</v>
      </c>
      <c r="J64" s="43">
        <f t="shared" si="5"/>
        <v>12.232712396382915</v>
      </c>
    </row>
    <row r="65" spans="1:10" x14ac:dyDescent="0.25">
      <c r="A65" s="61">
        <f>'A) Base RI'!A67</f>
        <v>5496</v>
      </c>
      <c r="B65" s="114" t="str">
        <f>'A) Base RI'!B67</f>
        <v>Penthaz</v>
      </c>
      <c r="C65" s="125">
        <f>'B) D RI'!U67</f>
        <v>55211.289014084505</v>
      </c>
      <c r="D65" s="147">
        <f>'E) Fact soc'!G71/C65</f>
        <v>17.453352375087093</v>
      </c>
      <c r="E65" s="181">
        <f>'H) Péréquation directe'!I76/C65</f>
        <v>6.2805798874348024</v>
      </c>
      <c r="F65" s="186">
        <f>'I) Dépenses thématiques'!P65</f>
        <v>-3.4128564303000086</v>
      </c>
      <c r="G65" s="143">
        <f t="shared" si="7"/>
        <v>20.321075832221887</v>
      </c>
      <c r="H65" s="128">
        <f t="shared" si="4"/>
        <v>0</v>
      </c>
      <c r="I65" s="152">
        <f t="shared" si="6"/>
        <v>0</v>
      </c>
      <c r="J65" s="43">
        <f t="shared" si="5"/>
        <v>20.321075832221887</v>
      </c>
    </row>
    <row r="66" spans="1:10" x14ac:dyDescent="0.25">
      <c r="A66" s="61">
        <f>'A) Base RI'!A68</f>
        <v>5497</v>
      </c>
      <c r="B66" s="114" t="str">
        <f>'A) Base RI'!B68</f>
        <v>Pompaples</v>
      </c>
      <c r="C66" s="125">
        <f>'B) D RI'!U68</f>
        <v>22227.212272727276</v>
      </c>
      <c r="D66" s="147">
        <f>'E) Fact soc'!G72/C66</f>
        <v>20.682253520657447</v>
      </c>
      <c r="E66" s="181">
        <f>'H) Péréquation directe'!I77/C66</f>
        <v>3.5382593339521731</v>
      </c>
      <c r="F66" s="186">
        <f>'I) Dépenses thématiques'!P66</f>
        <v>-7.7541296894997078</v>
      </c>
      <c r="G66" s="143">
        <f t="shared" si="7"/>
        <v>16.46638316510991</v>
      </c>
      <c r="H66" s="128">
        <f t="shared" si="4"/>
        <v>0</v>
      </c>
      <c r="I66" s="152">
        <f t="shared" si="6"/>
        <v>0</v>
      </c>
      <c r="J66" s="43">
        <f t="shared" si="5"/>
        <v>16.46638316510991</v>
      </c>
    </row>
    <row r="67" spans="1:10" x14ac:dyDescent="0.25">
      <c r="A67" s="61">
        <f>'A) Base RI'!A69</f>
        <v>5498</v>
      </c>
      <c r="B67" s="114" t="str">
        <f>'A) Base RI'!B69</f>
        <v>La Sarraz</v>
      </c>
      <c r="C67" s="125">
        <f>'B) D RI'!U69</f>
        <v>72104.13</v>
      </c>
      <c r="D67" s="147">
        <f>'E) Fact soc'!G73/C67</f>
        <v>17.478168480985769</v>
      </c>
      <c r="E67" s="181">
        <f>'H) Péréquation directe'!I78/C67</f>
        <v>0.52366025246364989</v>
      </c>
      <c r="F67" s="186">
        <f>'I) Dépenses thématiques'!P67</f>
        <v>-7.3642381281586049</v>
      </c>
      <c r="G67" s="143">
        <f t="shared" si="7"/>
        <v>10.637590605290814</v>
      </c>
      <c r="H67" s="128">
        <f t="shared" si="4"/>
        <v>0</v>
      </c>
      <c r="I67" s="152">
        <f t="shared" si="6"/>
        <v>0</v>
      </c>
      <c r="J67" s="43">
        <f t="shared" si="5"/>
        <v>10.637590605290814</v>
      </c>
    </row>
    <row r="68" spans="1:10" x14ac:dyDescent="0.25">
      <c r="A68" s="61">
        <f>'A) Base RI'!A70</f>
        <v>5499</v>
      </c>
      <c r="B68" s="114" t="str">
        <f>'A) Base RI'!B70</f>
        <v>Senarclens</v>
      </c>
      <c r="C68" s="125">
        <f>'B) D RI'!U70</f>
        <v>21697.695620437953</v>
      </c>
      <c r="D68" s="147">
        <f>'E) Fact soc'!G74/C68</f>
        <v>18.290047182919889</v>
      </c>
      <c r="E68" s="181">
        <f>'H) Péréquation directe'!I79/C68</f>
        <v>16.530258095969167</v>
      </c>
      <c r="F68" s="186">
        <f>'I) Dépenses thématiques'!P68</f>
        <v>0</v>
      </c>
      <c r="G68" s="143">
        <f t="shared" si="7"/>
        <v>34.820305278889052</v>
      </c>
      <c r="H68" s="128">
        <f t="shared" si="4"/>
        <v>0</v>
      </c>
      <c r="I68" s="152">
        <f t="shared" si="6"/>
        <v>0</v>
      </c>
      <c r="J68" s="43">
        <f t="shared" si="5"/>
        <v>34.820305278889052</v>
      </c>
    </row>
    <row r="69" spans="1:10" x14ac:dyDescent="0.25">
      <c r="A69" s="61">
        <f>'A) Base RI'!A71</f>
        <v>5500</v>
      </c>
      <c r="B69" s="114" t="str">
        <f>'A) Base RI'!B71</f>
        <v>Sévery</v>
      </c>
      <c r="C69" s="125">
        <f>'B) D RI'!U71</f>
        <v>6767.1525657894736</v>
      </c>
      <c r="D69" s="147">
        <f>'E) Fact soc'!G75/C69</f>
        <v>18.626747439614984</v>
      </c>
      <c r="E69" s="181">
        <f>'H) Péréquation directe'!I80/C69</f>
        <v>3.6074547938517512</v>
      </c>
      <c r="F69" s="186">
        <f>'I) Dépenses thématiques'!P69</f>
        <v>-4.0524915626782159</v>
      </c>
      <c r="G69" s="143">
        <f t="shared" si="7"/>
        <v>18.181710670788519</v>
      </c>
      <c r="H69" s="128">
        <f t="shared" si="4"/>
        <v>0</v>
      </c>
      <c r="I69" s="152">
        <f t="shared" si="6"/>
        <v>0</v>
      </c>
      <c r="J69" s="43">
        <f t="shared" si="5"/>
        <v>18.181710670788519</v>
      </c>
    </row>
    <row r="70" spans="1:10" x14ac:dyDescent="0.25">
      <c r="A70" s="61">
        <f>'A) Base RI'!A72</f>
        <v>5501</v>
      </c>
      <c r="B70" s="114" t="str">
        <f>'A) Base RI'!B72</f>
        <v>Sullens</v>
      </c>
      <c r="C70" s="125">
        <f>'B) D RI'!U72</f>
        <v>35887.851857142865</v>
      </c>
      <c r="D70" s="147">
        <f>'E) Fact soc'!G76/C70</f>
        <v>18.540005268408706</v>
      </c>
      <c r="E70" s="181">
        <f>'H) Péréquation directe'!I81/C70</f>
        <v>13.377476134933389</v>
      </c>
      <c r="F70" s="186">
        <f>'I) Dépenses thématiques'!P70</f>
        <v>-0.31561450404440239</v>
      </c>
      <c r="G70" s="143">
        <f t="shared" si="7"/>
        <v>31.601866899297693</v>
      </c>
      <c r="H70" s="128">
        <f t="shared" si="4"/>
        <v>0</v>
      </c>
      <c r="I70" s="152">
        <f t="shared" si="6"/>
        <v>0</v>
      </c>
      <c r="J70" s="43">
        <f t="shared" si="5"/>
        <v>31.601866899297693</v>
      </c>
    </row>
    <row r="71" spans="1:10" x14ac:dyDescent="0.25">
      <c r="A71" s="61">
        <f>'A) Base RI'!A73</f>
        <v>5503</v>
      </c>
      <c r="B71" s="114" t="str">
        <f>'A) Base RI'!B73</f>
        <v>Vufflens-la-Ville</v>
      </c>
      <c r="C71" s="125">
        <f>'B) D RI'!U73</f>
        <v>61379.446318407958</v>
      </c>
      <c r="D71" s="147">
        <f>'E) Fact soc'!G77/C71</f>
        <v>20.694271850211276</v>
      </c>
      <c r="E71" s="181">
        <f>'H) Péréquation directe'!I82/C71</f>
        <v>15.755797830170239</v>
      </c>
      <c r="F71" s="186">
        <f>'I) Dépenses thématiques'!P71</f>
        <v>0</v>
      </c>
      <c r="G71" s="143">
        <f t="shared" si="7"/>
        <v>36.450069680381517</v>
      </c>
      <c r="H71" s="128">
        <f t="shared" si="4"/>
        <v>0</v>
      </c>
      <c r="I71" s="152">
        <f t="shared" si="6"/>
        <v>0</v>
      </c>
      <c r="J71" s="43">
        <f t="shared" si="5"/>
        <v>36.450069680381517</v>
      </c>
    </row>
    <row r="72" spans="1:10" x14ac:dyDescent="0.25">
      <c r="A72" s="61">
        <f>'A) Base RI'!A74</f>
        <v>5511</v>
      </c>
      <c r="B72" s="114" t="str">
        <f>'A) Base RI'!B74</f>
        <v>Assens</v>
      </c>
      <c r="C72" s="125">
        <f>'B) D RI'!U74</f>
        <v>41422.612571428566</v>
      </c>
      <c r="D72" s="147">
        <f>'E) Fact soc'!G78/C72</f>
        <v>17.371977421415043</v>
      </c>
      <c r="E72" s="181">
        <f>'H) Péréquation directe'!I83/C72</f>
        <v>14.040148068534988</v>
      </c>
      <c r="F72" s="186">
        <f>'I) Dépenses thématiques'!P72</f>
        <v>-4.2895850824661546</v>
      </c>
      <c r="G72" s="143">
        <f t="shared" si="7"/>
        <v>27.122540407483875</v>
      </c>
      <c r="H72" s="128">
        <f t="shared" si="4"/>
        <v>0</v>
      </c>
      <c r="I72" s="152">
        <f t="shared" si="6"/>
        <v>0</v>
      </c>
      <c r="J72" s="43">
        <f t="shared" si="5"/>
        <v>27.122540407483875</v>
      </c>
    </row>
    <row r="73" spans="1:10" x14ac:dyDescent="0.25">
      <c r="A73" s="61">
        <f>'A) Base RI'!A75</f>
        <v>5512</v>
      </c>
      <c r="B73" s="114" t="str">
        <f>'A) Base RI'!B75</f>
        <v>Bercher</v>
      </c>
      <c r="C73" s="125">
        <f>'B) D RI'!U75</f>
        <v>32079.191772151898</v>
      </c>
      <c r="D73" s="147">
        <f>'E) Fact soc'!G79/C73</f>
        <v>18.00343902749324</v>
      </c>
      <c r="E73" s="181">
        <f>'H) Péréquation directe'!I84/C73</f>
        <v>-0.43828068323901986</v>
      </c>
      <c r="F73" s="186">
        <f>'I) Dépenses thématiques'!P73</f>
        <v>-4.8844445364282514</v>
      </c>
      <c r="G73" s="143">
        <f t="shared" si="7"/>
        <v>12.680713807825967</v>
      </c>
      <c r="H73" s="128">
        <f t="shared" si="4"/>
        <v>0</v>
      </c>
      <c r="I73" s="152">
        <f t="shared" si="6"/>
        <v>0</v>
      </c>
      <c r="J73" s="43">
        <f t="shared" si="5"/>
        <v>12.680713807825967</v>
      </c>
    </row>
    <row r="74" spans="1:10" x14ac:dyDescent="0.25">
      <c r="A74" s="61">
        <f>'A) Base RI'!A76</f>
        <v>5513</v>
      </c>
      <c r="B74" s="114" t="str">
        <f>'A) Base RI'!B76</f>
        <v>Bioley-Orjulaz</v>
      </c>
      <c r="C74" s="125">
        <f>'B) D RI'!U76</f>
        <v>24024.471515151512</v>
      </c>
      <c r="D74" s="147">
        <f>'E) Fact soc'!G80/C74</f>
        <v>18.620655269162292</v>
      </c>
      <c r="E74" s="181">
        <f>'H) Péréquation directe'!I85/C74</f>
        <v>16.647131121578518</v>
      </c>
      <c r="F74" s="186">
        <f>'I) Dépenses thématiques'!P74</f>
        <v>-1.072582482031158</v>
      </c>
      <c r="G74" s="143">
        <f t="shared" si="7"/>
        <v>34.195203908709651</v>
      </c>
      <c r="H74" s="128">
        <f t="shared" si="4"/>
        <v>0</v>
      </c>
      <c r="I74" s="152">
        <f t="shared" si="6"/>
        <v>0</v>
      </c>
      <c r="J74" s="43">
        <f t="shared" si="5"/>
        <v>34.195203908709651</v>
      </c>
    </row>
    <row r="75" spans="1:10" x14ac:dyDescent="0.25">
      <c r="A75" s="61">
        <f>'A) Base RI'!A77</f>
        <v>5514</v>
      </c>
      <c r="B75" s="114" t="str">
        <f>'A) Base RI'!B77</f>
        <v>Bottens</v>
      </c>
      <c r="C75" s="125">
        <f>'B) D RI'!U77</f>
        <v>38346.680434782604</v>
      </c>
      <c r="D75" s="147">
        <f>'E) Fact soc'!G81/C75</f>
        <v>19.458570773751788</v>
      </c>
      <c r="E75" s="181">
        <f>'H) Péréquation directe'!I86/C75</f>
        <v>6.3929806687940189</v>
      </c>
      <c r="F75" s="186">
        <f>'I) Dépenses thématiques'!P75</f>
        <v>-0.89104766087974308</v>
      </c>
      <c r="G75" s="143">
        <f t="shared" si="7"/>
        <v>24.960503781666063</v>
      </c>
      <c r="H75" s="128">
        <f t="shared" si="4"/>
        <v>0</v>
      </c>
      <c r="I75" s="152">
        <f t="shared" si="6"/>
        <v>0</v>
      </c>
      <c r="J75" s="43">
        <f t="shared" si="5"/>
        <v>24.960503781666063</v>
      </c>
    </row>
    <row r="76" spans="1:10" x14ac:dyDescent="0.25">
      <c r="A76" s="61">
        <f>'A) Base RI'!A78</f>
        <v>5515</v>
      </c>
      <c r="B76" s="114" t="str">
        <f>'A) Base RI'!B78</f>
        <v>Bretigny-sur-Morrens</v>
      </c>
      <c r="C76" s="125">
        <f>'B) D RI'!U78</f>
        <v>24345.34643835617</v>
      </c>
      <c r="D76" s="147">
        <f>'E) Fact soc'!G82/C76</f>
        <v>18.222516762193685</v>
      </c>
      <c r="E76" s="181">
        <f>'H) Péréquation directe'!I87/C76</f>
        <v>5.9500886444305277</v>
      </c>
      <c r="F76" s="186">
        <f>'I) Dépenses thématiques'!P76</f>
        <v>-3.3351336891287011</v>
      </c>
      <c r="G76" s="143">
        <f t="shared" si="7"/>
        <v>20.837471717495514</v>
      </c>
      <c r="H76" s="128">
        <f t="shared" si="4"/>
        <v>0</v>
      </c>
      <c r="I76" s="152">
        <f t="shared" si="6"/>
        <v>0</v>
      </c>
      <c r="J76" s="43">
        <f t="shared" si="5"/>
        <v>20.837471717495514</v>
      </c>
    </row>
    <row r="77" spans="1:10" x14ac:dyDescent="0.25">
      <c r="A77" s="61">
        <f>'A) Base RI'!A79</f>
        <v>5516</v>
      </c>
      <c r="B77" s="114" t="str">
        <f>'A) Base RI'!B79</f>
        <v>Cugy</v>
      </c>
      <c r="C77" s="125">
        <f>'B) D RI'!U79</f>
        <v>104935.17701492537</v>
      </c>
      <c r="D77" s="147">
        <f>'E) Fact soc'!G83/C77</f>
        <v>18.593262347109107</v>
      </c>
      <c r="E77" s="181">
        <f>'H) Péréquation directe'!I88/C77</f>
        <v>9.0364878467340635</v>
      </c>
      <c r="F77" s="186">
        <f>'I) Dépenses thématiques'!P77</f>
        <v>-2.1620612977593563</v>
      </c>
      <c r="G77" s="143">
        <f t="shared" si="7"/>
        <v>25.467688896083814</v>
      </c>
      <c r="H77" s="128">
        <f t="shared" si="4"/>
        <v>0</v>
      </c>
      <c r="I77" s="152">
        <f t="shared" si="6"/>
        <v>0</v>
      </c>
      <c r="J77" s="43">
        <f t="shared" si="5"/>
        <v>25.467688896083814</v>
      </c>
    </row>
    <row r="78" spans="1:10" x14ac:dyDescent="0.25">
      <c r="A78" s="61">
        <f>'A) Base RI'!A80</f>
        <v>5518</v>
      </c>
      <c r="B78" s="114" t="str">
        <f>'A) Base RI'!B80</f>
        <v>Echallens</v>
      </c>
      <c r="C78" s="125">
        <f>'B) D RI'!U80</f>
        <v>181423.1631081081</v>
      </c>
      <c r="D78" s="147">
        <f>'E) Fact soc'!G84/C78</f>
        <v>17.436431563408892</v>
      </c>
      <c r="E78" s="181">
        <f>'H) Péréquation directe'!I89/C78</f>
        <v>-1.1102201159568217</v>
      </c>
      <c r="F78" s="186">
        <f>'I) Dépenses thématiques'!P78</f>
        <v>-4.5599311398371132</v>
      </c>
      <c r="G78" s="143">
        <f t="shared" si="7"/>
        <v>11.766280307614958</v>
      </c>
      <c r="H78" s="128">
        <f t="shared" si="4"/>
        <v>0</v>
      </c>
      <c r="I78" s="152">
        <f t="shared" si="6"/>
        <v>0</v>
      </c>
      <c r="J78" s="43">
        <f t="shared" si="5"/>
        <v>11.766280307614958</v>
      </c>
    </row>
    <row r="79" spans="1:10" x14ac:dyDescent="0.25">
      <c r="A79" s="61">
        <f>'A) Base RI'!A81</f>
        <v>5520</v>
      </c>
      <c r="B79" s="114" t="str">
        <f>'A) Base RI'!B81</f>
        <v>Essertines-sur-Yverdon</v>
      </c>
      <c r="C79" s="125">
        <f>'B) D RI'!U81</f>
        <v>28021.579589041095</v>
      </c>
      <c r="D79" s="147">
        <f>'E) Fact soc'!G85/C79</f>
        <v>17.110929601029596</v>
      </c>
      <c r="E79" s="181">
        <f>'H) Péréquation directe'!I90/C79</f>
        <v>4.9304520991816805</v>
      </c>
      <c r="F79" s="186">
        <f>'I) Dépenses thématiques'!P79</f>
        <v>-4.1746700969909165</v>
      </c>
      <c r="G79" s="143">
        <f t="shared" si="7"/>
        <v>17.866711603220359</v>
      </c>
      <c r="H79" s="128">
        <f t="shared" si="4"/>
        <v>0</v>
      </c>
      <c r="I79" s="152">
        <f t="shared" si="6"/>
        <v>0</v>
      </c>
      <c r="J79" s="43">
        <f t="shared" si="5"/>
        <v>17.866711603220359</v>
      </c>
    </row>
    <row r="80" spans="1:10" x14ac:dyDescent="0.25">
      <c r="A80" s="61">
        <f>'A) Base RI'!A82</f>
        <v>5521</v>
      </c>
      <c r="B80" s="114" t="str">
        <f>'A) Base RI'!B82</f>
        <v>Etagnières</v>
      </c>
      <c r="C80" s="125">
        <f>'B) D RI'!U82</f>
        <v>40532.749863013705</v>
      </c>
      <c r="D80" s="147">
        <f>'E) Fact soc'!G86/C80</f>
        <v>16.54509403654189</v>
      </c>
      <c r="E80" s="181">
        <f>'H) Péréquation directe'!I91/C80</f>
        <v>9.6712594515658417</v>
      </c>
      <c r="F80" s="186">
        <f>'I) Dépenses thématiques'!P80</f>
        <v>-0.21766340447434104</v>
      </c>
      <c r="G80" s="143">
        <f t="shared" si="7"/>
        <v>25.998690083633392</v>
      </c>
      <c r="H80" s="128">
        <f t="shared" si="4"/>
        <v>0</v>
      </c>
      <c r="I80" s="152">
        <f t="shared" si="6"/>
        <v>0</v>
      </c>
      <c r="J80" s="43">
        <f t="shared" si="5"/>
        <v>25.998690083633392</v>
      </c>
    </row>
    <row r="81" spans="1:10" x14ac:dyDescent="0.25">
      <c r="A81" s="61">
        <f>'A) Base RI'!A83</f>
        <v>5522</v>
      </c>
      <c r="B81" s="114" t="str">
        <f>'A) Base RI'!B83</f>
        <v>Fey</v>
      </c>
      <c r="C81" s="125">
        <f>'B) D RI'!U83</f>
        <v>18218.5124</v>
      </c>
      <c r="D81" s="147">
        <f>'E) Fact soc'!G87/C81</f>
        <v>17.536419672707989</v>
      </c>
      <c r="E81" s="181">
        <f>'H) Péréquation directe'!I92/C81</f>
        <v>3.1302697081151036</v>
      </c>
      <c r="F81" s="186">
        <f>'I) Dépenses thématiques'!P81</f>
        <v>-6.7783738122001358</v>
      </c>
      <c r="G81" s="143">
        <f t="shared" si="7"/>
        <v>13.888315568622957</v>
      </c>
      <c r="H81" s="128">
        <f t="shared" si="4"/>
        <v>0</v>
      </c>
      <c r="I81" s="152">
        <f t="shared" si="6"/>
        <v>0</v>
      </c>
      <c r="J81" s="43">
        <f t="shared" si="5"/>
        <v>13.888315568622957</v>
      </c>
    </row>
    <row r="82" spans="1:10" x14ac:dyDescent="0.25">
      <c r="A82" s="61">
        <f>'A) Base RI'!A84</f>
        <v>5523</v>
      </c>
      <c r="B82" s="114" t="str">
        <f>'A) Base RI'!B84</f>
        <v>Froideville</v>
      </c>
      <c r="C82" s="125">
        <f>'B) D RI'!U84</f>
        <v>77819.657763157898</v>
      </c>
      <c r="D82" s="147">
        <f>'E) Fact soc'!G88/C82</f>
        <v>18.892248489426141</v>
      </c>
      <c r="E82" s="181">
        <f>'H) Péréquation directe'!I93/C82</f>
        <v>2.4338787886965187</v>
      </c>
      <c r="F82" s="186">
        <f>'I) Dépenses thématiques'!P82</f>
        <v>-2.5243625972793615</v>
      </c>
      <c r="G82" s="143">
        <f t="shared" si="7"/>
        <v>18.801764680843299</v>
      </c>
      <c r="H82" s="128">
        <f t="shared" si="4"/>
        <v>0</v>
      </c>
      <c r="I82" s="152">
        <f t="shared" si="6"/>
        <v>0</v>
      </c>
      <c r="J82" s="43">
        <f t="shared" si="5"/>
        <v>18.801764680843299</v>
      </c>
    </row>
    <row r="83" spans="1:10" x14ac:dyDescent="0.25">
      <c r="A83" s="61">
        <f>'A) Base RI'!A85</f>
        <v>5527</v>
      </c>
      <c r="B83" s="114" t="str">
        <f>'A) Base RI'!B85</f>
        <v>Morrens</v>
      </c>
      <c r="C83" s="125">
        <f>'B) D RI'!U85</f>
        <v>36998.677183098589</v>
      </c>
      <c r="D83" s="147">
        <f>'E) Fact soc'!G89/C83</f>
        <v>18.973085380558487</v>
      </c>
      <c r="E83" s="181">
        <f>'H) Péréquation directe'!I94/C83</f>
        <v>10.2402985502946</v>
      </c>
      <c r="F83" s="186">
        <f>'I) Dépenses thématiques'!P83</f>
        <v>-0.36299138638041006</v>
      </c>
      <c r="G83" s="143">
        <f t="shared" si="7"/>
        <v>28.850392544472676</v>
      </c>
      <c r="H83" s="128">
        <f t="shared" si="4"/>
        <v>0</v>
      </c>
      <c r="I83" s="152">
        <f t="shared" si="6"/>
        <v>0</v>
      </c>
      <c r="J83" s="43">
        <f t="shared" si="5"/>
        <v>28.850392544472676</v>
      </c>
    </row>
    <row r="84" spans="1:10" x14ac:dyDescent="0.25">
      <c r="A84" s="61">
        <f>'A) Base RI'!A86</f>
        <v>5529</v>
      </c>
      <c r="B84" s="114" t="str">
        <f>'A) Base RI'!B86</f>
        <v>Oulens-sous-Echallens</v>
      </c>
      <c r="C84" s="125">
        <f>'B) D RI'!U86</f>
        <v>16830.940140845072</v>
      </c>
      <c r="D84" s="147">
        <f>'E) Fact soc'!G90/C84</f>
        <v>20.487462357661261</v>
      </c>
      <c r="E84" s="181">
        <f>'H) Péréquation directe'!I95/C84</f>
        <v>7.5673752485940433</v>
      </c>
      <c r="F84" s="186">
        <f>'I) Dépenses thématiques'!P84</f>
        <v>-7.3459684103965497</v>
      </c>
      <c r="G84" s="143">
        <f t="shared" si="7"/>
        <v>20.708869195858753</v>
      </c>
      <c r="H84" s="128">
        <f t="shared" si="4"/>
        <v>0</v>
      </c>
      <c r="I84" s="152">
        <f t="shared" si="6"/>
        <v>0</v>
      </c>
      <c r="J84" s="43">
        <f t="shared" si="5"/>
        <v>20.708869195858753</v>
      </c>
    </row>
    <row r="85" spans="1:10" x14ac:dyDescent="0.25">
      <c r="A85" s="61">
        <f>'A) Base RI'!A87</f>
        <v>5530</v>
      </c>
      <c r="B85" s="114" t="str">
        <f>'A) Base RI'!B87</f>
        <v>Pailly</v>
      </c>
      <c r="C85" s="125">
        <f>'B) D RI'!U87</f>
        <v>15988.116172043008</v>
      </c>
      <c r="D85" s="147">
        <f>'E) Fact soc'!G91/C85</f>
        <v>17.087895385103717</v>
      </c>
      <c r="E85" s="181">
        <f>'H) Péréquation directe'!I96/C85</f>
        <v>4.0645995943085058</v>
      </c>
      <c r="F85" s="186">
        <f>'I) Dépenses thématiques'!P85</f>
        <v>-18.619627538078717</v>
      </c>
      <c r="G85" s="143">
        <f t="shared" si="7"/>
        <v>2.5328674413335079</v>
      </c>
      <c r="H85" s="128">
        <f t="shared" si="4"/>
        <v>0</v>
      </c>
      <c r="I85" s="152">
        <f t="shared" si="6"/>
        <v>0</v>
      </c>
      <c r="J85" s="43">
        <f t="shared" si="5"/>
        <v>2.5328674413335079</v>
      </c>
    </row>
    <row r="86" spans="1:10" x14ac:dyDescent="0.25">
      <c r="A86" s="61">
        <f>'A) Base RI'!A88</f>
        <v>5531</v>
      </c>
      <c r="B86" s="114" t="str">
        <f>'A) Base RI'!B88</f>
        <v>Penthéréaz</v>
      </c>
      <c r="C86" s="125">
        <f>'B) D RI'!U88</f>
        <v>11628.696923076923</v>
      </c>
      <c r="D86" s="147">
        <f>'E) Fact soc'!G92/C86</f>
        <v>18.494179300141901</v>
      </c>
      <c r="E86" s="181">
        <f>'H) Péréquation directe'!I97/C86</f>
        <v>3.7858835402527777</v>
      </c>
      <c r="F86" s="186">
        <f>'I) Dépenses thématiques'!P86</f>
        <v>-3.9162847165260195</v>
      </c>
      <c r="G86" s="143">
        <f t="shared" si="7"/>
        <v>18.363778123868659</v>
      </c>
      <c r="H86" s="128">
        <f t="shared" si="4"/>
        <v>0</v>
      </c>
      <c r="I86" s="152">
        <f t="shared" si="6"/>
        <v>0</v>
      </c>
      <c r="J86" s="43">
        <f t="shared" si="5"/>
        <v>18.363778123868659</v>
      </c>
    </row>
    <row r="87" spans="1:10" x14ac:dyDescent="0.25">
      <c r="A87" s="61">
        <f>'A) Base RI'!A89</f>
        <v>5533</v>
      </c>
      <c r="B87" s="114" t="str">
        <f>'A) Base RI'!B89</f>
        <v>Poliez-Pittet</v>
      </c>
      <c r="C87" s="125">
        <f>'B) D RI'!U89</f>
        <v>21286.915727699528</v>
      </c>
      <c r="D87" s="147">
        <f>'E) Fact soc'!G93/C87</f>
        <v>17.434857563452752</v>
      </c>
      <c r="E87" s="181">
        <f>'H) Péréquation directe'!I98/C87</f>
        <v>1.0040156687305819</v>
      </c>
      <c r="F87" s="186">
        <f>'I) Dépenses thématiques'!P87</f>
        <v>-5.3398185457945884</v>
      </c>
      <c r="G87" s="143">
        <f t="shared" si="7"/>
        <v>13.099054686388744</v>
      </c>
      <c r="H87" s="128">
        <f t="shared" si="4"/>
        <v>0</v>
      </c>
      <c r="I87" s="152">
        <f t="shared" si="6"/>
        <v>0</v>
      </c>
      <c r="J87" s="43">
        <f t="shared" si="5"/>
        <v>13.099054686388744</v>
      </c>
    </row>
    <row r="88" spans="1:10" x14ac:dyDescent="0.25">
      <c r="A88" s="61">
        <f>'A) Base RI'!A90</f>
        <v>5534</v>
      </c>
      <c r="B88" s="114" t="str">
        <f>'A) Base RI'!B90</f>
        <v>Rueyres</v>
      </c>
      <c r="C88" s="125">
        <f>'B) D RI'!U90</f>
        <v>8123.1504109589041</v>
      </c>
      <c r="D88" s="147">
        <f>'E) Fact soc'!G94/C88</f>
        <v>21.914458494972536</v>
      </c>
      <c r="E88" s="181">
        <f>'H) Péréquation directe'!I99/C88</f>
        <v>6.0683552453096876</v>
      </c>
      <c r="F88" s="186">
        <f>'I) Dépenses thématiques'!P88</f>
        <v>-3.5067420578182635</v>
      </c>
      <c r="G88" s="143">
        <f t="shared" si="7"/>
        <v>24.47607168246396</v>
      </c>
      <c r="H88" s="128">
        <f t="shared" si="4"/>
        <v>0</v>
      </c>
      <c r="I88" s="152">
        <f t="shared" si="6"/>
        <v>0</v>
      </c>
      <c r="J88" s="43">
        <f t="shared" si="5"/>
        <v>24.47607168246396</v>
      </c>
    </row>
    <row r="89" spans="1:10" x14ac:dyDescent="0.25">
      <c r="A89" s="61">
        <f>'A) Base RI'!A91</f>
        <v>5535</v>
      </c>
      <c r="B89" s="114" t="str">
        <f>'A) Base RI'!B91</f>
        <v>Saint-Barthélemy</v>
      </c>
      <c r="C89" s="125">
        <f>'B) D RI'!U91</f>
        <v>21652.779733333333</v>
      </c>
      <c r="D89" s="147">
        <f>'E) Fact soc'!G95/C89</f>
        <v>16.198482405964707</v>
      </c>
      <c r="E89" s="181">
        <f>'H) Péréquation directe'!I100/C89</f>
        <v>1.76201351517733</v>
      </c>
      <c r="F89" s="186">
        <f>'I) Dépenses thématiques'!P89</f>
        <v>-2.364786321486684</v>
      </c>
      <c r="G89" s="143">
        <f t="shared" si="7"/>
        <v>15.595709599655354</v>
      </c>
      <c r="H89" s="128">
        <f t="shared" si="4"/>
        <v>0</v>
      </c>
      <c r="I89" s="152">
        <f t="shared" si="6"/>
        <v>0</v>
      </c>
      <c r="J89" s="43">
        <f t="shared" si="5"/>
        <v>15.595709599655354</v>
      </c>
    </row>
    <row r="90" spans="1:10" x14ac:dyDescent="0.25">
      <c r="A90" s="61">
        <f>'A) Base RI'!A92</f>
        <v>5537</v>
      </c>
      <c r="B90" s="114" t="str">
        <f>'A) Base RI'!B92</f>
        <v>Villars-le-Terroir</v>
      </c>
      <c r="C90" s="125">
        <f>'B) D RI'!U92</f>
        <v>28181.728767123288</v>
      </c>
      <c r="D90" s="147">
        <f>'E) Fact soc'!G96/C90</f>
        <v>17.536012783940883</v>
      </c>
      <c r="E90" s="181">
        <f>'H) Péréquation directe'!I101/C90</f>
        <v>1.6120138880444996</v>
      </c>
      <c r="F90" s="186">
        <f>'I) Dépenses thématiques'!P90</f>
        <v>-0.37032391625960248</v>
      </c>
      <c r="G90" s="143">
        <f t="shared" si="7"/>
        <v>18.77770275572578</v>
      </c>
      <c r="H90" s="128">
        <f t="shared" si="4"/>
        <v>0</v>
      </c>
      <c r="I90" s="152">
        <f t="shared" si="6"/>
        <v>0</v>
      </c>
      <c r="J90" s="43">
        <f t="shared" si="5"/>
        <v>18.77770275572578</v>
      </c>
    </row>
    <row r="91" spans="1:10" x14ac:dyDescent="0.25">
      <c r="A91" s="61">
        <f>'A) Base RI'!A93</f>
        <v>5539</v>
      </c>
      <c r="B91" s="114" t="str">
        <f>'A) Base RI'!B93</f>
        <v>Vuarrens</v>
      </c>
      <c r="C91" s="125">
        <f>'B) D RI'!U93</f>
        <v>22756.172933333331</v>
      </c>
      <c r="D91" s="147">
        <f>'E) Fact soc'!G97/C91</f>
        <v>18.003946077951557</v>
      </c>
      <c r="E91" s="181">
        <f>'H) Péréquation directe'!I102/C91</f>
        <v>-3.6340721953656216</v>
      </c>
      <c r="F91" s="186">
        <f>'I) Dépenses thématiques'!P91</f>
        <v>-4.1720935999337154</v>
      </c>
      <c r="G91" s="143">
        <f t="shared" si="7"/>
        <v>10.19778028265222</v>
      </c>
      <c r="H91" s="128">
        <f t="shared" si="4"/>
        <v>0</v>
      </c>
      <c r="I91" s="152">
        <f t="shared" si="6"/>
        <v>0</v>
      </c>
      <c r="J91" s="43">
        <f t="shared" si="5"/>
        <v>10.19778028265222</v>
      </c>
    </row>
    <row r="92" spans="1:10" x14ac:dyDescent="0.25">
      <c r="A92" s="61">
        <f>'A) Base RI'!A94</f>
        <v>5540</v>
      </c>
      <c r="B92" s="114" t="str">
        <f>'A) Base RI'!B94</f>
        <v>Montilliez</v>
      </c>
      <c r="C92" s="125">
        <f>'B) D RI'!U94</f>
        <v>47199.265101351346</v>
      </c>
      <c r="D92" s="147">
        <f>'E) Fact soc'!G98/C92</f>
        <v>17.730267035472693</v>
      </c>
      <c r="E92" s="181">
        <f>'H) Péréquation directe'!I103/C92</f>
        <v>-0.23561313438986389</v>
      </c>
      <c r="F92" s="186">
        <f>'I) Dépenses thématiques'!P92</f>
        <v>-23.662300846836413</v>
      </c>
      <c r="G92" s="143">
        <f>SUM(D92:F92)</f>
        <v>-6.1676469457535852</v>
      </c>
      <c r="H92" s="128">
        <f t="shared" si="4"/>
        <v>0</v>
      </c>
      <c r="I92" s="152">
        <f>H92*C92</f>
        <v>0</v>
      </c>
      <c r="J92" s="43">
        <f>G92+H92</f>
        <v>-6.1676469457535852</v>
      </c>
    </row>
    <row r="93" spans="1:10" x14ac:dyDescent="0.25">
      <c r="A93" s="61">
        <f>'A) Base RI'!A95</f>
        <v>5541</v>
      </c>
      <c r="B93" s="114" t="str">
        <f>'A) Base RI'!B95</f>
        <v>Goumoëns</v>
      </c>
      <c r="C93" s="125">
        <f>'B) D RI'!U95</f>
        <v>35607.690389610398</v>
      </c>
      <c r="D93" s="147">
        <f>'E) Fact soc'!G99/C93</f>
        <v>17.337004841109469</v>
      </c>
      <c r="E93" s="181">
        <f>'H) Péréquation directe'!I104/C93</f>
        <v>8.0492951988879948</v>
      </c>
      <c r="F93" s="186">
        <f>'I) Dépenses thématiques'!P93</f>
        <v>-0.90138520093985064</v>
      </c>
      <c r="G93" s="143">
        <f>SUM(D93:F93)</f>
        <v>24.484914839057616</v>
      </c>
      <c r="H93" s="128">
        <f t="shared" si="4"/>
        <v>0</v>
      </c>
      <c r="I93" s="152">
        <f>H93*C93</f>
        <v>0</v>
      </c>
      <c r="J93" s="43">
        <f>G93+H93</f>
        <v>24.484914839057616</v>
      </c>
    </row>
    <row r="94" spans="1:10" x14ac:dyDescent="0.25">
      <c r="A94" s="61">
        <f>'A) Base RI'!A96</f>
        <v>5551</v>
      </c>
      <c r="B94" s="114" t="str">
        <f>'A) Base RI'!B96</f>
        <v>Bonvillars</v>
      </c>
      <c r="C94" s="125">
        <f>'B) D RI'!U96</f>
        <v>15988.430935064936</v>
      </c>
      <c r="D94" s="147">
        <f>'E) Fact soc'!G100/C94</f>
        <v>16.831802893803697</v>
      </c>
      <c r="E94" s="181">
        <f>'H) Péréquation directe'!I105/C94</f>
        <v>10.698528352142137</v>
      </c>
      <c r="F94" s="186">
        <f>'I) Dépenses thématiques'!P94</f>
        <v>-9.0274915390547097</v>
      </c>
      <c r="G94" s="143">
        <f>SUM(D94:F94)</f>
        <v>18.502839706891123</v>
      </c>
      <c r="H94" s="128">
        <f t="shared" si="4"/>
        <v>0</v>
      </c>
      <c r="I94" s="152">
        <f>H94*C94</f>
        <v>0</v>
      </c>
      <c r="J94" s="43">
        <f>G94+H94</f>
        <v>18.502839706891123</v>
      </c>
    </row>
    <row r="95" spans="1:10" x14ac:dyDescent="0.25">
      <c r="A95" s="61">
        <f>'A) Base RI'!A97</f>
        <v>5552</v>
      </c>
      <c r="B95" s="114" t="str">
        <f>'A) Base RI'!B97</f>
        <v>Bullet</v>
      </c>
      <c r="C95" s="125">
        <f>'B) D RI'!U97</f>
        <v>15525.607571428574</v>
      </c>
      <c r="D95" s="147">
        <f>'E) Fact soc'!G101/C95</f>
        <v>22.91946781669424</v>
      </c>
      <c r="E95" s="181">
        <f>'H) Péréquation directe'!I106/C95</f>
        <v>0.67521712430955105</v>
      </c>
      <c r="F95" s="186">
        <f>'I) Dépenses thématiques'!P95</f>
        <v>-11.848957728528612</v>
      </c>
      <c r="G95" s="143">
        <f t="shared" si="7"/>
        <v>11.745727212475179</v>
      </c>
      <c r="H95" s="128">
        <f t="shared" si="4"/>
        <v>0</v>
      </c>
      <c r="I95" s="152">
        <f t="shared" si="6"/>
        <v>0</v>
      </c>
      <c r="J95" s="43">
        <f t="shared" si="5"/>
        <v>11.745727212475179</v>
      </c>
    </row>
    <row r="96" spans="1:10" x14ac:dyDescent="0.25">
      <c r="A96" s="61">
        <f>'A) Base RI'!A98</f>
        <v>5553</v>
      </c>
      <c r="B96" s="114" t="str">
        <f>'A) Base RI'!B98</f>
        <v>Champagne</v>
      </c>
      <c r="C96" s="125">
        <f>'B) D RI'!U98</f>
        <v>43429.608412698406</v>
      </c>
      <c r="D96" s="147">
        <f>'E) Fact soc'!G102/C96</f>
        <v>19.004946435452741</v>
      </c>
      <c r="E96" s="181">
        <f>'H) Péréquation directe'!I107/C96</f>
        <v>14.9157117930298</v>
      </c>
      <c r="F96" s="186">
        <f>'I) Dépenses thématiques'!P96</f>
        <v>-4.9379267944367591</v>
      </c>
      <c r="G96" s="143">
        <f t="shared" si="7"/>
        <v>28.982731434045778</v>
      </c>
      <c r="H96" s="128">
        <f t="shared" si="4"/>
        <v>0</v>
      </c>
      <c r="I96" s="152">
        <f t="shared" si="6"/>
        <v>0</v>
      </c>
      <c r="J96" s="43">
        <f t="shared" si="5"/>
        <v>28.982731434045778</v>
      </c>
    </row>
    <row r="97" spans="1:10" x14ac:dyDescent="0.25">
      <c r="A97" s="61">
        <f>'A) Base RI'!A99</f>
        <v>5554</v>
      </c>
      <c r="B97" s="114" t="str">
        <f>'A) Base RI'!B99</f>
        <v>Concise</v>
      </c>
      <c r="C97" s="125">
        <f>'B) D RI'!U99</f>
        <v>29691.100933333331</v>
      </c>
      <c r="D97" s="147">
        <f>'E) Fact soc'!G103/C97</f>
        <v>20.28542162629039</v>
      </c>
      <c r="E97" s="181">
        <f>'H) Péréquation directe'!I108/C97</f>
        <v>6.0862379458418223</v>
      </c>
      <c r="F97" s="186">
        <f>'I) Dépenses thématiques'!P97</f>
        <v>-3.6024796439808067</v>
      </c>
      <c r="G97" s="143">
        <f t="shared" si="7"/>
        <v>22.769179928151406</v>
      </c>
      <c r="H97" s="128">
        <f t="shared" si="4"/>
        <v>0</v>
      </c>
      <c r="I97" s="152">
        <f t="shared" si="6"/>
        <v>0</v>
      </c>
      <c r="J97" s="43">
        <f t="shared" si="5"/>
        <v>22.769179928151406</v>
      </c>
    </row>
    <row r="98" spans="1:10" x14ac:dyDescent="0.25">
      <c r="A98" s="61">
        <f>'A) Base RI'!A100</f>
        <v>5555</v>
      </c>
      <c r="B98" s="114" t="str">
        <f>'A) Base RI'!B100</f>
        <v>Corcelles-près-Concise</v>
      </c>
      <c r="C98" s="125">
        <f>'B) D RI'!U100</f>
        <v>9762.6867605633779</v>
      </c>
      <c r="D98" s="147">
        <f>'E) Fact soc'!G104/C98</f>
        <v>19.271886569059358</v>
      </c>
      <c r="E98" s="181">
        <f>'H) Péréquation directe'!I109/C98</f>
        <v>4.7066010791632147</v>
      </c>
      <c r="F98" s="186">
        <f>'I) Dépenses thématiques'!P98</f>
        <v>-11.240645794621058</v>
      </c>
      <c r="G98" s="143">
        <f t="shared" si="7"/>
        <v>12.737841853601514</v>
      </c>
      <c r="H98" s="128">
        <f t="shared" si="4"/>
        <v>0</v>
      </c>
      <c r="I98" s="152">
        <f t="shared" si="6"/>
        <v>0</v>
      </c>
      <c r="J98" s="43">
        <f t="shared" si="5"/>
        <v>12.737841853601514</v>
      </c>
    </row>
    <row r="99" spans="1:10" x14ac:dyDescent="0.25">
      <c r="A99" s="61">
        <f>'A) Base RI'!A101</f>
        <v>5556</v>
      </c>
      <c r="B99" s="114" t="str">
        <f>'A) Base RI'!B101</f>
        <v>Fiez</v>
      </c>
      <c r="C99" s="125">
        <f>'B) D RI'!U101</f>
        <v>10799.932053140095</v>
      </c>
      <c r="D99" s="147">
        <f>'E) Fact soc'!G105/C99</f>
        <v>17.737645842423035</v>
      </c>
      <c r="E99" s="181">
        <f>'H) Péréquation directe'!I110/C99</f>
        <v>1.1209544636556483</v>
      </c>
      <c r="F99" s="186">
        <f>'I) Dépenses thématiques'!P99</f>
        <v>-5.4813219792253225</v>
      </c>
      <c r="G99" s="143">
        <f t="shared" si="7"/>
        <v>13.377278326853363</v>
      </c>
      <c r="H99" s="128">
        <f t="shared" si="4"/>
        <v>0</v>
      </c>
      <c r="I99" s="152">
        <f t="shared" si="6"/>
        <v>0</v>
      </c>
      <c r="J99" s="43">
        <f t="shared" si="5"/>
        <v>13.377278326853363</v>
      </c>
    </row>
    <row r="100" spans="1:10" x14ac:dyDescent="0.25">
      <c r="A100" s="61">
        <f>'A) Base RI'!A102</f>
        <v>5557</v>
      </c>
      <c r="B100" s="114" t="str">
        <f>'A) Base RI'!B102</f>
        <v>Fontaines-sur-Grandson</v>
      </c>
      <c r="C100" s="125">
        <f>'B) D RI'!U102</f>
        <v>4200.6523188405799</v>
      </c>
      <c r="D100" s="147">
        <f>'E) Fact soc'!G106/C100</f>
        <v>17.593644606701393</v>
      </c>
      <c r="E100" s="181">
        <f>'H) Péréquation directe'!I111/C100</f>
        <v>-4.9366186680565152</v>
      </c>
      <c r="F100" s="186">
        <f>'I) Dépenses thématiques'!P100</f>
        <v>-6.1305617240238508</v>
      </c>
      <c r="G100" s="143">
        <f t="shared" si="7"/>
        <v>6.5264642146210274</v>
      </c>
      <c r="H100" s="128">
        <f t="shared" si="4"/>
        <v>0</v>
      </c>
      <c r="I100" s="152">
        <f t="shared" si="6"/>
        <v>0</v>
      </c>
      <c r="J100" s="43">
        <f t="shared" si="5"/>
        <v>6.5264642146210274</v>
      </c>
    </row>
    <row r="101" spans="1:10" x14ac:dyDescent="0.25">
      <c r="A101" s="61">
        <f>'A) Base RI'!A103</f>
        <v>5559</v>
      </c>
      <c r="B101" s="114" t="str">
        <f>'A) Base RI'!B103</f>
        <v>Giez</v>
      </c>
      <c r="C101" s="125">
        <f>'B) D RI'!U103</f>
        <v>17998.483636363639</v>
      </c>
      <c r="D101" s="147">
        <f>'E) Fact soc'!G107/C101</f>
        <v>16.047668031415615</v>
      </c>
      <c r="E101" s="181">
        <f>'H) Péréquation directe'!I112/C101</f>
        <v>16.44835896226423</v>
      </c>
      <c r="F101" s="186">
        <f>'I) Dépenses thématiques'!P101</f>
        <v>0</v>
      </c>
      <c r="G101" s="143">
        <f t="shared" si="7"/>
        <v>32.496026993679848</v>
      </c>
      <c r="H101" s="128">
        <f t="shared" si="4"/>
        <v>0</v>
      </c>
      <c r="I101" s="152">
        <f t="shared" si="6"/>
        <v>0</v>
      </c>
      <c r="J101" s="43">
        <f t="shared" si="5"/>
        <v>32.496026993679848</v>
      </c>
    </row>
    <row r="102" spans="1:10" x14ac:dyDescent="0.25">
      <c r="A102" s="61">
        <f>'A) Base RI'!A104</f>
        <v>5560</v>
      </c>
      <c r="B102" s="114" t="str">
        <f>'A) Base RI'!B104</f>
        <v>Grandevent</v>
      </c>
      <c r="C102" s="125">
        <f>'B) D RI'!U104</f>
        <v>6396.1444117647052</v>
      </c>
      <c r="D102" s="147">
        <f>'E) Fact soc'!G108/C102</f>
        <v>17.965017095833559</v>
      </c>
      <c r="E102" s="181">
        <f>'H) Péréquation directe'!I113/C102</f>
        <v>3.9777689551142448</v>
      </c>
      <c r="F102" s="186">
        <f>'I) Dépenses thématiques'!P102</f>
        <v>-2.0298030596840095</v>
      </c>
      <c r="G102" s="143">
        <f t="shared" si="7"/>
        <v>19.912982991263792</v>
      </c>
      <c r="H102" s="128">
        <f t="shared" si="4"/>
        <v>0</v>
      </c>
      <c r="I102" s="152">
        <f t="shared" si="6"/>
        <v>0</v>
      </c>
      <c r="J102" s="43">
        <f t="shared" si="5"/>
        <v>19.912982991263792</v>
      </c>
    </row>
    <row r="103" spans="1:10" x14ac:dyDescent="0.25">
      <c r="A103" s="61">
        <f>'A) Base RI'!A105</f>
        <v>5561</v>
      </c>
      <c r="B103" s="114" t="str">
        <f>'A) Base RI'!B105</f>
        <v>Grandson</v>
      </c>
      <c r="C103" s="125">
        <f>'B) D RI'!U105</f>
        <v>106507.86840579711</v>
      </c>
      <c r="D103" s="147">
        <f>'E) Fact soc'!G109/C103</f>
        <v>19.74278083182152</v>
      </c>
      <c r="E103" s="181">
        <f>'H) Péréquation directe'!I114/C103</f>
        <v>2.7890762530165878</v>
      </c>
      <c r="F103" s="186">
        <f>'I) Dépenses thématiques'!P103</f>
        <v>-6.9040021666064604</v>
      </c>
      <c r="G103" s="143">
        <f t="shared" si="7"/>
        <v>15.627854918231648</v>
      </c>
      <c r="H103" s="128">
        <f t="shared" si="4"/>
        <v>0</v>
      </c>
      <c r="I103" s="152">
        <f t="shared" si="6"/>
        <v>0</v>
      </c>
      <c r="J103" s="43">
        <f t="shared" si="5"/>
        <v>15.627854918231648</v>
      </c>
    </row>
    <row r="104" spans="1:10" x14ac:dyDescent="0.25">
      <c r="A104" s="61">
        <f>'A) Base RI'!A106</f>
        <v>5562</v>
      </c>
      <c r="B104" s="114" t="str">
        <f>'A) Base RI'!B106</f>
        <v>Mauborget</v>
      </c>
      <c r="C104" s="125">
        <f>'B) D RI'!U106</f>
        <v>3916.9319285714282</v>
      </c>
      <c r="D104" s="147">
        <f>'E) Fact soc'!G110/C104</f>
        <v>16.750360486687633</v>
      </c>
      <c r="E104" s="181">
        <f>'H) Péréquation directe'!I115/C104</f>
        <v>8.964223129049488</v>
      </c>
      <c r="F104" s="186">
        <f>'I) Dépenses thématiques'!P104</f>
        <v>-3.7552601069311922</v>
      </c>
      <c r="G104" s="143">
        <f t="shared" si="7"/>
        <v>21.959323508805927</v>
      </c>
      <c r="H104" s="128">
        <f t="shared" si="4"/>
        <v>0</v>
      </c>
      <c r="I104" s="152">
        <f t="shared" si="6"/>
        <v>0</v>
      </c>
      <c r="J104" s="43">
        <f t="shared" si="5"/>
        <v>21.959323508805927</v>
      </c>
    </row>
    <row r="105" spans="1:10" x14ac:dyDescent="0.25">
      <c r="A105" s="61">
        <f>'A) Base RI'!A107</f>
        <v>5563</v>
      </c>
      <c r="B105" s="114" t="str">
        <f>'A) Base RI'!B107</f>
        <v>Mutrux</v>
      </c>
      <c r="C105" s="125">
        <f>'B) D RI'!U107</f>
        <v>4102.2142675159239</v>
      </c>
      <c r="D105" s="147">
        <f>'E) Fact soc'!G111/C105</f>
        <v>17.056771389636843</v>
      </c>
      <c r="E105" s="181">
        <f>'H) Péréquation directe'!I116/C105</f>
        <v>-0.89703685052115789</v>
      </c>
      <c r="F105" s="186">
        <f>'I) Dépenses thématiques'!P105</f>
        <v>-4.8323106382288561</v>
      </c>
      <c r="G105" s="143">
        <f t="shared" si="7"/>
        <v>11.32742390088683</v>
      </c>
      <c r="H105" s="128">
        <f t="shared" si="4"/>
        <v>0</v>
      </c>
      <c r="I105" s="152">
        <f t="shared" si="6"/>
        <v>0</v>
      </c>
      <c r="J105" s="43">
        <f t="shared" si="5"/>
        <v>11.32742390088683</v>
      </c>
    </row>
    <row r="106" spans="1:10" x14ac:dyDescent="0.25">
      <c r="A106" s="61">
        <f>'A) Base RI'!A108</f>
        <v>5564</v>
      </c>
      <c r="B106" s="114" t="str">
        <f>'A) Base RI'!B108</f>
        <v>Novalles</v>
      </c>
      <c r="C106" s="125">
        <f>'B) D RI'!U108</f>
        <v>2120.1975328947365</v>
      </c>
      <c r="D106" s="147">
        <f>'E) Fact soc'!G112/C106</f>
        <v>15.524464788839424</v>
      </c>
      <c r="E106" s="181">
        <f>'H) Péréquation directe'!I117/C106</f>
        <v>-11.926670397408991</v>
      </c>
      <c r="F106" s="186">
        <f>'I) Dépenses thématiques'!P106</f>
        <v>-3.1786972861850482</v>
      </c>
      <c r="G106" s="143">
        <f t="shared" si="7"/>
        <v>0.41909710524538513</v>
      </c>
      <c r="H106" s="128">
        <f t="shared" si="4"/>
        <v>0</v>
      </c>
      <c r="I106" s="152">
        <f t="shared" si="6"/>
        <v>0</v>
      </c>
      <c r="J106" s="43">
        <f t="shared" si="5"/>
        <v>0.41909710524538513</v>
      </c>
    </row>
    <row r="107" spans="1:10" x14ac:dyDescent="0.25">
      <c r="A107" s="61">
        <f>'A) Base RI'!A109</f>
        <v>5565</v>
      </c>
      <c r="B107" s="114" t="str">
        <f>'A) Base RI'!B109</f>
        <v>Onnens</v>
      </c>
      <c r="C107" s="125">
        <f>'B) D RI'!U109</f>
        <v>19222.665538461537</v>
      </c>
      <c r="D107" s="147">
        <f>'E) Fact soc'!G113/C107</f>
        <v>17.721046991006759</v>
      </c>
      <c r="E107" s="181">
        <f>'H) Péréquation directe'!I118/C107</f>
        <v>13.851184063980035</v>
      </c>
      <c r="F107" s="186">
        <f>'I) Dépenses thématiques'!P107</f>
        <v>-1.5948282906987301</v>
      </c>
      <c r="G107" s="143">
        <f t="shared" si="7"/>
        <v>29.977402764288065</v>
      </c>
      <c r="H107" s="128">
        <f t="shared" si="4"/>
        <v>0</v>
      </c>
      <c r="I107" s="152">
        <f t="shared" si="6"/>
        <v>0</v>
      </c>
      <c r="J107" s="43">
        <f t="shared" si="5"/>
        <v>29.977402764288065</v>
      </c>
    </row>
    <row r="108" spans="1:10" x14ac:dyDescent="0.25">
      <c r="A108" s="61">
        <f>'A) Base RI'!A110</f>
        <v>5566</v>
      </c>
      <c r="B108" s="114" t="str">
        <f>'A) Base RI'!B110</f>
        <v>Provence</v>
      </c>
      <c r="C108" s="125">
        <f>'B) D RI'!U110</f>
        <v>7814.1319753086409</v>
      </c>
      <c r="D108" s="147">
        <f>'E) Fact soc'!G114/C108</f>
        <v>18.132874150801211</v>
      </c>
      <c r="E108" s="181">
        <f>'H) Péréquation directe'!I119/C108</f>
        <v>-16.87702902446015</v>
      </c>
      <c r="F108" s="186">
        <f>'I) Dépenses thématiques'!P108</f>
        <v>-25.479565941039475</v>
      </c>
      <c r="G108" s="143">
        <f t="shared" si="7"/>
        <v>-24.223720814698414</v>
      </c>
      <c r="H108" s="128">
        <f t="shared" si="4"/>
        <v>0</v>
      </c>
      <c r="I108" s="152">
        <f t="shared" si="6"/>
        <v>0</v>
      </c>
      <c r="J108" s="43">
        <f t="shared" si="5"/>
        <v>-24.223720814698414</v>
      </c>
    </row>
    <row r="109" spans="1:10" x14ac:dyDescent="0.25">
      <c r="A109" s="61">
        <f>'A) Base RI'!A111</f>
        <v>5568</v>
      </c>
      <c r="B109" s="114" t="str">
        <f>'A) Base RI'!B111</f>
        <v>Sainte-Croix</v>
      </c>
      <c r="C109" s="125">
        <f>'B) D RI'!U111</f>
        <v>93435.029714285716</v>
      </c>
      <c r="D109" s="147">
        <f>'E) Fact soc'!G115/C109</f>
        <v>25.385136560629238</v>
      </c>
      <c r="E109" s="181">
        <f>'H) Péréquation directe'!I120/C109</f>
        <v>-23.537842124727433</v>
      </c>
      <c r="F109" s="186">
        <f>'I) Dépenses thématiques'!P109</f>
        <v>-12.298163013352527</v>
      </c>
      <c r="G109" s="143">
        <f t="shared" si="7"/>
        <v>-10.450868577450722</v>
      </c>
      <c r="H109" s="128">
        <f t="shared" si="4"/>
        <v>0</v>
      </c>
      <c r="I109" s="152">
        <f t="shared" si="6"/>
        <v>0</v>
      </c>
      <c r="J109" s="43">
        <f t="shared" si="5"/>
        <v>-10.450868577450722</v>
      </c>
    </row>
    <row r="110" spans="1:10" x14ac:dyDescent="0.25">
      <c r="A110" s="61">
        <f>'A) Base RI'!A112</f>
        <v>5571</v>
      </c>
      <c r="B110" s="114" t="str">
        <f>'A) Base RI'!B112</f>
        <v>Tévenon</v>
      </c>
      <c r="C110" s="125">
        <f>'B) D RI'!U112</f>
        <v>20766.182465753427</v>
      </c>
      <c r="D110" s="147">
        <f>'E) Fact soc'!G116/C110</f>
        <v>18.709607513511145</v>
      </c>
      <c r="E110" s="181">
        <f>'H) Péréquation directe'!I121/C110</f>
        <v>-0.57707445415555636</v>
      </c>
      <c r="F110" s="186">
        <f>'I) Dépenses thématiques'!P110</f>
        <v>-2.9397633618757952</v>
      </c>
      <c r="G110" s="143">
        <f t="shared" si="7"/>
        <v>15.192769697479793</v>
      </c>
      <c r="H110" s="128">
        <f t="shared" si="4"/>
        <v>0</v>
      </c>
      <c r="I110" s="152">
        <f t="shared" si="6"/>
        <v>0</v>
      </c>
      <c r="J110" s="43">
        <f t="shared" si="5"/>
        <v>15.192769697479793</v>
      </c>
    </row>
    <row r="111" spans="1:10" x14ac:dyDescent="0.25">
      <c r="A111" s="61">
        <f>'A) Base RI'!A113</f>
        <v>5581</v>
      </c>
      <c r="B111" s="114" t="str">
        <f>'A) Base RI'!B113</f>
        <v>Belmont-sur-Lausanne</v>
      </c>
      <c r="C111" s="125">
        <f>'B) D RI'!U113</f>
        <v>173034.35179856114</v>
      </c>
      <c r="D111" s="147">
        <f>'E) Fact soc'!G117/C111</f>
        <v>17.864787509679456</v>
      </c>
      <c r="E111" s="181">
        <f>'H) Péréquation directe'!I122/C111</f>
        <v>12.289023417304533</v>
      </c>
      <c r="F111" s="186">
        <f>'I) Dépenses thématiques'!P111</f>
        <v>-3.662305366351907</v>
      </c>
      <c r="G111" s="143">
        <f t="shared" si="7"/>
        <v>26.491505560632078</v>
      </c>
      <c r="H111" s="128">
        <f t="shared" si="4"/>
        <v>0</v>
      </c>
      <c r="I111" s="152">
        <f t="shared" si="6"/>
        <v>0</v>
      </c>
      <c r="J111" s="43">
        <f t="shared" si="5"/>
        <v>26.491505560632078</v>
      </c>
    </row>
    <row r="112" spans="1:10" x14ac:dyDescent="0.25">
      <c r="A112" s="61">
        <f>'A) Base RI'!A114</f>
        <v>5582</v>
      </c>
      <c r="B112" s="114" t="str">
        <f>'A) Base RI'!B114</f>
        <v>Cheseaux-sur-Lausanne</v>
      </c>
      <c r="C112" s="125">
        <f>'B) D RI'!U114</f>
        <v>165346.44872483221</v>
      </c>
      <c r="D112" s="147">
        <f>'E) Fact soc'!G118/C112</f>
        <v>18.921022950996409</v>
      </c>
      <c r="E112" s="181">
        <f>'H) Péréquation directe'!I123/C112</f>
        <v>6.6965204797811895</v>
      </c>
      <c r="F112" s="186">
        <f>'I) Dépenses thématiques'!P112</f>
        <v>-1.3179953110192768</v>
      </c>
      <c r="G112" s="143">
        <f t="shared" si="7"/>
        <v>24.29954811975832</v>
      </c>
      <c r="H112" s="128">
        <f t="shared" si="4"/>
        <v>0</v>
      </c>
      <c r="I112" s="152">
        <f t="shared" si="6"/>
        <v>0</v>
      </c>
      <c r="J112" s="43">
        <f t="shared" si="5"/>
        <v>24.29954811975832</v>
      </c>
    </row>
    <row r="113" spans="1:10" x14ac:dyDescent="0.25">
      <c r="A113" s="61">
        <f>'A) Base RI'!A115</f>
        <v>5583</v>
      </c>
      <c r="B113" s="114" t="str">
        <f>'A) Base RI'!B115</f>
        <v>Crissier</v>
      </c>
      <c r="C113" s="125">
        <f>'B) D RI'!U115</f>
        <v>323925.7196923077</v>
      </c>
      <c r="D113" s="147">
        <f>'E) Fact soc'!G119/C113</f>
        <v>19.079053912215361</v>
      </c>
      <c r="E113" s="181">
        <f>'H) Péréquation directe'!I124/C113</f>
        <v>7.9789781221594032</v>
      </c>
      <c r="F113" s="186">
        <f>'I) Dépenses thématiques'!P113</f>
        <v>-5.7094738416848632</v>
      </c>
      <c r="G113" s="143">
        <f t="shared" si="7"/>
        <v>21.3485581926899</v>
      </c>
      <c r="H113" s="128">
        <f t="shared" si="4"/>
        <v>0</v>
      </c>
      <c r="I113" s="152">
        <f t="shared" si="6"/>
        <v>0</v>
      </c>
      <c r="J113" s="43">
        <f t="shared" si="5"/>
        <v>21.3485581926899</v>
      </c>
    </row>
    <row r="114" spans="1:10" x14ac:dyDescent="0.25">
      <c r="A114" s="61">
        <f>'A) Base RI'!A116</f>
        <v>5584</v>
      </c>
      <c r="B114" s="114" t="str">
        <f>'A) Base RI'!B116</f>
        <v>Epalinges</v>
      </c>
      <c r="C114" s="125">
        <f>'B) D RI'!U116</f>
        <v>455923.60696969699</v>
      </c>
      <c r="D114" s="147">
        <f>'E) Fact soc'!G120/C114</f>
        <v>19.188319839255854</v>
      </c>
      <c r="E114" s="181">
        <f>'H) Péréquation directe'!I125/C114</f>
        <v>9.1270814989716076</v>
      </c>
      <c r="F114" s="186">
        <f>'I) Dépenses thématiques'!P114</f>
        <v>-5.8222612040856676</v>
      </c>
      <c r="G114" s="143">
        <f t="shared" si="7"/>
        <v>22.493140134141793</v>
      </c>
      <c r="H114" s="128">
        <f t="shared" ref="H114:H165" si="8">IF(G114&gt;H$4,H$4-G114,0)</f>
        <v>0</v>
      </c>
      <c r="I114" s="152">
        <f t="shared" si="6"/>
        <v>0</v>
      </c>
      <c r="J114" s="43">
        <f t="shared" ref="J114:J165" si="9">G114+H114</f>
        <v>22.493140134141793</v>
      </c>
    </row>
    <row r="115" spans="1:10" x14ac:dyDescent="0.25">
      <c r="A115" s="61">
        <f>'A) Base RI'!A117</f>
        <v>5585</v>
      </c>
      <c r="B115" s="114" t="str">
        <f>'A) Base RI'!B117</f>
        <v>Jouxtens-Mézery</v>
      </c>
      <c r="C115" s="125">
        <f>'B) D RI'!U117</f>
        <v>159177.88018867921</v>
      </c>
      <c r="D115" s="147">
        <f>'E) Fact soc'!G121/C115</f>
        <v>27.815473526641419</v>
      </c>
      <c r="E115" s="181">
        <f>'H) Péréquation directe'!I126/C115</f>
        <v>14.107837601827704</v>
      </c>
      <c r="F115" s="186">
        <f>'I) Dépenses thématiques'!P115</f>
        <v>0</v>
      </c>
      <c r="G115" s="143">
        <f t="shared" si="7"/>
        <v>41.923311128469123</v>
      </c>
      <c r="H115" s="128">
        <f t="shared" si="8"/>
        <v>0</v>
      </c>
      <c r="I115" s="152">
        <f t="shared" si="6"/>
        <v>0</v>
      </c>
      <c r="J115" s="43">
        <f t="shared" si="9"/>
        <v>41.923311128469123</v>
      </c>
    </row>
    <row r="116" spans="1:10" x14ac:dyDescent="0.25">
      <c r="A116" s="61">
        <f>'A) Base RI'!A118</f>
        <v>5586</v>
      </c>
      <c r="B116" s="114" t="str">
        <f>'A) Base RI'!B118</f>
        <v>Lausanne</v>
      </c>
      <c r="C116" s="125">
        <f>'B) D RI'!U118</f>
        <v>5897479.10464135</v>
      </c>
      <c r="D116" s="147">
        <f>'E) Fact soc'!G122/C116</f>
        <v>18.448997687383518</v>
      </c>
      <c r="E116" s="181">
        <f>'H) Péréquation directe'!I127/C116</f>
        <v>-4.4072397733052995</v>
      </c>
      <c r="F116" s="186">
        <f>'I) Dépenses thématiques'!P116</f>
        <v>-7.3079876451528714</v>
      </c>
      <c r="G116" s="143">
        <f t="shared" si="7"/>
        <v>6.7337702689253467</v>
      </c>
      <c r="H116" s="128">
        <f t="shared" si="8"/>
        <v>0</v>
      </c>
      <c r="I116" s="152">
        <f t="shared" ref="I116:I166" si="10">H116*C116</f>
        <v>0</v>
      </c>
      <c r="J116" s="43">
        <f t="shared" si="9"/>
        <v>6.7337702689253467</v>
      </c>
    </row>
    <row r="117" spans="1:10" x14ac:dyDescent="0.25">
      <c r="A117" s="61">
        <f>'A) Base RI'!A119</f>
        <v>5587</v>
      </c>
      <c r="B117" s="114" t="str">
        <f>'A) Base RI'!B119</f>
        <v>Le Mont-sur-Lausanne</v>
      </c>
      <c r="C117" s="125">
        <f>'B) D RI'!U119</f>
        <v>380449.00348888891</v>
      </c>
      <c r="D117" s="147">
        <f>'E) Fact soc'!G123/C117</f>
        <v>19.804564119018266</v>
      </c>
      <c r="E117" s="181">
        <f>'H) Péréquation directe'!I128/C117</f>
        <v>10.358729363408431</v>
      </c>
      <c r="F117" s="186">
        <f>'I) Dépenses thématiques'!P117</f>
        <v>-5.7906093268920102</v>
      </c>
      <c r="G117" s="143">
        <f t="shared" ref="G117:G166" si="11">SUM(D117:F117)</f>
        <v>24.372684155534685</v>
      </c>
      <c r="H117" s="128">
        <f t="shared" si="8"/>
        <v>0</v>
      </c>
      <c r="I117" s="152">
        <f t="shared" si="10"/>
        <v>0</v>
      </c>
      <c r="J117" s="43">
        <f t="shared" si="9"/>
        <v>24.372684155534685</v>
      </c>
    </row>
    <row r="118" spans="1:10" x14ac:dyDescent="0.25">
      <c r="A118" s="61">
        <f>'A) Base RI'!A120</f>
        <v>5588</v>
      </c>
      <c r="B118" s="114" t="str">
        <f>'A) Base RI'!B120</f>
        <v>Paudex</v>
      </c>
      <c r="C118" s="125">
        <f>'B) D RI'!U120</f>
        <v>152789.79231126595</v>
      </c>
      <c r="D118" s="147">
        <f>'E) Fact soc'!G124/C118</f>
        <v>26.719166363052132</v>
      </c>
      <c r="E118" s="181">
        <f>'H) Péréquation directe'!I129/C118</f>
        <v>14.246783829675435</v>
      </c>
      <c r="F118" s="186">
        <f>'I) Dépenses thématiques'!P118</f>
        <v>0</v>
      </c>
      <c r="G118" s="143">
        <f t="shared" si="11"/>
        <v>40.965950192727568</v>
      </c>
      <c r="H118" s="128">
        <f t="shared" si="8"/>
        <v>0</v>
      </c>
      <c r="I118" s="152">
        <f t="shared" si="10"/>
        <v>0</v>
      </c>
      <c r="J118" s="43">
        <f t="shared" si="9"/>
        <v>40.965950192727568</v>
      </c>
    </row>
    <row r="119" spans="1:10" x14ac:dyDescent="0.25">
      <c r="A119" s="61">
        <f>'A) Base RI'!A121</f>
        <v>5589</v>
      </c>
      <c r="B119" s="114" t="str">
        <f>'A) Base RI'!B121</f>
        <v>Prilly</v>
      </c>
      <c r="C119" s="125">
        <f>'B) D RI'!U121</f>
        <v>462414.97306122456</v>
      </c>
      <c r="D119" s="147">
        <f>'E) Fact soc'!G125/C119</f>
        <v>19.292164109789667</v>
      </c>
      <c r="E119" s="181">
        <f>'H) Péréquation directe'!I130/C119</f>
        <v>1.8826041141331677</v>
      </c>
      <c r="F119" s="186">
        <f>'I) Dépenses thématiques'!P119</f>
        <v>-5.7418377160767413</v>
      </c>
      <c r="G119" s="143">
        <f t="shared" si="11"/>
        <v>15.432930507846095</v>
      </c>
      <c r="H119" s="128">
        <f t="shared" si="8"/>
        <v>0</v>
      </c>
      <c r="I119" s="152">
        <f t="shared" si="10"/>
        <v>0</v>
      </c>
      <c r="J119" s="43">
        <f t="shared" si="9"/>
        <v>15.432930507846095</v>
      </c>
    </row>
    <row r="120" spans="1:10" x14ac:dyDescent="0.25">
      <c r="A120" s="61">
        <f>'A) Base RI'!A122</f>
        <v>5590</v>
      </c>
      <c r="B120" s="114" t="str">
        <f>'A) Base RI'!B122</f>
        <v>Pully</v>
      </c>
      <c r="C120" s="125">
        <f>'B) D RI'!U122</f>
        <v>1366683.426371882</v>
      </c>
      <c r="D120" s="147">
        <f>'E) Fact soc'!G126/C120</f>
        <v>25.76226870558769</v>
      </c>
      <c r="E120" s="181">
        <f>'H) Péréquation directe'!I131/C120</f>
        <v>7.9939338291913726</v>
      </c>
      <c r="F120" s="186">
        <f>'I) Dépenses thématiques'!P120</f>
        <v>-1.4298399615294335</v>
      </c>
      <c r="G120" s="143">
        <f t="shared" si="11"/>
        <v>32.326362573249632</v>
      </c>
      <c r="H120" s="128">
        <f t="shared" si="8"/>
        <v>0</v>
      </c>
      <c r="I120" s="152">
        <f t="shared" si="10"/>
        <v>0</v>
      </c>
      <c r="J120" s="43">
        <f t="shared" si="9"/>
        <v>32.326362573249632</v>
      </c>
    </row>
    <row r="121" spans="1:10" x14ac:dyDescent="0.25">
      <c r="A121" s="61">
        <f>'A) Base RI'!A123</f>
        <v>5591</v>
      </c>
      <c r="B121" s="114" t="str">
        <f>'A) Base RI'!B123</f>
        <v>Renens</v>
      </c>
      <c r="C121" s="125">
        <f>'B) D RI'!U123</f>
        <v>546895.28569608741</v>
      </c>
      <c r="D121" s="147">
        <f>'E) Fact soc'!G127/C121</f>
        <v>17.664493630942815</v>
      </c>
      <c r="E121" s="181">
        <f>'H) Péréquation directe'!I132/C121</f>
        <v>-24.974347573587774</v>
      </c>
      <c r="F121" s="186">
        <f>'I) Dépenses thématiques'!P121</f>
        <v>-9.2868052057006043</v>
      </c>
      <c r="G121" s="143">
        <f t="shared" si="11"/>
        <v>-16.596659148345566</v>
      </c>
      <c r="H121" s="128">
        <f t="shared" si="8"/>
        <v>0</v>
      </c>
      <c r="I121" s="152">
        <f t="shared" si="10"/>
        <v>0</v>
      </c>
      <c r="J121" s="43">
        <f t="shared" si="9"/>
        <v>-16.596659148345566</v>
      </c>
    </row>
    <row r="122" spans="1:10" x14ac:dyDescent="0.25">
      <c r="A122" s="61">
        <f>'A) Base RI'!A124</f>
        <v>5592</v>
      </c>
      <c r="B122" s="114" t="str">
        <f>'A) Base RI'!B124</f>
        <v>Romanel-sur-Lausanne</v>
      </c>
      <c r="C122" s="125">
        <f>'B) D RI'!U124</f>
        <v>110273.83828571429</v>
      </c>
      <c r="D122" s="147">
        <f>'E) Fact soc'!G128/C122</f>
        <v>20.03128651306686</v>
      </c>
      <c r="E122" s="181">
        <f>'H) Péréquation directe'!I133/C122</f>
        <v>3.2085159487299566</v>
      </c>
      <c r="F122" s="186">
        <f>'I) Dépenses thématiques'!P122</f>
        <v>-1.731193408061118</v>
      </c>
      <c r="G122" s="143">
        <f t="shared" si="11"/>
        <v>21.5086090537357</v>
      </c>
      <c r="H122" s="128">
        <f t="shared" si="8"/>
        <v>0</v>
      </c>
      <c r="I122" s="152">
        <f t="shared" si="10"/>
        <v>0</v>
      </c>
      <c r="J122" s="43">
        <f t="shared" si="9"/>
        <v>21.5086090537357</v>
      </c>
    </row>
    <row r="123" spans="1:10" x14ac:dyDescent="0.25">
      <c r="A123" s="61">
        <f>'A) Base RI'!A125</f>
        <v>5601</v>
      </c>
      <c r="B123" s="114" t="str">
        <f>'A) Base RI'!B125</f>
        <v>Chexbres</v>
      </c>
      <c r="C123" s="125">
        <f>'B) D RI'!U125</f>
        <v>104474.96078125002</v>
      </c>
      <c r="D123" s="147">
        <f>'E) Fact soc'!G129/C123</f>
        <v>18.644708123340916</v>
      </c>
      <c r="E123" s="181">
        <f>'H) Péréquation directe'!I134/C123</f>
        <v>13.601017851939613</v>
      </c>
      <c r="F123" s="186">
        <f>'I) Dépenses thématiques'!P123</f>
        <v>-1.4587753419339302</v>
      </c>
      <c r="G123" s="143">
        <f t="shared" si="11"/>
        <v>30.786950633346599</v>
      </c>
      <c r="H123" s="128">
        <f t="shared" si="8"/>
        <v>0</v>
      </c>
      <c r="I123" s="152">
        <f t="shared" si="10"/>
        <v>0</v>
      </c>
      <c r="J123" s="43">
        <f t="shared" si="9"/>
        <v>30.786950633346599</v>
      </c>
    </row>
    <row r="124" spans="1:10" x14ac:dyDescent="0.25">
      <c r="A124" s="61">
        <f>'A) Base RI'!A126</f>
        <v>5604</v>
      </c>
      <c r="B124" s="114" t="str">
        <f>'A) Base RI'!B126</f>
        <v>Forel (Lavaux)</v>
      </c>
      <c r="C124" s="125">
        <f>'B) D RI'!U126</f>
        <v>65514.699852941172</v>
      </c>
      <c r="D124" s="147">
        <f>'E) Fact soc'!G130/C124</f>
        <v>17.678761691928479</v>
      </c>
      <c r="E124" s="181">
        <f>'H) Péréquation directe'!I135/C124</f>
        <v>3.9246100239943678</v>
      </c>
      <c r="F124" s="186">
        <f>'I) Dépenses thématiques'!P124</f>
        <v>-4.5050519251158692</v>
      </c>
      <c r="G124" s="143">
        <f t="shared" si="11"/>
        <v>17.098319790806979</v>
      </c>
      <c r="H124" s="128">
        <f t="shared" si="8"/>
        <v>0</v>
      </c>
      <c r="I124" s="152">
        <f t="shared" si="10"/>
        <v>0</v>
      </c>
      <c r="J124" s="43">
        <f t="shared" si="9"/>
        <v>17.098319790806979</v>
      </c>
    </row>
    <row r="125" spans="1:10" x14ac:dyDescent="0.25">
      <c r="A125" s="61">
        <f>'A) Base RI'!A127</f>
        <v>5606</v>
      </c>
      <c r="B125" s="114" t="str">
        <f>'A) Base RI'!B127</f>
        <v>Lutry</v>
      </c>
      <c r="C125" s="125">
        <f>'B) D RI'!U127</f>
        <v>742470.65823979594</v>
      </c>
      <c r="D125" s="147">
        <f>'E) Fact soc'!G131/C125</f>
        <v>25.818323169852459</v>
      </c>
      <c r="E125" s="181">
        <f>'H) Péréquation directe'!I136/C125</f>
        <v>10.783818628278294</v>
      </c>
      <c r="F125" s="186">
        <f>'I) Dépenses thématiques'!P125</f>
        <v>-2.2375572319896562</v>
      </c>
      <c r="G125" s="143">
        <f t="shared" si="11"/>
        <v>34.364584566141097</v>
      </c>
      <c r="H125" s="128">
        <f t="shared" si="8"/>
        <v>0</v>
      </c>
      <c r="I125" s="152">
        <f t="shared" si="10"/>
        <v>0</v>
      </c>
      <c r="J125" s="43">
        <f t="shared" si="9"/>
        <v>34.364584566141097</v>
      </c>
    </row>
    <row r="126" spans="1:10" x14ac:dyDescent="0.25">
      <c r="A126" s="61">
        <f>'A) Base RI'!A128</f>
        <v>5607</v>
      </c>
      <c r="B126" s="114" t="str">
        <f>'A) Base RI'!B128</f>
        <v>Puidoux</v>
      </c>
      <c r="C126" s="125">
        <f>'B) D RI'!U128</f>
        <v>100862.46201406649</v>
      </c>
      <c r="D126" s="147">
        <f>'E) Fact soc'!G132/C126</f>
        <v>18.082390947374194</v>
      </c>
      <c r="E126" s="181">
        <f>'H) Péréquation directe'!I137/C126</f>
        <v>6.6386005855692352</v>
      </c>
      <c r="F126" s="186">
        <f>'I) Dépenses thématiques'!P126</f>
        <v>-5.7143440297165222</v>
      </c>
      <c r="G126" s="143">
        <f t="shared" si="11"/>
        <v>19.006647503226908</v>
      </c>
      <c r="H126" s="128">
        <f t="shared" si="8"/>
        <v>0</v>
      </c>
      <c r="I126" s="152">
        <f t="shared" si="10"/>
        <v>0</v>
      </c>
      <c r="J126" s="43">
        <f t="shared" si="9"/>
        <v>19.006647503226908</v>
      </c>
    </row>
    <row r="127" spans="1:10" x14ac:dyDescent="0.25">
      <c r="A127" s="61">
        <f>'A) Base RI'!A129</f>
        <v>5609</v>
      </c>
      <c r="B127" s="114" t="str">
        <f>'A) Base RI'!B129</f>
        <v>Rivaz</v>
      </c>
      <c r="C127" s="125">
        <f>'B) D RI'!U129</f>
        <v>16122.244409448818</v>
      </c>
      <c r="D127" s="147">
        <f>'E) Fact soc'!G133/C127</f>
        <v>18.708849276269184</v>
      </c>
      <c r="E127" s="181">
        <f>'H) Péréquation directe'!I138/C127</f>
        <v>16.377433210984936</v>
      </c>
      <c r="F127" s="186">
        <f>'I) Dépenses thématiques'!P127</f>
        <v>-1.7128419459411448</v>
      </c>
      <c r="G127" s="143">
        <f t="shared" si="11"/>
        <v>33.373440541312981</v>
      </c>
      <c r="H127" s="128">
        <f t="shared" si="8"/>
        <v>0</v>
      </c>
      <c r="I127" s="152">
        <f t="shared" si="10"/>
        <v>0</v>
      </c>
      <c r="J127" s="43">
        <f t="shared" si="9"/>
        <v>33.373440541312981</v>
      </c>
    </row>
    <row r="128" spans="1:10" x14ac:dyDescent="0.25">
      <c r="A128" s="61">
        <f>'A) Base RI'!A130</f>
        <v>5610</v>
      </c>
      <c r="B128" s="114" t="str">
        <f>'A) Base RI'!B130</f>
        <v>St-Saphorin (Lavaux)</v>
      </c>
      <c r="C128" s="125">
        <f>'B) D RI'!U130</f>
        <v>20974.487096774192</v>
      </c>
      <c r="D128" s="147">
        <f>'E) Fact soc'!G134/C128</f>
        <v>16.84322396445058</v>
      </c>
      <c r="E128" s="181">
        <f>'H) Péréquation directe'!I139/C128</f>
        <v>16.761400418782387</v>
      </c>
      <c r="F128" s="186">
        <f>'I) Dépenses thématiques'!P128</f>
        <v>-2.1010359730051116</v>
      </c>
      <c r="G128" s="143">
        <f t="shared" si="11"/>
        <v>31.503588410227856</v>
      </c>
      <c r="H128" s="128">
        <f t="shared" si="8"/>
        <v>0</v>
      </c>
      <c r="I128" s="152">
        <f t="shared" si="10"/>
        <v>0</v>
      </c>
      <c r="J128" s="43">
        <f t="shared" si="9"/>
        <v>31.503588410227856</v>
      </c>
    </row>
    <row r="129" spans="1:10" x14ac:dyDescent="0.25">
      <c r="A129" s="61">
        <f>'A) Base RI'!A131</f>
        <v>5611</v>
      </c>
      <c r="B129" s="114" t="str">
        <f>'A) Base RI'!B131</f>
        <v>Savigny</v>
      </c>
      <c r="C129" s="125">
        <f>'B) D RI'!U131</f>
        <v>130312.40671641791</v>
      </c>
      <c r="D129" s="147">
        <f>'E) Fact soc'!G135/C129</f>
        <v>18.880484188831836</v>
      </c>
      <c r="E129" s="181">
        <f>'H) Péréquation directe'!I140/C129</f>
        <v>9.2508049215493369</v>
      </c>
      <c r="F129" s="186">
        <f>'I) Dépenses thématiques'!P129</f>
        <v>-4.2019273920834985</v>
      </c>
      <c r="G129" s="143">
        <f t="shared" si="11"/>
        <v>23.929361718297677</v>
      </c>
      <c r="H129" s="128">
        <f t="shared" si="8"/>
        <v>0</v>
      </c>
      <c r="I129" s="152">
        <f t="shared" si="10"/>
        <v>0</v>
      </c>
      <c r="J129" s="43">
        <f t="shared" si="9"/>
        <v>23.929361718297677</v>
      </c>
    </row>
    <row r="130" spans="1:10" x14ac:dyDescent="0.25">
      <c r="A130" s="61">
        <f>'A) Base RI'!A132</f>
        <v>5613</v>
      </c>
      <c r="B130" s="114" t="str">
        <f>'A) Base RI'!B132</f>
        <v>Bourg-en-Lavaux</v>
      </c>
      <c r="C130" s="125">
        <f>'B) D RI'!U132</f>
        <v>295658.88923497271</v>
      </c>
      <c r="D130" s="147">
        <f>'E) Fact soc'!G136/C130</f>
        <v>19.759704040742342</v>
      </c>
      <c r="E130" s="181">
        <f>'H) Péréquation directe'!I141/C130</f>
        <v>11.924219481384544</v>
      </c>
      <c r="F130" s="186">
        <f>'I) Dépenses thématiques'!P130</f>
        <v>-0.82315286790965603</v>
      </c>
      <c r="G130" s="143">
        <f t="shared" si="11"/>
        <v>30.86077065421723</v>
      </c>
      <c r="H130" s="128">
        <f t="shared" si="8"/>
        <v>0</v>
      </c>
      <c r="I130" s="152">
        <f t="shared" si="10"/>
        <v>0</v>
      </c>
      <c r="J130" s="43">
        <f t="shared" si="9"/>
        <v>30.86077065421723</v>
      </c>
    </row>
    <row r="131" spans="1:10" x14ac:dyDescent="0.25">
      <c r="A131" s="61">
        <f>'A) Base RI'!A133</f>
        <v>5621</v>
      </c>
      <c r="B131" s="114" t="str">
        <f>'A) Base RI'!B133</f>
        <v>Aclens</v>
      </c>
      <c r="C131" s="125">
        <f>'B) D RI'!U133</f>
        <v>33759.339076246331</v>
      </c>
      <c r="D131" s="147">
        <f>'E) Fact soc'!G137/C131</f>
        <v>21.952960064272133</v>
      </c>
      <c r="E131" s="181">
        <f>'H) Péréquation directe'!I142/C131</f>
        <v>16.399366827557277</v>
      </c>
      <c r="F131" s="186">
        <f>'I) Dépenses thématiques'!P131</f>
        <v>0</v>
      </c>
      <c r="G131" s="143">
        <f t="shared" si="11"/>
        <v>38.352326891829406</v>
      </c>
      <c r="H131" s="128">
        <f t="shared" si="8"/>
        <v>0</v>
      </c>
      <c r="I131" s="152">
        <f t="shared" si="10"/>
        <v>0</v>
      </c>
      <c r="J131" s="43">
        <f t="shared" si="9"/>
        <v>38.352326891829406</v>
      </c>
    </row>
    <row r="132" spans="1:10" x14ac:dyDescent="0.25">
      <c r="A132" s="61">
        <f>'A) Base RI'!A134</f>
        <v>5622</v>
      </c>
      <c r="B132" s="114" t="str">
        <f>'A) Base RI'!B134</f>
        <v>Bremblens</v>
      </c>
      <c r="C132" s="125">
        <f>'B) D RI'!U134</f>
        <v>28126.288636363635</v>
      </c>
      <c r="D132" s="147">
        <f>'E) Fact soc'!G138/C132</f>
        <v>17.047708907415807</v>
      </c>
      <c r="E132" s="181">
        <f>'H) Péréquation directe'!I143/C132</f>
        <v>16.74865774083456</v>
      </c>
      <c r="F132" s="186">
        <f>'I) Dépenses thématiques'!P132</f>
        <v>-0.41123692588191141</v>
      </c>
      <c r="G132" s="143">
        <f t="shared" si="11"/>
        <v>33.385129722368461</v>
      </c>
      <c r="H132" s="128">
        <f t="shared" si="8"/>
        <v>0</v>
      </c>
      <c r="I132" s="152">
        <f t="shared" si="10"/>
        <v>0</v>
      </c>
      <c r="J132" s="43">
        <f t="shared" si="9"/>
        <v>33.385129722368461</v>
      </c>
    </row>
    <row r="133" spans="1:10" x14ac:dyDescent="0.25">
      <c r="A133" s="61">
        <f>'A) Base RI'!A135</f>
        <v>5623</v>
      </c>
      <c r="B133" s="114" t="str">
        <f>'A) Base RI'!B135</f>
        <v>Buchillon</v>
      </c>
      <c r="C133" s="125">
        <f>'B) D RI'!U135</f>
        <v>86045.549622641513</v>
      </c>
      <c r="D133" s="147">
        <f>'E) Fact soc'!G139/C133</f>
        <v>32.11163199563709</v>
      </c>
      <c r="E133" s="181">
        <f>'H) Péréquation directe'!I144/C133</f>
        <v>14.203562780708305</v>
      </c>
      <c r="F133" s="186">
        <f>'I) Dépenses thématiques'!P133</f>
        <v>0</v>
      </c>
      <c r="G133" s="143">
        <f t="shared" si="11"/>
        <v>46.315194776345393</v>
      </c>
      <c r="H133" s="128">
        <f t="shared" si="8"/>
        <v>0</v>
      </c>
      <c r="I133" s="152">
        <f t="shared" si="10"/>
        <v>0</v>
      </c>
      <c r="J133" s="43">
        <f t="shared" si="9"/>
        <v>46.315194776345393</v>
      </c>
    </row>
    <row r="134" spans="1:10" x14ac:dyDescent="0.25">
      <c r="A134" s="61">
        <f>'A) Base RI'!A136</f>
        <v>5624</v>
      </c>
      <c r="B134" s="114" t="str">
        <f>'A) Base RI'!B136</f>
        <v>Bussigny</v>
      </c>
      <c r="C134" s="125">
        <f>'B) D RI'!U136</f>
        <v>312174.83774193545</v>
      </c>
      <c r="D134" s="147">
        <f>'E) Fact soc'!G140/C134</f>
        <v>23.916317184597339</v>
      </c>
      <c r="E134" s="181">
        <f>'H) Péréquation directe'!I145/C134</f>
        <v>4.3126033295927382</v>
      </c>
      <c r="F134" s="186">
        <f>'I) Dépenses thématiques'!P134</f>
        <v>-3.1410867432406095</v>
      </c>
      <c r="G134" s="143">
        <f t="shared" si="11"/>
        <v>25.087833770949469</v>
      </c>
      <c r="H134" s="128">
        <f t="shared" si="8"/>
        <v>0</v>
      </c>
      <c r="I134" s="152">
        <f t="shared" si="10"/>
        <v>0</v>
      </c>
      <c r="J134" s="43">
        <f t="shared" si="9"/>
        <v>25.087833770949469</v>
      </c>
    </row>
    <row r="135" spans="1:10" x14ac:dyDescent="0.25">
      <c r="A135" s="61">
        <f>'A) Base RI'!A137</f>
        <v>5625</v>
      </c>
      <c r="B135" s="114" t="str">
        <f>'A) Base RI'!B137</f>
        <v>Bussy-Chardonney</v>
      </c>
      <c r="C135" s="125">
        <f>'B) D RI'!U137</f>
        <v>16172.617200854704</v>
      </c>
      <c r="D135" s="147">
        <f>'E) Fact soc'!G141/C135</f>
        <v>18.715528384734871</v>
      </c>
      <c r="E135" s="181">
        <f>'H) Péréquation directe'!I146/C135</f>
        <v>15.606989871540621</v>
      </c>
      <c r="F135" s="186">
        <f>'I) Dépenses thématiques'!P135</f>
        <v>-0.47909825100989534</v>
      </c>
      <c r="G135" s="143">
        <f t="shared" si="11"/>
        <v>33.8434200052656</v>
      </c>
      <c r="H135" s="128">
        <f t="shared" si="8"/>
        <v>0</v>
      </c>
      <c r="I135" s="152">
        <f t="shared" si="10"/>
        <v>0</v>
      </c>
      <c r="J135" s="43">
        <f t="shared" si="9"/>
        <v>33.8434200052656</v>
      </c>
    </row>
    <row r="136" spans="1:10" x14ac:dyDescent="0.25">
      <c r="A136" s="61">
        <f>'A) Base RI'!A138</f>
        <v>5627</v>
      </c>
      <c r="B136" s="114" t="str">
        <f>'A) Base RI'!B138</f>
        <v>Chavannes-près-Renens</v>
      </c>
      <c r="C136" s="125">
        <f>'B) D RI'!U138</f>
        <v>162511.92244725736</v>
      </c>
      <c r="D136" s="147">
        <f>'E) Fact soc'!G142/C136</f>
        <v>17.491934591578172</v>
      </c>
      <c r="E136" s="181">
        <f>'H) Péréquation directe'!I147/C136</f>
        <v>-25.887576590561121</v>
      </c>
      <c r="F136" s="186">
        <f>'I) Dépenses thématiques'!P136</f>
        <v>-7.4589964894743472</v>
      </c>
      <c r="G136" s="143">
        <f t="shared" si="11"/>
        <v>-15.854638488457297</v>
      </c>
      <c r="H136" s="128">
        <f t="shared" si="8"/>
        <v>0</v>
      </c>
      <c r="I136" s="152">
        <f t="shared" si="10"/>
        <v>0</v>
      </c>
      <c r="J136" s="43">
        <f t="shared" si="9"/>
        <v>-15.854638488457297</v>
      </c>
    </row>
    <row r="137" spans="1:10" x14ac:dyDescent="0.25">
      <c r="A137" s="61">
        <f>'A) Base RI'!A139</f>
        <v>5628</v>
      </c>
      <c r="B137" s="114" t="str">
        <f>'A) Base RI'!B139</f>
        <v>Chigny</v>
      </c>
      <c r="C137" s="125">
        <f>'B) D RI'!U139</f>
        <v>19064.278346774194</v>
      </c>
      <c r="D137" s="147">
        <f>'E) Fact soc'!G143/C137</f>
        <v>16.593395087691125</v>
      </c>
      <c r="E137" s="181">
        <f>'H) Péréquation directe'!I148/C137</f>
        <v>16.637326658512428</v>
      </c>
      <c r="F137" s="186">
        <f>'I) Dépenses thématiques'!P137</f>
        <v>0</v>
      </c>
      <c r="G137" s="143">
        <f t="shared" si="11"/>
        <v>33.230721746203557</v>
      </c>
      <c r="H137" s="128">
        <f t="shared" si="8"/>
        <v>0</v>
      </c>
      <c r="I137" s="152">
        <f t="shared" si="10"/>
        <v>0</v>
      </c>
      <c r="J137" s="43">
        <f t="shared" si="9"/>
        <v>33.230721746203557</v>
      </c>
    </row>
    <row r="138" spans="1:10" x14ac:dyDescent="0.25">
      <c r="A138" s="61">
        <f>'A) Base RI'!A140</f>
        <v>5629</v>
      </c>
      <c r="B138" s="114" t="str">
        <f>'A) Base RI'!B140</f>
        <v>Clarmont</v>
      </c>
      <c r="C138" s="125">
        <f>'B) D RI'!U140</f>
        <v>7581.8990666666659</v>
      </c>
      <c r="D138" s="147">
        <f>'E) Fact soc'!G144/C138</f>
        <v>16.924905484058034</v>
      </c>
      <c r="E138" s="181">
        <f>'H) Péréquation directe'!I149/C138</f>
        <v>16.49884979030757</v>
      </c>
      <c r="F138" s="186">
        <f>'I) Dépenses thématiques'!P138</f>
        <v>-6.5588512205303822</v>
      </c>
      <c r="G138" s="143">
        <f t="shared" si="11"/>
        <v>26.864904053835222</v>
      </c>
      <c r="H138" s="128">
        <f t="shared" si="8"/>
        <v>0</v>
      </c>
      <c r="I138" s="152">
        <f t="shared" si="10"/>
        <v>0</v>
      </c>
      <c r="J138" s="43">
        <f t="shared" si="9"/>
        <v>26.864904053835222</v>
      </c>
    </row>
    <row r="139" spans="1:10" x14ac:dyDescent="0.25">
      <c r="A139" s="61">
        <f>'A) Base RI'!A141</f>
        <v>5631</v>
      </c>
      <c r="B139" s="114" t="str">
        <f>'A) Base RI'!B141</f>
        <v>Denens</v>
      </c>
      <c r="C139" s="125">
        <f>'B) D RI'!U141</f>
        <v>34218.35955882354</v>
      </c>
      <c r="D139" s="147">
        <f>'E) Fact soc'!G145/C139</f>
        <v>23.534060471789893</v>
      </c>
      <c r="E139" s="181">
        <f>'H) Péréquation directe'!I150/C139</f>
        <v>16.522301546048904</v>
      </c>
      <c r="F139" s="186">
        <f>'I) Dépenses thématiques'!P139</f>
        <v>0</v>
      </c>
      <c r="G139" s="143">
        <f t="shared" si="11"/>
        <v>40.056362017838794</v>
      </c>
      <c r="H139" s="128">
        <f t="shared" si="8"/>
        <v>0</v>
      </c>
      <c r="I139" s="152">
        <f t="shared" si="10"/>
        <v>0</v>
      </c>
      <c r="J139" s="43">
        <f t="shared" si="9"/>
        <v>40.056362017838794</v>
      </c>
    </row>
    <row r="140" spans="1:10" x14ac:dyDescent="0.25">
      <c r="A140" s="61">
        <f>'A) Base RI'!A142</f>
        <v>5632</v>
      </c>
      <c r="B140" s="114" t="str">
        <f>'A) Base RI'!B142</f>
        <v>Denges</v>
      </c>
      <c r="C140" s="125">
        <f>'B) D RI'!U142</f>
        <v>70599.599193548376</v>
      </c>
      <c r="D140" s="147">
        <f>'E) Fact soc'!G146/C140</f>
        <v>17.576766241752498</v>
      </c>
      <c r="E140" s="181">
        <f>'H) Péréquation directe'!I151/C140</f>
        <v>13.515307037384842</v>
      </c>
      <c r="F140" s="186">
        <f>'I) Dépenses thématiques'!P140</f>
        <v>-0.29601896863535648</v>
      </c>
      <c r="G140" s="143">
        <f t="shared" si="11"/>
        <v>30.796054310501983</v>
      </c>
      <c r="H140" s="128">
        <f t="shared" si="8"/>
        <v>0</v>
      </c>
      <c r="I140" s="152">
        <f t="shared" si="10"/>
        <v>0</v>
      </c>
      <c r="J140" s="43">
        <f t="shared" si="9"/>
        <v>30.796054310501983</v>
      </c>
    </row>
    <row r="141" spans="1:10" x14ac:dyDescent="0.25">
      <c r="A141" s="61">
        <f>'A) Base RI'!A143</f>
        <v>5633</v>
      </c>
      <c r="B141" s="114" t="str">
        <f>'A) Base RI'!B143</f>
        <v>Echandens</v>
      </c>
      <c r="C141" s="125">
        <f>'B) D RI'!U143</f>
        <v>123013.45645161292</v>
      </c>
      <c r="D141" s="147">
        <f>'E) Fact soc'!G147/C141</f>
        <v>18.26387244976107</v>
      </c>
      <c r="E141" s="181">
        <f>'H) Péréquation directe'!I152/C141</f>
        <v>13.189304201118077</v>
      </c>
      <c r="F141" s="186">
        <f>'I) Dépenses thématiques'!P141</f>
        <v>-3.2915630693437699</v>
      </c>
      <c r="G141" s="143">
        <f t="shared" si="11"/>
        <v>28.161613581535377</v>
      </c>
      <c r="H141" s="128">
        <f t="shared" si="8"/>
        <v>0</v>
      </c>
      <c r="I141" s="152">
        <f t="shared" si="10"/>
        <v>0</v>
      </c>
      <c r="J141" s="43">
        <f t="shared" si="9"/>
        <v>28.161613581535377</v>
      </c>
    </row>
    <row r="142" spans="1:10" x14ac:dyDescent="0.25">
      <c r="A142" s="61">
        <f>'A) Base RI'!A144</f>
        <v>5634</v>
      </c>
      <c r="B142" s="114" t="str">
        <f>'A) Base RI'!B144</f>
        <v>Echichens</v>
      </c>
      <c r="C142" s="125">
        <f>'B) D RI'!U144</f>
        <v>121660.2017647059</v>
      </c>
      <c r="D142" s="147">
        <f>'E) Fact soc'!G148/C142</f>
        <v>17.599135686460961</v>
      </c>
      <c r="E142" s="181">
        <f>'H) Péréquation directe'!I153/C142</f>
        <v>13.26025872141458</v>
      </c>
      <c r="F142" s="186">
        <f>'I) Dépenses thématiques'!P142</f>
        <v>0</v>
      </c>
      <c r="G142" s="143">
        <f t="shared" si="11"/>
        <v>30.859394407875541</v>
      </c>
      <c r="H142" s="128">
        <f t="shared" si="8"/>
        <v>0</v>
      </c>
      <c r="I142" s="152">
        <f t="shared" si="10"/>
        <v>0</v>
      </c>
      <c r="J142" s="43">
        <f t="shared" si="9"/>
        <v>30.859394407875541</v>
      </c>
    </row>
    <row r="143" spans="1:10" x14ac:dyDescent="0.25">
      <c r="A143" s="61">
        <f>'A) Base RI'!A145</f>
        <v>5635</v>
      </c>
      <c r="B143" s="114" t="str">
        <f>'A) Base RI'!B145</f>
        <v>Ecublens</v>
      </c>
      <c r="C143" s="125">
        <f>'B) D RI'!U145</f>
        <v>470087.75038200343</v>
      </c>
      <c r="D143" s="147">
        <f>'E) Fact soc'!G149/C143</f>
        <v>17.759942120775939</v>
      </c>
      <c r="E143" s="181">
        <f>'H) Péréquation directe'!I154/C143</f>
        <v>1.4349436202949286</v>
      </c>
      <c r="F143" s="186">
        <f>'I) Dépenses thématiques'!P143</f>
        <v>-5.1865261711580413</v>
      </c>
      <c r="G143" s="143">
        <f t="shared" si="11"/>
        <v>14.008359569912825</v>
      </c>
      <c r="H143" s="128">
        <f t="shared" si="8"/>
        <v>0</v>
      </c>
      <c r="I143" s="152">
        <f t="shared" si="10"/>
        <v>0</v>
      </c>
      <c r="J143" s="43">
        <f t="shared" si="9"/>
        <v>14.008359569912825</v>
      </c>
    </row>
    <row r="144" spans="1:10" x14ac:dyDescent="0.25">
      <c r="A144" s="61">
        <f>'A) Base RI'!A146</f>
        <v>5636</v>
      </c>
      <c r="B144" s="114" t="str">
        <f>'A) Base RI'!B146</f>
        <v>Etoy</v>
      </c>
      <c r="C144" s="125">
        <f>'B) D RI'!U146</f>
        <v>158779.04229508198</v>
      </c>
      <c r="D144" s="147">
        <f>'E) Fact soc'!G150/C144</f>
        <v>18.409825529009289</v>
      </c>
      <c r="E144" s="181">
        <f>'H) Péréquation directe'!I155/C144</f>
        <v>13.748534893242176</v>
      </c>
      <c r="F144" s="186">
        <f>'I) Dépenses thématiques'!P144</f>
        <v>0</v>
      </c>
      <c r="G144" s="143">
        <f t="shared" si="11"/>
        <v>32.158360422251462</v>
      </c>
      <c r="H144" s="128">
        <f t="shared" si="8"/>
        <v>0</v>
      </c>
      <c r="I144" s="152">
        <f t="shared" si="10"/>
        <v>0</v>
      </c>
      <c r="J144" s="43">
        <f t="shared" si="9"/>
        <v>32.158360422251462</v>
      </c>
    </row>
    <row r="145" spans="1:10" x14ac:dyDescent="0.25">
      <c r="A145" s="61">
        <f>'A) Base RI'!A147</f>
        <v>5637</v>
      </c>
      <c r="B145" s="114" t="str">
        <f>'A) Base RI'!B147</f>
        <v>Lavigny</v>
      </c>
      <c r="C145" s="125">
        <f>'B) D RI'!U147</f>
        <v>31075.388277404931</v>
      </c>
      <c r="D145" s="147">
        <f>'E) Fact soc'!G151/C145</f>
        <v>21.877427887406579</v>
      </c>
      <c r="E145" s="181">
        <f>'H) Péréquation directe'!I156/C145</f>
        <v>6.813117334825141</v>
      </c>
      <c r="F145" s="186">
        <f>'I) Dépenses thématiques'!P145</f>
        <v>-7.4602419688042323</v>
      </c>
      <c r="G145" s="143">
        <f t="shared" si="11"/>
        <v>21.230303253427486</v>
      </c>
      <c r="H145" s="128">
        <f t="shared" si="8"/>
        <v>0</v>
      </c>
      <c r="I145" s="152">
        <f t="shared" si="10"/>
        <v>0</v>
      </c>
      <c r="J145" s="43">
        <f t="shared" si="9"/>
        <v>21.230303253427486</v>
      </c>
    </row>
    <row r="146" spans="1:10" x14ac:dyDescent="0.25">
      <c r="A146" s="61">
        <f>'A) Base RI'!A148</f>
        <v>5638</v>
      </c>
      <c r="B146" s="114" t="str">
        <f>'A) Base RI'!B148</f>
        <v>Lonay</v>
      </c>
      <c r="C146" s="125">
        <f>'B) D RI'!U148</f>
        <v>152475.57054545457</v>
      </c>
      <c r="D146" s="147">
        <f>'E) Fact soc'!G152/C146</f>
        <v>23.135581718077116</v>
      </c>
      <c r="E146" s="181">
        <f>'H) Péréquation directe'!I157/C146</f>
        <v>14.043341498972056</v>
      </c>
      <c r="F146" s="186">
        <f>'I) Dépenses thématiques'!P146</f>
        <v>-1.2956331686204923</v>
      </c>
      <c r="G146" s="143">
        <f t="shared" si="11"/>
        <v>35.883290048428684</v>
      </c>
      <c r="H146" s="128">
        <f t="shared" si="8"/>
        <v>0</v>
      </c>
      <c r="I146" s="152">
        <f t="shared" si="10"/>
        <v>0</v>
      </c>
      <c r="J146" s="43">
        <f t="shared" si="9"/>
        <v>35.883290048428684</v>
      </c>
    </row>
    <row r="147" spans="1:10" x14ac:dyDescent="0.25">
      <c r="A147" s="61">
        <f>'A) Base RI'!A149</f>
        <v>5639</v>
      </c>
      <c r="B147" s="114" t="str">
        <f>'A) Base RI'!B149</f>
        <v>Lully</v>
      </c>
      <c r="C147" s="125">
        <f>'B) D RI'!U149</f>
        <v>42318.428360655736</v>
      </c>
      <c r="D147" s="147">
        <f>'E) Fact soc'!G153/C147</f>
        <v>19.152396596908694</v>
      </c>
      <c r="E147" s="181">
        <f>'H) Péréquation directe'!I158/C147</f>
        <v>16.719782879472174</v>
      </c>
      <c r="F147" s="186">
        <f>'I) Dépenses thématiques'!P147</f>
        <v>-2.3958598271457401</v>
      </c>
      <c r="G147" s="143">
        <f t="shared" si="11"/>
        <v>33.476319649235123</v>
      </c>
      <c r="H147" s="128">
        <f t="shared" si="8"/>
        <v>0</v>
      </c>
      <c r="I147" s="152">
        <f t="shared" si="10"/>
        <v>0</v>
      </c>
      <c r="J147" s="43">
        <f t="shared" si="9"/>
        <v>33.476319649235123</v>
      </c>
    </row>
    <row r="148" spans="1:10" x14ac:dyDescent="0.25">
      <c r="A148" s="61">
        <f>'A) Base RI'!A150</f>
        <v>5640</v>
      </c>
      <c r="B148" s="114" t="str">
        <f>'A) Base RI'!B150</f>
        <v>Lussy-sur-Morges</v>
      </c>
      <c r="C148" s="125">
        <f>'B) D RI'!U150</f>
        <v>45310.844393939391</v>
      </c>
      <c r="D148" s="147">
        <f>'E) Fact soc'!G154/C148</f>
        <v>23.239064477646249</v>
      </c>
      <c r="E148" s="181">
        <f>'H) Péréquation directe'!I159/C148</f>
        <v>16.174115235666456</v>
      </c>
      <c r="F148" s="186">
        <f>'I) Dépenses thématiques'!P148</f>
        <v>0</v>
      </c>
      <c r="G148" s="143">
        <f t="shared" si="11"/>
        <v>39.413179713312701</v>
      </c>
      <c r="H148" s="128">
        <f t="shared" si="8"/>
        <v>0</v>
      </c>
      <c r="I148" s="152">
        <f t="shared" si="10"/>
        <v>0</v>
      </c>
      <c r="J148" s="43">
        <f t="shared" si="9"/>
        <v>39.413179713312701</v>
      </c>
    </row>
    <row r="149" spans="1:10" x14ac:dyDescent="0.25">
      <c r="A149" s="61">
        <f>'A) Base RI'!A151</f>
        <v>5642</v>
      </c>
      <c r="B149" s="114" t="str">
        <f>'A) Base RI'!B151</f>
        <v>Morges</v>
      </c>
      <c r="C149" s="125">
        <f>'B) D RI'!U151</f>
        <v>715380.13065693423</v>
      </c>
      <c r="D149" s="147">
        <f>'E) Fact soc'!G155/C149</f>
        <v>18.957420199195557</v>
      </c>
      <c r="E149" s="181">
        <f>'H) Péréquation directe'!I160/C149</f>
        <v>4.19069524233986</v>
      </c>
      <c r="F149" s="186">
        <f>'I) Dépenses thématiques'!P149</f>
        <v>-1.7262595199545629</v>
      </c>
      <c r="G149" s="143">
        <f t="shared" si="11"/>
        <v>21.421855921580853</v>
      </c>
      <c r="H149" s="128">
        <f t="shared" si="8"/>
        <v>0</v>
      </c>
      <c r="I149" s="152">
        <f t="shared" si="10"/>
        <v>0</v>
      </c>
      <c r="J149" s="43">
        <f t="shared" si="9"/>
        <v>21.421855921580853</v>
      </c>
    </row>
    <row r="150" spans="1:10" x14ac:dyDescent="0.25">
      <c r="A150" s="61">
        <f>'A) Base RI'!A152</f>
        <v>5643</v>
      </c>
      <c r="B150" s="114" t="str">
        <f>'A) Base RI'!B152</f>
        <v>Préverenges</v>
      </c>
      <c r="C150" s="125">
        <f>'B) D RI'!U152</f>
        <v>249793.53640625</v>
      </c>
      <c r="D150" s="147">
        <f>'E) Fact soc'!G156/C150</f>
        <v>17.363475443834524</v>
      </c>
      <c r="E150" s="181">
        <f>'H) Péréquation directe'!I161/C150</f>
        <v>10.829085804134303</v>
      </c>
      <c r="F150" s="186">
        <f>'I) Dépenses thématiques'!P150</f>
        <v>0</v>
      </c>
      <c r="G150" s="143">
        <f t="shared" si="11"/>
        <v>28.192561247968825</v>
      </c>
      <c r="H150" s="128">
        <f t="shared" si="8"/>
        <v>0</v>
      </c>
      <c r="I150" s="152">
        <f t="shared" si="10"/>
        <v>0</v>
      </c>
      <c r="J150" s="43">
        <f t="shared" si="9"/>
        <v>28.192561247968825</v>
      </c>
    </row>
    <row r="151" spans="1:10" x14ac:dyDescent="0.25">
      <c r="A151" s="61">
        <f>'A) Base RI'!A153</f>
        <v>5644</v>
      </c>
      <c r="B151" s="114" t="str">
        <f>'A) Base RI'!B153</f>
        <v>Reverolle</v>
      </c>
      <c r="C151" s="125">
        <f>'B) D RI'!U153</f>
        <v>15594.857631578949</v>
      </c>
      <c r="D151" s="147">
        <f>'E) Fact soc'!G157/C151</f>
        <v>18.794175946493468</v>
      </c>
      <c r="E151" s="181">
        <f>'H) Péréquation directe'!I162/C151</f>
        <v>15.892847036184859</v>
      </c>
      <c r="F151" s="186">
        <f>'I) Dépenses thématiques'!P151</f>
        <v>-4.6684619437799677</v>
      </c>
      <c r="G151" s="143">
        <f t="shared" si="11"/>
        <v>30.018561038898362</v>
      </c>
      <c r="H151" s="128">
        <f t="shared" si="8"/>
        <v>0</v>
      </c>
      <c r="I151" s="152">
        <f t="shared" si="10"/>
        <v>0</v>
      </c>
      <c r="J151" s="43">
        <f t="shared" si="9"/>
        <v>30.018561038898362</v>
      </c>
    </row>
    <row r="152" spans="1:10" x14ac:dyDescent="0.25">
      <c r="A152" s="61">
        <f>'A) Base RI'!A154</f>
        <v>5645</v>
      </c>
      <c r="B152" s="114" t="str">
        <f>'A) Base RI'!B154</f>
        <v>Romanel-sur-Morges</v>
      </c>
      <c r="C152" s="125">
        <f>'B) D RI'!U154</f>
        <v>25378.60526785714</v>
      </c>
      <c r="D152" s="147">
        <f>'E) Fact soc'!G158/C152</f>
        <v>17.197117942216305</v>
      </c>
      <c r="E152" s="181">
        <f>'H) Péréquation directe'!I163/C152</f>
        <v>16.737333678926163</v>
      </c>
      <c r="F152" s="186">
        <f>'I) Dépenses thématiques'!P152</f>
        <v>0</v>
      </c>
      <c r="G152" s="143">
        <f t="shared" si="11"/>
        <v>33.934451621142472</v>
      </c>
      <c r="H152" s="128">
        <f t="shared" si="8"/>
        <v>0</v>
      </c>
      <c r="I152" s="152">
        <f t="shared" si="10"/>
        <v>0</v>
      </c>
      <c r="J152" s="43">
        <f t="shared" si="9"/>
        <v>33.934451621142472</v>
      </c>
    </row>
    <row r="153" spans="1:10" x14ac:dyDescent="0.25">
      <c r="A153" s="61">
        <f>'A) Base RI'!A155</f>
        <v>5646</v>
      </c>
      <c r="B153" s="114" t="str">
        <f>'A) Base RI'!B155</f>
        <v>Saint-Prex</v>
      </c>
      <c r="C153" s="125">
        <f>'B) D RI'!U155</f>
        <v>307317.64145454549</v>
      </c>
      <c r="D153" s="147">
        <f>'E) Fact soc'!G159/C153</f>
        <v>20.879074560712823</v>
      </c>
      <c r="E153" s="181">
        <f>'H) Péréquation directe'!I164/C153</f>
        <v>11.597531343662094</v>
      </c>
      <c r="F153" s="186">
        <f>'I) Dépenses thématiques'!P153</f>
        <v>0</v>
      </c>
      <c r="G153" s="143">
        <f t="shared" si="11"/>
        <v>32.476605904374921</v>
      </c>
      <c r="H153" s="128">
        <f t="shared" si="8"/>
        <v>0</v>
      </c>
      <c r="I153" s="152">
        <f t="shared" si="10"/>
        <v>0</v>
      </c>
      <c r="J153" s="43">
        <f t="shared" si="9"/>
        <v>32.476605904374921</v>
      </c>
    </row>
    <row r="154" spans="1:10" x14ac:dyDescent="0.25">
      <c r="A154" s="61">
        <f>'A) Base RI'!A156</f>
        <v>5648</v>
      </c>
      <c r="B154" s="114" t="str">
        <f>'A) Base RI'!B156</f>
        <v>Saint-Sulpice</v>
      </c>
      <c r="C154" s="125">
        <f>'B) D RI'!U156</f>
        <v>307335.61263636366</v>
      </c>
      <c r="D154" s="147">
        <f>'E) Fact soc'!G160/C154</f>
        <v>25.388844855236826</v>
      </c>
      <c r="E154" s="181">
        <f>'H) Péréquation directe'!I165/C154</f>
        <v>13.059527438026612</v>
      </c>
      <c r="F154" s="186">
        <f>'I) Dépenses thématiques'!P154</f>
        <v>-0.18907251975468664</v>
      </c>
      <c r="G154" s="143">
        <f t="shared" si="11"/>
        <v>38.259299773508751</v>
      </c>
      <c r="H154" s="128">
        <f t="shared" si="8"/>
        <v>0</v>
      </c>
      <c r="I154" s="152">
        <f t="shared" si="10"/>
        <v>0</v>
      </c>
      <c r="J154" s="43">
        <f t="shared" si="9"/>
        <v>38.259299773508751</v>
      </c>
    </row>
    <row r="155" spans="1:10" x14ac:dyDescent="0.25">
      <c r="A155" s="61">
        <f>'A) Base RI'!A157</f>
        <v>5649</v>
      </c>
      <c r="B155" s="114" t="str">
        <f>'A) Base RI'!B157</f>
        <v>Tolochenaz</v>
      </c>
      <c r="C155" s="125">
        <f>'B) D RI'!U157</f>
        <v>109360.12415384616</v>
      </c>
      <c r="D155" s="147">
        <f>'E) Fact soc'!G161/C155</f>
        <v>19.988361572638976</v>
      </c>
      <c r="E155" s="181">
        <f>'H) Péréquation directe'!I166/C155</f>
        <v>14.647168679975813</v>
      </c>
      <c r="F155" s="186">
        <f>'I) Dépenses thématiques'!P155</f>
        <v>-0.63604778996434441</v>
      </c>
      <c r="G155" s="143">
        <f t="shared" si="11"/>
        <v>33.999482462650441</v>
      </c>
      <c r="H155" s="128">
        <f t="shared" si="8"/>
        <v>0</v>
      </c>
      <c r="I155" s="152">
        <f t="shared" si="10"/>
        <v>0</v>
      </c>
      <c r="J155" s="43">
        <f t="shared" si="9"/>
        <v>33.999482462650441</v>
      </c>
    </row>
    <row r="156" spans="1:10" x14ac:dyDescent="0.25">
      <c r="A156" s="61">
        <f>'A) Base RI'!A158</f>
        <v>5650</v>
      </c>
      <c r="B156" s="114" t="str">
        <f>'A) Base RI'!B158</f>
        <v>Vaux-sur-Morges</v>
      </c>
      <c r="C156" s="125">
        <f>'B) D RI'!U158</f>
        <v>185061.46846153846</v>
      </c>
      <c r="D156" s="147">
        <f>'E) Fact soc'!G162/C156</f>
        <v>33.237639975714089</v>
      </c>
      <c r="E156" s="181">
        <f>'H) Péréquation directe'!I167/C156</f>
        <v>11.156698864471281</v>
      </c>
      <c r="F156" s="186">
        <f>'I) Dépenses thématiques'!P156</f>
        <v>0</v>
      </c>
      <c r="G156" s="143">
        <f t="shared" si="11"/>
        <v>44.39433884018537</v>
      </c>
      <c r="H156" s="128">
        <f t="shared" si="8"/>
        <v>0</v>
      </c>
      <c r="I156" s="152">
        <f t="shared" si="10"/>
        <v>0</v>
      </c>
      <c r="J156" s="43">
        <f t="shared" si="9"/>
        <v>44.39433884018537</v>
      </c>
    </row>
    <row r="157" spans="1:10" x14ac:dyDescent="0.25">
      <c r="A157" s="61">
        <f>'A) Base RI'!A159</f>
        <v>5651</v>
      </c>
      <c r="B157" s="114" t="str">
        <f>'A) Base RI'!B159</f>
        <v>Villars-Sainte-Croix</v>
      </c>
      <c r="C157" s="125">
        <f>'B) D RI'!U159</f>
        <v>37823.297796610175</v>
      </c>
      <c r="D157" s="147">
        <f>'E) Fact soc'!G163/C157</f>
        <v>22.486780486853494</v>
      </c>
      <c r="E157" s="181">
        <f>'H) Péréquation directe'!I168/C157</f>
        <v>16.732260927934426</v>
      </c>
      <c r="F157" s="186">
        <f>'I) Dépenses thématiques'!P157</f>
        <v>0</v>
      </c>
      <c r="G157" s="143">
        <f t="shared" si="11"/>
        <v>39.219041414787924</v>
      </c>
      <c r="H157" s="128">
        <f t="shared" si="8"/>
        <v>0</v>
      </c>
      <c r="I157" s="152">
        <f t="shared" si="10"/>
        <v>0</v>
      </c>
      <c r="J157" s="43">
        <f t="shared" si="9"/>
        <v>39.219041414787924</v>
      </c>
    </row>
    <row r="158" spans="1:10" x14ac:dyDescent="0.25">
      <c r="A158" s="61">
        <f>'A) Base RI'!A160</f>
        <v>5652</v>
      </c>
      <c r="B158" s="114" t="str">
        <f>'A) Base RI'!B160</f>
        <v>Villars-sous-Yens</v>
      </c>
      <c r="C158" s="125">
        <f>'B) D RI'!U160</f>
        <v>23640.281403508772</v>
      </c>
      <c r="D158" s="147">
        <f>'E) Fact soc'!G164/C158</f>
        <v>16.721907387631774</v>
      </c>
      <c r="E158" s="181">
        <f>'H) Péréquation directe'!I169/C158</f>
        <v>15.033442014635527</v>
      </c>
      <c r="F158" s="186">
        <f>'I) Dépenses thématiques'!P158</f>
        <v>-5.4481118797548458</v>
      </c>
      <c r="G158" s="143">
        <f t="shared" si="11"/>
        <v>26.307237522512452</v>
      </c>
      <c r="H158" s="128">
        <f t="shared" si="8"/>
        <v>0</v>
      </c>
      <c r="I158" s="152">
        <f t="shared" si="10"/>
        <v>0</v>
      </c>
      <c r="J158" s="43">
        <f t="shared" si="9"/>
        <v>26.307237522512452</v>
      </c>
    </row>
    <row r="159" spans="1:10" x14ac:dyDescent="0.25">
      <c r="A159" s="61">
        <f>'A) Base RI'!A161</f>
        <v>5653</v>
      </c>
      <c r="B159" s="114" t="str">
        <f>'A) Base RI'!B161</f>
        <v>Vufflens-le-Château</v>
      </c>
      <c r="C159" s="125">
        <f>'B) D RI'!U161</f>
        <v>59809.956818181818</v>
      </c>
      <c r="D159" s="147">
        <f>'E) Fact soc'!G165/C159</f>
        <v>21.274052384066657</v>
      </c>
      <c r="E159" s="181">
        <f>'H) Péréquation directe'!I170/C159</f>
        <v>16.057181236158574</v>
      </c>
      <c r="F159" s="186">
        <f>'I) Dépenses thématiques'!P159</f>
        <v>0</v>
      </c>
      <c r="G159" s="143">
        <f t="shared" si="11"/>
        <v>37.331233620225234</v>
      </c>
      <c r="H159" s="128">
        <f t="shared" si="8"/>
        <v>0</v>
      </c>
      <c r="I159" s="152">
        <f t="shared" si="10"/>
        <v>0</v>
      </c>
      <c r="J159" s="43">
        <f t="shared" si="9"/>
        <v>37.331233620225234</v>
      </c>
    </row>
    <row r="160" spans="1:10" x14ac:dyDescent="0.25">
      <c r="A160" s="61">
        <f>'A) Base RI'!A162</f>
        <v>5654</v>
      </c>
      <c r="B160" s="114" t="str">
        <f>'A) Base RI'!B162</f>
        <v>Vullierens</v>
      </c>
      <c r="C160" s="125">
        <f>'B) D RI'!U162</f>
        <v>16948.890394736845</v>
      </c>
      <c r="D160" s="147">
        <f>'E) Fact soc'!G166/C160</f>
        <v>19.509038317084755</v>
      </c>
      <c r="E160" s="181">
        <f>'H) Péréquation directe'!I171/C160</f>
        <v>11.383897403791869</v>
      </c>
      <c r="F160" s="186">
        <f>'I) Dépenses thématiques'!P160</f>
        <v>-6.9971821387424011</v>
      </c>
      <c r="G160" s="143">
        <f t="shared" si="11"/>
        <v>23.895753582134219</v>
      </c>
      <c r="H160" s="128">
        <f t="shared" si="8"/>
        <v>0</v>
      </c>
      <c r="I160" s="152">
        <f t="shared" si="10"/>
        <v>0</v>
      </c>
      <c r="J160" s="43">
        <f t="shared" si="9"/>
        <v>23.895753582134219</v>
      </c>
    </row>
    <row r="161" spans="1:10" x14ac:dyDescent="0.25">
      <c r="A161" s="61">
        <f>'A) Base RI'!A163</f>
        <v>5655</v>
      </c>
      <c r="B161" s="114" t="str">
        <f>'A) Base RI'!B163</f>
        <v>Yens</v>
      </c>
      <c r="C161" s="125">
        <f>'B) D RI'!U163</f>
        <v>68107.282191780832</v>
      </c>
      <c r="D161" s="147">
        <f>'E) Fact soc'!G167/C161</f>
        <v>21.636591078474815</v>
      </c>
      <c r="E161" s="181">
        <f>'H) Péréquation directe'!I172/C161</f>
        <v>15.074071470243037</v>
      </c>
      <c r="F161" s="186">
        <f>'I) Dépenses thématiques'!P161</f>
        <v>0</v>
      </c>
      <c r="G161" s="143">
        <f t="shared" si="11"/>
        <v>36.710662548717849</v>
      </c>
      <c r="H161" s="128">
        <f t="shared" si="8"/>
        <v>0</v>
      </c>
      <c r="I161" s="152">
        <f t="shared" si="10"/>
        <v>0</v>
      </c>
      <c r="J161" s="43">
        <f t="shared" si="9"/>
        <v>36.710662548717849</v>
      </c>
    </row>
    <row r="162" spans="1:10" x14ac:dyDescent="0.25">
      <c r="A162" s="61">
        <f>'A) Base RI'!A164</f>
        <v>5661</v>
      </c>
      <c r="B162" s="114" t="str">
        <f>'A) Base RI'!B164</f>
        <v>Boulens</v>
      </c>
      <c r="C162" s="125">
        <f>'B) D RI'!U164</f>
        <v>7277.4751898734185</v>
      </c>
      <c r="D162" s="147">
        <f>'E) Fact soc'!G168/C162</f>
        <v>18.122531358177856</v>
      </c>
      <c r="E162" s="181">
        <f>'H) Péréquation directe'!I173/C162</f>
        <v>-9.8827481176060843</v>
      </c>
      <c r="F162" s="186">
        <f>'I) Dépenses thématiques'!P162</f>
        <v>-6.2741224246876115</v>
      </c>
      <c r="G162" s="143">
        <f t="shared" si="11"/>
        <v>1.96566081588416</v>
      </c>
      <c r="H162" s="128">
        <f t="shared" si="8"/>
        <v>0</v>
      </c>
      <c r="I162" s="152">
        <f t="shared" si="10"/>
        <v>0</v>
      </c>
      <c r="J162" s="43">
        <f t="shared" si="9"/>
        <v>1.96566081588416</v>
      </c>
    </row>
    <row r="163" spans="1:10" x14ac:dyDescent="0.25">
      <c r="A163" s="61">
        <f>'A) Base RI'!A165</f>
        <v>5663</v>
      </c>
      <c r="B163" s="114" t="str">
        <f>'A) Base RI'!B165</f>
        <v>Bussy-sur-Moudon</v>
      </c>
      <c r="C163" s="125">
        <f>'B) D RI'!U165</f>
        <v>4999.1039999999994</v>
      </c>
      <c r="D163" s="147">
        <f>'E) Fact soc'!G169/C163</f>
        <v>21.678297555671243</v>
      </c>
      <c r="E163" s="181">
        <f>'H) Péréquation directe'!I174/C163</f>
        <v>-4.3273201287497871</v>
      </c>
      <c r="F163" s="186">
        <f>'I) Dépenses thématiques'!P163</f>
        <v>-6.8662125430899303</v>
      </c>
      <c r="G163" s="143">
        <f t="shared" si="11"/>
        <v>10.484764883831527</v>
      </c>
      <c r="H163" s="128">
        <f t="shared" si="8"/>
        <v>0</v>
      </c>
      <c r="I163" s="152">
        <f t="shared" si="10"/>
        <v>0</v>
      </c>
      <c r="J163" s="43">
        <f t="shared" si="9"/>
        <v>10.484764883831527</v>
      </c>
    </row>
    <row r="164" spans="1:10" x14ac:dyDescent="0.25">
      <c r="A164" s="61">
        <f>'A) Base RI'!A166</f>
        <v>5665</v>
      </c>
      <c r="B164" s="114" t="str">
        <f>'A) Base RI'!B166</f>
        <v>Chavannes-sur-Moudon</v>
      </c>
      <c r="C164" s="125">
        <f>'B) D RI'!U166</f>
        <v>4834.5158333333329</v>
      </c>
      <c r="D164" s="147">
        <f>'E) Fact soc'!G170/C164</f>
        <v>15.524464788839424</v>
      </c>
      <c r="E164" s="181">
        <f>'H) Péréquation directe'!I175/C164</f>
        <v>-7.4979843720691761</v>
      </c>
      <c r="F164" s="186">
        <f>'I) Dépenses thématiques'!P164</f>
        <v>-3.9290932228758408</v>
      </c>
      <c r="G164" s="143">
        <f t="shared" si="11"/>
        <v>4.0973871938944075</v>
      </c>
      <c r="H164" s="128">
        <f t="shared" si="8"/>
        <v>0</v>
      </c>
      <c r="I164" s="152">
        <f t="shared" si="10"/>
        <v>0</v>
      </c>
      <c r="J164" s="43">
        <f t="shared" si="9"/>
        <v>4.0973871938944075</v>
      </c>
    </row>
    <row r="165" spans="1:10" x14ac:dyDescent="0.25">
      <c r="A165" s="61">
        <f>'A) Base RI'!A167</f>
        <v>5669</v>
      </c>
      <c r="B165" s="114" t="str">
        <f>'A) Base RI'!B167</f>
        <v>Curtilles</v>
      </c>
      <c r="C165" s="125">
        <f>'B) D RI'!U167</f>
        <v>8707.7998611111107</v>
      </c>
      <c r="D165" s="147">
        <f>'E) Fact soc'!G171/C165</f>
        <v>20.468024090454694</v>
      </c>
      <c r="E165" s="181">
        <f>'H) Péréquation directe'!I176/C165</f>
        <v>3.2043822521815604</v>
      </c>
      <c r="F165" s="186">
        <f>'I) Dépenses thématiques'!P165</f>
        <v>-1.1128395437916396</v>
      </c>
      <c r="G165" s="143">
        <f t="shared" si="11"/>
        <v>22.559566798844614</v>
      </c>
      <c r="H165" s="128">
        <f t="shared" si="8"/>
        <v>0</v>
      </c>
      <c r="I165" s="152">
        <f t="shared" si="10"/>
        <v>0</v>
      </c>
      <c r="J165" s="43">
        <f t="shared" si="9"/>
        <v>22.559566798844614</v>
      </c>
    </row>
    <row r="166" spans="1:10" x14ac:dyDescent="0.25">
      <c r="A166" s="61">
        <f>'A) Base RI'!A168</f>
        <v>5671</v>
      </c>
      <c r="B166" s="114" t="str">
        <f>'A) Base RI'!B168</f>
        <v>Dompierre</v>
      </c>
      <c r="C166" s="125">
        <f>'B) D RI'!U168</f>
        <v>6226.6947500000006</v>
      </c>
      <c r="D166" s="147">
        <f>'E) Fact soc'!G172/C166</f>
        <v>20.479605716536255</v>
      </c>
      <c r="E166" s="181">
        <f>'H) Péréquation directe'!I177/C166</f>
        <v>-4.4015853339924451</v>
      </c>
      <c r="F166" s="186">
        <f>'I) Dépenses thématiques'!P166</f>
        <v>-10.763215354771511</v>
      </c>
      <c r="G166" s="143">
        <f t="shared" si="11"/>
        <v>5.3148050277723016</v>
      </c>
      <c r="H166" s="128">
        <f t="shared" ref="H166:H217" si="12">IF(G166&gt;H$4,H$4-G166,0)</f>
        <v>0</v>
      </c>
      <c r="I166" s="152">
        <f t="shared" si="10"/>
        <v>0</v>
      </c>
      <c r="J166" s="43">
        <f t="shared" ref="J166:J217" si="13">G166+H166</f>
        <v>5.3148050277723016</v>
      </c>
    </row>
    <row r="167" spans="1:10" x14ac:dyDescent="0.25">
      <c r="A167" s="61">
        <f>'A) Base RI'!A169</f>
        <v>5673</v>
      </c>
      <c r="B167" s="114" t="str">
        <f>'A) Base RI'!B169</f>
        <v>Hermenches</v>
      </c>
      <c r="C167" s="125">
        <f>'B) D RI'!U169</f>
        <v>8854.2944888888887</v>
      </c>
      <c r="D167" s="147">
        <f>'E) Fact soc'!G173/C167</f>
        <v>18.988453369577137</v>
      </c>
      <c r="E167" s="181">
        <f>'H) Péréquation directe'!I178/C167</f>
        <v>-5.8643870239882405</v>
      </c>
      <c r="F167" s="186">
        <f>'I) Dépenses thématiques'!P167</f>
        <v>-6.8441776828244443</v>
      </c>
      <c r="G167" s="143">
        <f t="shared" ref="G167:G220" si="14">SUM(D167:F167)</f>
        <v>6.2798886627644528</v>
      </c>
      <c r="H167" s="128">
        <f t="shared" si="12"/>
        <v>0</v>
      </c>
      <c r="I167" s="152">
        <f t="shared" ref="I167:I219" si="15">H167*C167</f>
        <v>0</v>
      </c>
      <c r="J167" s="43">
        <f t="shared" si="13"/>
        <v>6.2798886627644528</v>
      </c>
    </row>
    <row r="168" spans="1:10" x14ac:dyDescent="0.25">
      <c r="A168" s="61">
        <f>'A) Base RI'!A170</f>
        <v>5674</v>
      </c>
      <c r="B168" s="114" t="str">
        <f>'A) Base RI'!B170</f>
        <v>Lovatens</v>
      </c>
      <c r="C168" s="125">
        <f>'B) D RI'!U170</f>
        <v>3347.4317333333333</v>
      </c>
      <c r="D168" s="147">
        <f>'E) Fact soc'!G174/C168</f>
        <v>15.852626820961323</v>
      </c>
      <c r="E168" s="181">
        <f>'H) Péréquation directe'!I179/C168</f>
        <v>-7.9982780528169659</v>
      </c>
      <c r="F168" s="186">
        <f>'I) Dépenses thématiques'!P168</f>
        <v>-3.6697082699416681</v>
      </c>
      <c r="G168" s="143">
        <f t="shared" si="14"/>
        <v>4.1846404982026888</v>
      </c>
      <c r="H168" s="128">
        <f t="shared" si="12"/>
        <v>0</v>
      </c>
      <c r="I168" s="152">
        <f t="shared" si="15"/>
        <v>0</v>
      </c>
      <c r="J168" s="43">
        <f t="shared" si="13"/>
        <v>4.1846404982026888</v>
      </c>
    </row>
    <row r="169" spans="1:10" x14ac:dyDescent="0.25">
      <c r="A169" s="61">
        <f>'A) Base RI'!A171</f>
        <v>5675</v>
      </c>
      <c r="B169" s="114" t="str">
        <f>'A) Base RI'!B171</f>
        <v>Lucens</v>
      </c>
      <c r="C169" s="125">
        <f>'B) D RI'!U171</f>
        <v>91702.321238938035</v>
      </c>
      <c r="D169" s="147">
        <f>'E) Fact soc'!G175/C169</f>
        <v>20.533778934803998</v>
      </c>
      <c r="E169" s="181">
        <f>'H) Péréquation directe'!I180/C169</f>
        <v>-10.761864691609272</v>
      </c>
      <c r="F169" s="186">
        <f>'I) Dépenses thématiques'!P169</f>
        <v>-3.3112150261143602</v>
      </c>
      <c r="G169" s="143">
        <f t="shared" ref="G169" si="16">SUM(D169:F169)</f>
        <v>6.4606992170803652</v>
      </c>
      <c r="H169" s="128">
        <f t="shared" ref="H169" si="17">IF(G169&gt;H$4,H$4-G169,0)</f>
        <v>0</v>
      </c>
      <c r="I169" s="152">
        <f t="shared" ref="I169" si="18">H169*C169</f>
        <v>0</v>
      </c>
      <c r="J169" s="43">
        <f t="shared" ref="J169" si="19">G169+H169</f>
        <v>6.4606992170803652</v>
      </c>
    </row>
    <row r="170" spans="1:10" x14ac:dyDescent="0.25">
      <c r="A170" s="61">
        <f>'A) Base RI'!A172</f>
        <v>5678</v>
      </c>
      <c r="B170" s="114" t="str">
        <f>'A) Base RI'!B172</f>
        <v>Moudon</v>
      </c>
      <c r="C170" s="125">
        <f>'B) D RI'!U172</f>
        <v>122060.45639999998</v>
      </c>
      <c r="D170" s="147">
        <f>'E) Fact soc'!G176/C170</f>
        <v>18.746923286872697</v>
      </c>
      <c r="E170" s="181">
        <f>'H) Péréquation directe'!I181/C170</f>
        <v>-24.010785362414271</v>
      </c>
      <c r="F170" s="186">
        <f>'I) Dépenses thématiques'!P170</f>
        <v>-9.6974832855015354</v>
      </c>
      <c r="G170" s="143">
        <f t="shared" si="14"/>
        <v>-14.96134536104311</v>
      </c>
      <c r="H170" s="128">
        <f t="shared" si="12"/>
        <v>0</v>
      </c>
      <c r="I170" s="152">
        <f t="shared" si="15"/>
        <v>0</v>
      </c>
      <c r="J170" s="43">
        <f t="shared" si="13"/>
        <v>-14.96134536104311</v>
      </c>
    </row>
    <row r="171" spans="1:10" x14ac:dyDescent="0.25">
      <c r="A171" s="61">
        <f>'A) Base RI'!A173</f>
        <v>5680</v>
      </c>
      <c r="B171" s="114" t="str">
        <f>'A) Base RI'!B173</f>
        <v>Ogens</v>
      </c>
      <c r="C171" s="125">
        <f>'B) D RI'!U173</f>
        <v>8163.3689316239324</v>
      </c>
      <c r="D171" s="147">
        <f>'E) Fact soc'!G177/C171</f>
        <v>16.339177446775977</v>
      </c>
      <c r="E171" s="181">
        <f>'H) Péréquation directe'!I182/C171</f>
        <v>2.3691621859188619</v>
      </c>
      <c r="F171" s="186">
        <f>'I) Dépenses thématiques'!P171</f>
        <v>0</v>
      </c>
      <c r="G171" s="143">
        <f t="shared" si="14"/>
        <v>18.708339632694837</v>
      </c>
      <c r="H171" s="128">
        <f t="shared" si="12"/>
        <v>0</v>
      </c>
      <c r="I171" s="152">
        <f t="shared" si="15"/>
        <v>0</v>
      </c>
      <c r="J171" s="43">
        <f t="shared" si="13"/>
        <v>18.708339632694837</v>
      </c>
    </row>
    <row r="172" spans="1:10" x14ac:dyDescent="0.25">
      <c r="A172" s="61">
        <f>'A) Base RI'!A174</f>
        <v>5683</v>
      </c>
      <c r="B172" s="114" t="str">
        <f>'A) Base RI'!B174</f>
        <v>Prévonloup</v>
      </c>
      <c r="C172" s="125">
        <f>'B) D RI'!U174</f>
        <v>3618.5018918918922</v>
      </c>
      <c r="D172" s="147">
        <f>'E) Fact soc'!G178/C172</f>
        <v>17.640962231375184</v>
      </c>
      <c r="E172" s="181">
        <f>'H) Péréquation directe'!I183/C172</f>
        <v>-9.9798887875665034</v>
      </c>
      <c r="F172" s="186">
        <f>'I) Dépenses thématiques'!P172</f>
        <v>-4.7915836024559608</v>
      </c>
      <c r="G172" s="143">
        <f t="shared" si="14"/>
        <v>2.8694898413527197</v>
      </c>
      <c r="H172" s="128">
        <f t="shared" si="12"/>
        <v>0</v>
      </c>
      <c r="I172" s="152">
        <f t="shared" si="15"/>
        <v>0</v>
      </c>
      <c r="J172" s="43">
        <f t="shared" si="13"/>
        <v>2.8694898413527197</v>
      </c>
    </row>
    <row r="173" spans="1:10" x14ac:dyDescent="0.25">
      <c r="A173" s="61">
        <f>'A) Base RI'!A175</f>
        <v>5684</v>
      </c>
      <c r="B173" s="114" t="str">
        <f>'A) Base RI'!B175</f>
        <v>Rossenges</v>
      </c>
      <c r="C173" s="125">
        <f>'B) D RI'!U175</f>
        <v>2611.7396666666664</v>
      </c>
      <c r="D173" s="147">
        <f>'E) Fact soc'!G179/C173</f>
        <v>15.524464788839422</v>
      </c>
      <c r="E173" s="181">
        <f>'H) Péréquation directe'!I184/C173</f>
        <v>14.730651995225115</v>
      </c>
      <c r="F173" s="186">
        <f>'I) Dépenses thématiques'!P173</f>
        <v>0</v>
      </c>
      <c r="G173" s="143">
        <f t="shared" si="14"/>
        <v>30.255116784064537</v>
      </c>
      <c r="H173" s="128">
        <f t="shared" si="12"/>
        <v>0</v>
      </c>
      <c r="I173" s="152">
        <f t="shared" si="15"/>
        <v>0</v>
      </c>
      <c r="J173" s="43">
        <f t="shared" si="13"/>
        <v>30.255116784064537</v>
      </c>
    </row>
    <row r="174" spans="1:10" x14ac:dyDescent="0.25">
      <c r="A174" s="61">
        <f>'A) Base RI'!A176</f>
        <v>5688</v>
      </c>
      <c r="B174" s="114" t="str">
        <f>'A) Base RI'!B176</f>
        <v>Syens</v>
      </c>
      <c r="C174" s="125">
        <f>'B) D RI'!U176</f>
        <v>5385.636772486775</v>
      </c>
      <c r="D174" s="147">
        <f>'E) Fact soc'!G180/C174</f>
        <v>18.149340100189566</v>
      </c>
      <c r="E174" s="181">
        <f>'H) Péréquation directe'!I185/C174</f>
        <v>12.896883231183345</v>
      </c>
      <c r="F174" s="186">
        <f>'I) Dépenses thématiques'!P174</f>
        <v>-1.3988524297769811</v>
      </c>
      <c r="G174" s="143">
        <f t="shared" si="14"/>
        <v>29.647370901595931</v>
      </c>
      <c r="H174" s="128">
        <f t="shared" si="12"/>
        <v>0</v>
      </c>
      <c r="I174" s="152">
        <f t="shared" si="15"/>
        <v>0</v>
      </c>
      <c r="J174" s="43">
        <f t="shared" si="13"/>
        <v>29.647370901595931</v>
      </c>
    </row>
    <row r="175" spans="1:10" x14ac:dyDescent="0.25">
      <c r="A175" s="61">
        <f>'A) Base RI'!A177</f>
        <v>5690</v>
      </c>
      <c r="B175" s="114" t="str">
        <f>'A) Base RI'!B177</f>
        <v>Villars-le-Comte</v>
      </c>
      <c r="C175" s="125">
        <f>'B) D RI'!U177</f>
        <v>3375.6488157894737</v>
      </c>
      <c r="D175" s="147">
        <f>'E) Fact soc'!G181/C175</f>
        <v>17.512712194377173</v>
      </c>
      <c r="E175" s="181">
        <f>'H) Péréquation directe'!I186/C175</f>
        <v>-7.8435750833878739</v>
      </c>
      <c r="F175" s="186">
        <f>'I) Dépenses thématiques'!P175</f>
        <v>-0.66502040512485106</v>
      </c>
      <c r="G175" s="143">
        <f t="shared" si="14"/>
        <v>9.0041167058644476</v>
      </c>
      <c r="H175" s="128">
        <f t="shared" si="12"/>
        <v>0</v>
      </c>
      <c r="I175" s="152">
        <f t="shared" si="15"/>
        <v>0</v>
      </c>
      <c r="J175" s="43">
        <f t="shared" si="13"/>
        <v>9.0041167058644476</v>
      </c>
    </row>
    <row r="176" spans="1:10" x14ac:dyDescent="0.25">
      <c r="A176" s="61">
        <f>'A) Base RI'!A178</f>
        <v>5692</v>
      </c>
      <c r="B176" s="114" t="str">
        <f>'A) Base RI'!B178</f>
        <v>Vucherens</v>
      </c>
      <c r="C176" s="125">
        <f>'B) D RI'!U178</f>
        <v>15125.888354430383</v>
      </c>
      <c r="D176" s="147">
        <f>'E) Fact soc'!G182/C176</f>
        <v>18.207043428137336</v>
      </c>
      <c r="E176" s="181">
        <f>'H) Péréquation directe'!I187/C176</f>
        <v>0.56953486114823271</v>
      </c>
      <c r="F176" s="186">
        <f>'I) Dépenses thématiques'!P176</f>
        <v>-4.305126808495304</v>
      </c>
      <c r="G176" s="143">
        <f t="shared" si="14"/>
        <v>14.471451480790263</v>
      </c>
      <c r="H176" s="128">
        <f t="shared" si="12"/>
        <v>0</v>
      </c>
      <c r="I176" s="152">
        <f t="shared" si="15"/>
        <v>0</v>
      </c>
      <c r="J176" s="43">
        <f t="shared" si="13"/>
        <v>14.471451480790263</v>
      </c>
    </row>
    <row r="177" spans="1:10" x14ac:dyDescent="0.25">
      <c r="A177" s="61">
        <f>'A) Base RI'!A179</f>
        <v>5693</v>
      </c>
      <c r="B177" s="114" t="str">
        <f>'A) Base RI'!B179</f>
        <v>Montanaire</v>
      </c>
      <c r="C177" s="125">
        <f>'B) D RI'!U179</f>
        <v>62987.795555555575</v>
      </c>
      <c r="D177" s="147">
        <f>'E) Fact soc'!G183/C177</f>
        <v>18.574450636185933</v>
      </c>
      <c r="E177" s="181">
        <f>'H) Péréquation directe'!I188/C177</f>
        <v>-5.1212895212427956</v>
      </c>
      <c r="F177" s="186">
        <f>'I) Dépenses thématiques'!P177</f>
        <v>-7.0072572375247306</v>
      </c>
      <c r="G177" s="143">
        <f>SUM(D177:F177)</f>
        <v>6.4459038774184068</v>
      </c>
      <c r="H177" s="128">
        <f t="shared" si="12"/>
        <v>0</v>
      </c>
      <c r="I177" s="152">
        <f>H177*C177</f>
        <v>0</v>
      </c>
      <c r="J177" s="43">
        <f>G177+H177</f>
        <v>6.4459038774184068</v>
      </c>
    </row>
    <row r="178" spans="1:10" x14ac:dyDescent="0.25">
      <c r="A178" s="61">
        <f>'A) Base RI'!A180</f>
        <v>5701</v>
      </c>
      <c r="B178" s="114" t="str">
        <f>'A) Base RI'!B180</f>
        <v>Arnex-sur-Nyon</v>
      </c>
      <c r="C178" s="125">
        <f>'B) D RI'!U180</f>
        <v>14386.456307692306</v>
      </c>
      <c r="D178" s="147">
        <f>'E) Fact soc'!G184/C178</f>
        <v>21.442412928922675</v>
      </c>
      <c r="E178" s="181">
        <f>'H) Péréquation directe'!I189/C178</f>
        <v>16.218433462623292</v>
      </c>
      <c r="F178" s="186">
        <f>'I) Dépenses thématiques'!P178</f>
        <v>0</v>
      </c>
      <c r="G178" s="143">
        <f>SUM(D178:F178)</f>
        <v>37.660846391545967</v>
      </c>
      <c r="H178" s="128">
        <f t="shared" si="12"/>
        <v>0</v>
      </c>
      <c r="I178" s="152">
        <f>H178*C178</f>
        <v>0</v>
      </c>
      <c r="J178" s="43">
        <f>G178+H178</f>
        <v>37.660846391545967</v>
      </c>
    </row>
    <row r="179" spans="1:10" x14ac:dyDescent="0.25">
      <c r="A179" s="61">
        <f>'A) Base RI'!A181</f>
        <v>5702</v>
      </c>
      <c r="B179" s="114" t="str">
        <f>'A) Base RI'!B181</f>
        <v>Arzier-Le Muids</v>
      </c>
      <c r="C179" s="125">
        <f>'B) D RI'!U181</f>
        <v>137336.67807291666</v>
      </c>
      <c r="D179" s="147">
        <f>'E) Fact soc'!G185/C179</f>
        <v>18.824011473397299</v>
      </c>
      <c r="E179" s="181">
        <f>'H) Péréquation directe'!I190/C179</f>
        <v>14.045725055789498</v>
      </c>
      <c r="F179" s="186">
        <f>'I) Dépenses thématiques'!P179</f>
        <v>-1.9714050105042387</v>
      </c>
      <c r="G179" s="143">
        <f t="shared" si="14"/>
        <v>30.898331518682557</v>
      </c>
      <c r="H179" s="128">
        <f t="shared" si="12"/>
        <v>0</v>
      </c>
      <c r="I179" s="152">
        <f t="shared" si="15"/>
        <v>0</v>
      </c>
      <c r="J179" s="43">
        <f t="shared" si="13"/>
        <v>30.898331518682557</v>
      </c>
    </row>
    <row r="180" spans="1:10" x14ac:dyDescent="0.25">
      <c r="A180" s="61">
        <f>'A) Base RI'!A182</f>
        <v>5703</v>
      </c>
      <c r="B180" s="114" t="str">
        <f>'A) Base RI'!B182</f>
        <v>Bassins</v>
      </c>
      <c r="C180" s="125">
        <f>'B) D RI'!U182</f>
        <v>51617.647746478862</v>
      </c>
      <c r="D180" s="147">
        <f>'E) Fact soc'!G186/C180</f>
        <v>17.77440148821028</v>
      </c>
      <c r="E180" s="181">
        <f>'H) Péréquation directe'!I191/C180</f>
        <v>11.96532068474335</v>
      </c>
      <c r="F180" s="186">
        <f>'I) Dépenses thématiques'!P180</f>
        <v>-6.6271295785506856</v>
      </c>
      <c r="G180" s="143">
        <f t="shared" si="14"/>
        <v>23.112592594402944</v>
      </c>
      <c r="H180" s="128">
        <f t="shared" si="12"/>
        <v>0</v>
      </c>
      <c r="I180" s="152">
        <f t="shared" si="15"/>
        <v>0</v>
      </c>
      <c r="J180" s="43">
        <f t="shared" si="13"/>
        <v>23.112592594402944</v>
      </c>
    </row>
    <row r="181" spans="1:10" x14ac:dyDescent="0.25">
      <c r="A181" s="61">
        <f>'A) Base RI'!A183</f>
        <v>5704</v>
      </c>
      <c r="B181" s="114" t="str">
        <f>'A) Base RI'!B183</f>
        <v>Begnins</v>
      </c>
      <c r="C181" s="125">
        <f>'B) D RI'!U183</f>
        <v>109192.54039800997</v>
      </c>
      <c r="D181" s="147">
        <f>'E) Fact soc'!G187/C181</f>
        <v>23.047001092737499</v>
      </c>
      <c r="E181" s="181">
        <f>'H) Péréquation directe'!I192/C181</f>
        <v>14.700854480966855</v>
      </c>
      <c r="F181" s="186">
        <f>'I) Dépenses thématiques'!P181</f>
        <v>0</v>
      </c>
      <c r="G181" s="143">
        <f t="shared" si="14"/>
        <v>37.747855573704356</v>
      </c>
      <c r="H181" s="128">
        <f t="shared" si="12"/>
        <v>0</v>
      </c>
      <c r="I181" s="152">
        <f t="shared" si="15"/>
        <v>0</v>
      </c>
      <c r="J181" s="43">
        <f t="shared" si="13"/>
        <v>37.747855573704356</v>
      </c>
    </row>
    <row r="182" spans="1:10" x14ac:dyDescent="0.25">
      <c r="A182" s="61">
        <f>'A) Base RI'!A184</f>
        <v>5705</v>
      </c>
      <c r="B182" s="114" t="str">
        <f>'A) Base RI'!B184</f>
        <v>Bogis-Bossey</v>
      </c>
      <c r="C182" s="125">
        <f>'B) D RI'!U184</f>
        <v>49393.857499999991</v>
      </c>
      <c r="D182" s="147">
        <f>'E) Fact soc'!G188/C182</f>
        <v>20.809495907449428</v>
      </c>
      <c r="E182" s="181">
        <f>'H) Péréquation directe'!I193/C182</f>
        <v>16.560142880870451</v>
      </c>
      <c r="F182" s="186">
        <f>'I) Dépenses thématiques'!P182</f>
        <v>0</v>
      </c>
      <c r="G182" s="143">
        <f t="shared" si="14"/>
        <v>37.369638788319875</v>
      </c>
      <c r="H182" s="128">
        <f t="shared" si="12"/>
        <v>0</v>
      </c>
      <c r="I182" s="152">
        <f t="shared" si="15"/>
        <v>0</v>
      </c>
      <c r="J182" s="43">
        <f t="shared" si="13"/>
        <v>37.369638788319875</v>
      </c>
    </row>
    <row r="183" spans="1:10" x14ac:dyDescent="0.25">
      <c r="A183" s="61">
        <f>'A) Base RI'!A185</f>
        <v>5706</v>
      </c>
      <c r="B183" s="114" t="str">
        <f>'A) Base RI'!B185</f>
        <v>Borex</v>
      </c>
      <c r="C183" s="125">
        <f>'B) D RI'!U185</f>
        <v>61064.931696969696</v>
      </c>
      <c r="D183" s="147">
        <f>'E) Fact soc'!G189/C183</f>
        <v>22.752394718913955</v>
      </c>
      <c r="E183" s="181">
        <f>'H) Péréquation directe'!I194/C183</f>
        <v>16.41333172912908</v>
      </c>
      <c r="F183" s="186">
        <f>'I) Dépenses thématiques'!P183</f>
        <v>0</v>
      </c>
      <c r="G183" s="143">
        <f t="shared" si="14"/>
        <v>39.165726448043031</v>
      </c>
      <c r="H183" s="128">
        <f t="shared" si="12"/>
        <v>0</v>
      </c>
      <c r="I183" s="152">
        <f t="shared" si="15"/>
        <v>0</v>
      </c>
      <c r="J183" s="43">
        <f t="shared" si="13"/>
        <v>39.165726448043031</v>
      </c>
    </row>
    <row r="184" spans="1:10" x14ac:dyDescent="0.25">
      <c r="A184" s="61">
        <f>'A) Base RI'!A186</f>
        <v>5707</v>
      </c>
      <c r="B184" s="114" t="str">
        <f>'A) Base RI'!B186</f>
        <v>Chavannes-de-Bogis</v>
      </c>
      <c r="C184" s="125">
        <f>'B) D RI'!U186</f>
        <v>90099.169661016946</v>
      </c>
      <c r="D184" s="147">
        <f>'E) Fact soc'!G190/C184</f>
        <v>23.52175203661616</v>
      </c>
      <c r="E184" s="181">
        <f>'H) Péréquation directe'!I195/C184</f>
        <v>15.431280283167114</v>
      </c>
      <c r="F184" s="186">
        <f>'I) Dépenses thématiques'!P184</f>
        <v>0</v>
      </c>
      <c r="G184" s="143">
        <f t="shared" si="14"/>
        <v>38.953032319783276</v>
      </c>
      <c r="H184" s="128">
        <f t="shared" si="12"/>
        <v>0</v>
      </c>
      <c r="I184" s="152">
        <f t="shared" si="15"/>
        <v>0</v>
      </c>
      <c r="J184" s="43">
        <f t="shared" si="13"/>
        <v>38.953032319783276</v>
      </c>
    </row>
    <row r="185" spans="1:10" x14ac:dyDescent="0.25">
      <c r="A185" s="61">
        <f>'A) Base RI'!A187</f>
        <v>5708</v>
      </c>
      <c r="B185" s="114" t="str">
        <f>'A) Base RI'!B187</f>
        <v>Chavannes-des-Bois</v>
      </c>
      <c r="C185" s="125">
        <f>'B) D RI'!U187</f>
        <v>61956.418196721308</v>
      </c>
      <c r="D185" s="147">
        <f>'E) Fact soc'!G191/C185</f>
        <v>24.915550738077542</v>
      </c>
      <c r="E185" s="181">
        <f>'H) Péréquation directe'!I196/C185</f>
        <v>15.902479547443329</v>
      </c>
      <c r="F185" s="186">
        <f>'I) Dépenses thématiques'!P185</f>
        <v>0</v>
      </c>
      <c r="G185" s="143">
        <f t="shared" si="14"/>
        <v>40.818030285520869</v>
      </c>
      <c r="H185" s="128">
        <f t="shared" si="12"/>
        <v>0</v>
      </c>
      <c r="I185" s="152">
        <f t="shared" si="15"/>
        <v>0</v>
      </c>
      <c r="J185" s="43">
        <f t="shared" si="13"/>
        <v>40.818030285520869</v>
      </c>
    </row>
    <row r="186" spans="1:10" x14ac:dyDescent="0.25">
      <c r="A186" s="61">
        <f>'A) Base RI'!A188</f>
        <v>5709</v>
      </c>
      <c r="B186" s="114" t="str">
        <f>'A) Base RI'!B188</f>
        <v>Chéserex</v>
      </c>
      <c r="C186" s="125">
        <f>'B) D RI'!U188</f>
        <v>115595.36230769231</v>
      </c>
      <c r="D186" s="147">
        <f>'E) Fact soc'!G192/C186</f>
        <v>24.495493800745336</v>
      </c>
      <c r="E186" s="181">
        <f>'H) Péréquation directe'!I197/C186</f>
        <v>14.804158162983745</v>
      </c>
      <c r="F186" s="186">
        <f>'I) Dépenses thématiques'!P186</f>
        <v>0</v>
      </c>
      <c r="G186" s="143">
        <f t="shared" si="14"/>
        <v>39.299651963729083</v>
      </c>
      <c r="H186" s="128">
        <f t="shared" si="12"/>
        <v>0</v>
      </c>
      <c r="I186" s="152">
        <f t="shared" si="15"/>
        <v>0</v>
      </c>
      <c r="J186" s="43">
        <f t="shared" si="13"/>
        <v>39.299651963729083</v>
      </c>
    </row>
    <row r="187" spans="1:10" x14ac:dyDescent="0.25">
      <c r="A187" s="61">
        <f>'A) Base RI'!A189</f>
        <v>5710</v>
      </c>
      <c r="B187" s="114" t="str">
        <f>'A) Base RI'!B189</f>
        <v>Coinsins</v>
      </c>
      <c r="C187" s="125">
        <f>'B) D RI'!U189</f>
        <v>112738.70512195122</v>
      </c>
      <c r="D187" s="147">
        <f>'E) Fact soc'!G193/C187</f>
        <v>31.240630785175174</v>
      </c>
      <c r="E187" s="181">
        <f>'H) Péréquation directe'!I198/C187</f>
        <v>12.523717955376048</v>
      </c>
      <c r="F187" s="186">
        <f>'I) Dépenses thématiques'!P187</f>
        <v>0</v>
      </c>
      <c r="G187" s="143">
        <f t="shared" si="14"/>
        <v>43.76434874055122</v>
      </c>
      <c r="H187" s="128">
        <f t="shared" si="12"/>
        <v>0</v>
      </c>
      <c r="I187" s="152">
        <f t="shared" si="15"/>
        <v>0</v>
      </c>
      <c r="J187" s="43">
        <f t="shared" si="13"/>
        <v>43.76434874055122</v>
      </c>
    </row>
    <row r="188" spans="1:10" x14ac:dyDescent="0.25">
      <c r="A188" s="61">
        <f>'A) Base RI'!A190</f>
        <v>5711</v>
      </c>
      <c r="B188" s="114" t="str">
        <f>'A) Base RI'!B190</f>
        <v>Commugny</v>
      </c>
      <c r="C188" s="125">
        <f>'B) D RI'!U190</f>
        <v>236913.245596817</v>
      </c>
      <c r="D188" s="147">
        <f>'E) Fact soc'!G194/C188</f>
        <v>25.773755130660554</v>
      </c>
      <c r="E188" s="181">
        <f>'H) Péréquation directe'!I199/C188</f>
        <v>13.77246488025451</v>
      </c>
      <c r="F188" s="186">
        <f>'I) Dépenses thématiques'!P188</f>
        <v>0</v>
      </c>
      <c r="G188" s="143">
        <f t="shared" si="14"/>
        <v>39.546220010915064</v>
      </c>
      <c r="H188" s="128">
        <f t="shared" si="12"/>
        <v>0</v>
      </c>
      <c r="I188" s="152">
        <f t="shared" si="15"/>
        <v>0</v>
      </c>
      <c r="J188" s="43">
        <f t="shared" si="13"/>
        <v>39.546220010915064</v>
      </c>
    </row>
    <row r="189" spans="1:10" x14ac:dyDescent="0.25">
      <c r="A189" s="61">
        <f>'A) Base RI'!A191</f>
        <v>5712</v>
      </c>
      <c r="B189" s="114" t="str">
        <f>'A) Base RI'!B191</f>
        <v>Coppet</v>
      </c>
      <c r="C189" s="125">
        <f>'B) D RI'!U191</f>
        <v>309642.37182389939</v>
      </c>
      <c r="D189" s="147">
        <f>'E) Fact soc'!G195/C189</f>
        <v>28.970638858619907</v>
      </c>
      <c r="E189" s="181">
        <f>'H) Péréquation directe'!I200/C189</f>
        <v>13.406611118950689</v>
      </c>
      <c r="F189" s="186">
        <f>'I) Dépenses thématiques'!P189</f>
        <v>0</v>
      </c>
      <c r="G189" s="143">
        <f t="shared" si="14"/>
        <v>42.3772499775706</v>
      </c>
      <c r="H189" s="128">
        <f t="shared" si="12"/>
        <v>0</v>
      </c>
      <c r="I189" s="152">
        <f t="shared" si="15"/>
        <v>0</v>
      </c>
      <c r="J189" s="43">
        <f t="shared" si="13"/>
        <v>42.3772499775706</v>
      </c>
    </row>
    <row r="190" spans="1:10" x14ac:dyDescent="0.25">
      <c r="A190" s="61">
        <f>'A) Base RI'!A192</f>
        <v>5713</v>
      </c>
      <c r="B190" s="114" t="str">
        <f>'A) Base RI'!B192</f>
        <v>Crans-près-Céligny</v>
      </c>
      <c r="C190" s="125">
        <f>'B) D RI'!U192</f>
        <v>259331.62150943396</v>
      </c>
      <c r="D190" s="147">
        <f>'E) Fact soc'!G196/C190</f>
        <v>30.033244777976563</v>
      </c>
      <c r="E190" s="181">
        <f>'H) Péréquation directe'!I201/C190</f>
        <v>13.429122949887757</v>
      </c>
      <c r="F190" s="186">
        <f>'I) Dépenses thématiques'!P190</f>
        <v>0</v>
      </c>
      <c r="G190" s="143">
        <f t="shared" si="14"/>
        <v>43.462367727864319</v>
      </c>
      <c r="H190" s="128">
        <f t="shared" si="12"/>
        <v>0</v>
      </c>
      <c r="I190" s="152">
        <f t="shared" si="15"/>
        <v>0</v>
      </c>
      <c r="J190" s="43">
        <f t="shared" si="13"/>
        <v>43.462367727864319</v>
      </c>
    </row>
    <row r="191" spans="1:10" x14ac:dyDescent="0.25">
      <c r="A191" s="61">
        <f>'A) Base RI'!A193</f>
        <v>5714</v>
      </c>
      <c r="B191" s="114" t="str">
        <f>'A) Base RI'!B193</f>
        <v>Crassier</v>
      </c>
      <c r="C191" s="125">
        <f>'B) D RI'!U193</f>
        <v>74990.560937499991</v>
      </c>
      <c r="D191" s="147">
        <f>'E) Fact soc'!G197/C191</f>
        <v>21.145682652959895</v>
      </c>
      <c r="E191" s="181">
        <f>'H) Péréquation directe'!I202/C191</f>
        <v>15.875331651616655</v>
      </c>
      <c r="F191" s="186">
        <f>'I) Dépenses thématiques'!P191</f>
        <v>0</v>
      </c>
      <c r="G191" s="143">
        <f t="shared" si="14"/>
        <v>37.021014304576553</v>
      </c>
      <c r="H191" s="128">
        <f t="shared" si="12"/>
        <v>0</v>
      </c>
      <c r="I191" s="152">
        <f t="shared" si="15"/>
        <v>0</v>
      </c>
      <c r="J191" s="43">
        <f t="shared" si="13"/>
        <v>37.021014304576553</v>
      </c>
    </row>
    <row r="192" spans="1:10" x14ac:dyDescent="0.25">
      <c r="A192" s="61">
        <f>'A) Base RI'!A194</f>
        <v>5715</v>
      </c>
      <c r="B192" s="114" t="str">
        <f>'A) Base RI'!B194</f>
        <v>Duillier</v>
      </c>
      <c r="C192" s="125">
        <f>'B) D RI'!U194</f>
        <v>58313.27166666666</v>
      </c>
      <c r="D192" s="147">
        <f>'E) Fact soc'!G198/C192</f>
        <v>22.140095581945033</v>
      </c>
      <c r="E192" s="181">
        <f>'H) Péréquation directe'!I203/C192</f>
        <v>16.603079671926782</v>
      </c>
      <c r="F192" s="186">
        <f>'I) Dépenses thématiques'!P192</f>
        <v>0</v>
      </c>
      <c r="G192" s="143">
        <f t="shared" si="14"/>
        <v>38.743175253871811</v>
      </c>
      <c r="H192" s="128">
        <f t="shared" si="12"/>
        <v>0</v>
      </c>
      <c r="I192" s="152">
        <f t="shared" si="15"/>
        <v>0</v>
      </c>
      <c r="J192" s="43">
        <f t="shared" si="13"/>
        <v>38.743175253871811</v>
      </c>
    </row>
    <row r="193" spans="1:10" x14ac:dyDescent="0.25">
      <c r="A193" s="61">
        <f>'A) Base RI'!A195</f>
        <v>5716</v>
      </c>
      <c r="B193" s="114" t="str">
        <f>'A) Base RI'!B195</f>
        <v>Eysins</v>
      </c>
      <c r="C193" s="125">
        <f>'B) D RI'!U195</f>
        <v>124360.51655737706</v>
      </c>
      <c r="D193" s="147">
        <f>'E) Fact soc'!G199/C193</f>
        <v>26.080338653537215</v>
      </c>
      <c r="E193" s="181">
        <f>'H) Péréquation directe'!I204/C193</f>
        <v>14.701680915145648</v>
      </c>
      <c r="F193" s="186">
        <f>'I) Dépenses thématiques'!P193</f>
        <v>0</v>
      </c>
      <c r="G193" s="143">
        <f t="shared" si="14"/>
        <v>40.782019568682863</v>
      </c>
      <c r="H193" s="128">
        <f t="shared" si="12"/>
        <v>0</v>
      </c>
      <c r="I193" s="152">
        <f t="shared" si="15"/>
        <v>0</v>
      </c>
      <c r="J193" s="43">
        <f t="shared" si="13"/>
        <v>40.782019568682863</v>
      </c>
    </row>
    <row r="194" spans="1:10" x14ac:dyDescent="0.25">
      <c r="A194" s="61">
        <f>'A) Base RI'!A196</f>
        <v>5717</v>
      </c>
      <c r="B194" s="114" t="str">
        <f>'A) Base RI'!B196</f>
        <v>Founex</v>
      </c>
      <c r="C194" s="125">
        <f>'B) D RI'!U196</f>
        <v>345595.68736842106</v>
      </c>
      <c r="D194" s="147">
        <f>'E) Fact soc'!G200/C194</f>
        <v>28.980001890805053</v>
      </c>
      <c r="E194" s="181">
        <f>'H) Péréquation directe'!I205/C194</f>
        <v>13.186418809602003</v>
      </c>
      <c r="F194" s="186">
        <f>'I) Dépenses thématiques'!P194</f>
        <v>0</v>
      </c>
      <c r="G194" s="143">
        <f t="shared" si="14"/>
        <v>42.166420700407059</v>
      </c>
      <c r="H194" s="128">
        <f t="shared" si="12"/>
        <v>0</v>
      </c>
      <c r="I194" s="152">
        <f t="shared" si="15"/>
        <v>0</v>
      </c>
      <c r="J194" s="43">
        <f t="shared" si="13"/>
        <v>42.166420700407059</v>
      </c>
    </row>
    <row r="195" spans="1:10" x14ac:dyDescent="0.25">
      <c r="A195" s="61">
        <f>'A) Base RI'!A197</f>
        <v>5718</v>
      </c>
      <c r="B195" s="114" t="str">
        <f>'A) Base RI'!B197</f>
        <v>Genolier</v>
      </c>
      <c r="C195" s="125">
        <f>'B) D RI'!U197</f>
        <v>147563.83054545455</v>
      </c>
      <c r="D195" s="147">
        <f>'E) Fact soc'!G201/C195</f>
        <v>24.833483179985478</v>
      </c>
      <c r="E195" s="181">
        <f>'H) Péréquation directe'!I206/C195</f>
        <v>14.361914390133396</v>
      </c>
      <c r="F195" s="186">
        <f>'I) Dépenses thématiques'!P195</f>
        <v>0</v>
      </c>
      <c r="G195" s="143">
        <f t="shared" si="14"/>
        <v>39.195397570118871</v>
      </c>
      <c r="H195" s="128">
        <f t="shared" si="12"/>
        <v>0</v>
      </c>
      <c r="I195" s="152">
        <f t="shared" si="15"/>
        <v>0</v>
      </c>
      <c r="J195" s="43">
        <f t="shared" si="13"/>
        <v>39.195397570118871</v>
      </c>
    </row>
    <row r="196" spans="1:10" x14ac:dyDescent="0.25">
      <c r="A196" s="61">
        <f>'A) Base RI'!A198</f>
        <v>5719</v>
      </c>
      <c r="B196" s="114" t="str">
        <f>'A) Base RI'!B198</f>
        <v>Gingins</v>
      </c>
      <c r="C196" s="125">
        <f>'B) D RI'!U198</f>
        <v>96514.726140350875</v>
      </c>
      <c r="D196" s="147">
        <f>'E) Fact soc'!G202/C196</f>
        <v>25.154069678375585</v>
      </c>
      <c r="E196" s="181">
        <f>'H) Péréquation directe'!I207/C196</f>
        <v>15.257980718243425</v>
      </c>
      <c r="F196" s="186">
        <f>'I) Dépenses thématiques'!P196</f>
        <v>0</v>
      </c>
      <c r="G196" s="143">
        <f t="shared" si="14"/>
        <v>40.412050396619009</v>
      </c>
      <c r="H196" s="128">
        <f t="shared" si="12"/>
        <v>0</v>
      </c>
      <c r="I196" s="152">
        <f t="shared" si="15"/>
        <v>0</v>
      </c>
      <c r="J196" s="43">
        <f t="shared" si="13"/>
        <v>40.412050396619009</v>
      </c>
    </row>
    <row r="197" spans="1:10" x14ac:dyDescent="0.25">
      <c r="A197" s="61">
        <f>'A) Base RI'!A199</f>
        <v>5720</v>
      </c>
      <c r="B197" s="114" t="str">
        <f>'A) Base RI'!B199</f>
        <v>Givrins</v>
      </c>
      <c r="C197" s="125">
        <f>'B) D RI'!U199</f>
        <v>81037.865428051009</v>
      </c>
      <c r="D197" s="147">
        <f>'E) Fact soc'!G203/C197</f>
        <v>27.846062538973619</v>
      </c>
      <c r="E197" s="181">
        <f>'H) Péréquation directe'!I208/C197</f>
        <v>15.672424470885858</v>
      </c>
      <c r="F197" s="186">
        <f>'I) Dépenses thématiques'!P197</f>
        <v>-0.34893244150313862</v>
      </c>
      <c r="G197" s="143">
        <f t="shared" si="14"/>
        <v>43.16955456835634</v>
      </c>
      <c r="H197" s="128">
        <f t="shared" si="12"/>
        <v>0</v>
      </c>
      <c r="I197" s="152">
        <f t="shared" si="15"/>
        <v>0</v>
      </c>
      <c r="J197" s="43">
        <f t="shared" si="13"/>
        <v>43.16955456835634</v>
      </c>
    </row>
    <row r="198" spans="1:10" x14ac:dyDescent="0.25">
      <c r="A198" s="61">
        <f>'A) Base RI'!A200</f>
        <v>5721</v>
      </c>
      <c r="B198" s="114" t="str">
        <f>'A) Base RI'!B200</f>
        <v>Gland</v>
      </c>
      <c r="C198" s="125">
        <f>'B) D RI'!U200</f>
        <v>556574.85335272714</v>
      </c>
      <c r="D198" s="147">
        <f>'E) Fact soc'!G204/C198</f>
        <v>19.857968782904091</v>
      </c>
      <c r="E198" s="181">
        <f>'H) Péréquation directe'!I209/C198</f>
        <v>5.3537557907117543</v>
      </c>
      <c r="F198" s="186">
        <f>'I) Dépenses thématiques'!P198</f>
        <v>0</v>
      </c>
      <c r="G198" s="143">
        <f t="shared" si="14"/>
        <v>25.211724573615847</v>
      </c>
      <c r="H198" s="128">
        <f t="shared" si="12"/>
        <v>0</v>
      </c>
      <c r="I198" s="152">
        <f t="shared" si="15"/>
        <v>0</v>
      </c>
      <c r="J198" s="43">
        <f t="shared" si="13"/>
        <v>25.211724573615847</v>
      </c>
    </row>
    <row r="199" spans="1:10" x14ac:dyDescent="0.25">
      <c r="A199" s="61">
        <f>'A) Base RI'!A201</f>
        <v>5722</v>
      </c>
      <c r="B199" s="114" t="str">
        <f>'A) Base RI'!B201</f>
        <v>Grens</v>
      </c>
      <c r="C199" s="125">
        <f>'B) D RI'!U201</f>
        <v>22888.286666666663</v>
      </c>
      <c r="D199" s="147">
        <f>'E) Fact soc'!G205/C199</f>
        <v>18.027875243126978</v>
      </c>
      <c r="E199" s="181">
        <f>'H) Péréquation directe'!I210/C199</f>
        <v>16.532324641652355</v>
      </c>
      <c r="F199" s="186">
        <f>'I) Dépenses thématiques'!P199</f>
        <v>0</v>
      </c>
      <c r="G199" s="143">
        <f t="shared" si="14"/>
        <v>34.560199884779337</v>
      </c>
      <c r="H199" s="128">
        <f t="shared" si="12"/>
        <v>0</v>
      </c>
      <c r="I199" s="152">
        <f t="shared" si="15"/>
        <v>0</v>
      </c>
      <c r="J199" s="43">
        <f t="shared" si="13"/>
        <v>34.560199884779337</v>
      </c>
    </row>
    <row r="200" spans="1:10" x14ac:dyDescent="0.25">
      <c r="A200" s="61">
        <f>'A) Base RI'!A202</f>
        <v>5723</v>
      </c>
      <c r="B200" s="114" t="str">
        <f>'A) Base RI'!B202</f>
        <v>Mies</v>
      </c>
      <c r="C200" s="125">
        <f>'B) D RI'!U202</f>
        <v>265838.70510204078</v>
      </c>
      <c r="D200" s="147">
        <f>'E) Fact soc'!G206/C200</f>
        <v>30.451565071936326</v>
      </c>
      <c r="E200" s="181">
        <f>'H) Péréquation directe'!I211/C200</f>
        <v>13.200230951597533</v>
      </c>
      <c r="F200" s="186">
        <f>'I) Dépenses thématiques'!P200</f>
        <v>0</v>
      </c>
      <c r="G200" s="143">
        <f>SUM(D200:F200)</f>
        <v>43.651796023533862</v>
      </c>
      <c r="H200" s="128">
        <f t="shared" si="12"/>
        <v>0</v>
      </c>
      <c r="I200" s="152">
        <f>H200*C200</f>
        <v>0</v>
      </c>
      <c r="J200" s="43">
        <f t="shared" si="13"/>
        <v>43.651796023533862</v>
      </c>
    </row>
    <row r="201" spans="1:10" x14ac:dyDescent="0.25">
      <c r="A201" s="61">
        <f>'A) Base RI'!A203</f>
        <v>5724</v>
      </c>
      <c r="B201" s="114" t="str">
        <f>'A) Base RI'!B203</f>
        <v>Nyon</v>
      </c>
      <c r="C201" s="125">
        <f>'B) D RI'!U203</f>
        <v>1373447.3453593946</v>
      </c>
      <c r="D201" s="147">
        <f>'E) Fact soc'!G207/C201</f>
        <v>22.534084032033732</v>
      </c>
      <c r="E201" s="181">
        <f>'H) Péréquation directe'!I212/C201</f>
        <v>6.9441855663706411</v>
      </c>
      <c r="F201" s="186">
        <f>'I) Dépenses thématiques'!P201</f>
        <v>-9.7285299902454991E-2</v>
      </c>
      <c r="G201" s="143">
        <f t="shared" si="14"/>
        <v>29.380984298501918</v>
      </c>
      <c r="H201" s="128">
        <f t="shared" si="12"/>
        <v>0</v>
      </c>
      <c r="I201" s="152">
        <f t="shared" si="15"/>
        <v>0</v>
      </c>
      <c r="J201" s="43">
        <f t="shared" si="13"/>
        <v>29.380984298501918</v>
      </c>
    </row>
    <row r="202" spans="1:10" x14ac:dyDescent="0.25">
      <c r="A202" s="61">
        <f>'A) Base RI'!A204</f>
        <v>5725</v>
      </c>
      <c r="B202" s="114" t="str">
        <f>'A) Base RI'!B204</f>
        <v>Prangins</v>
      </c>
      <c r="C202" s="125">
        <f>'B) D RI'!U204</f>
        <v>279071.20818877552</v>
      </c>
      <c r="D202" s="147">
        <f>'E) Fact soc'!G208/C202</f>
        <v>23.597422579063537</v>
      </c>
      <c r="E202" s="181">
        <f>'H) Péréquation directe'!I213/C202</f>
        <v>13.013466186127538</v>
      </c>
      <c r="F202" s="186">
        <f>'I) Dépenses thématiques'!P202</f>
        <v>0</v>
      </c>
      <c r="G202" s="143">
        <f t="shared" si="14"/>
        <v>36.610888765191078</v>
      </c>
      <c r="H202" s="128">
        <f t="shared" si="12"/>
        <v>0</v>
      </c>
      <c r="I202" s="152">
        <f t="shared" si="15"/>
        <v>0</v>
      </c>
      <c r="J202" s="43">
        <f t="shared" si="13"/>
        <v>36.610888765191078</v>
      </c>
    </row>
    <row r="203" spans="1:10" x14ac:dyDescent="0.25">
      <c r="A203" s="61">
        <f>'A) Base RI'!A205</f>
        <v>5726</v>
      </c>
      <c r="B203" s="114" t="str">
        <f>'A) Base RI'!B205</f>
        <v>La Rippe</v>
      </c>
      <c r="C203" s="125">
        <f>'B) D RI'!U205</f>
        <v>60430.074769230778</v>
      </c>
      <c r="D203" s="147">
        <f>'E) Fact soc'!G209/C203</f>
        <v>18.903002024636208</v>
      </c>
      <c r="E203" s="181">
        <f>'H) Péréquation directe'!I214/C203</f>
        <v>16.336691225643538</v>
      </c>
      <c r="F203" s="186">
        <f>'I) Dépenses thématiques'!P203</f>
        <v>-9.6662487062992419E-3</v>
      </c>
      <c r="G203" s="143">
        <f t="shared" si="14"/>
        <v>35.230027001573447</v>
      </c>
      <c r="H203" s="128">
        <f t="shared" si="12"/>
        <v>0</v>
      </c>
      <c r="I203" s="152">
        <f t="shared" si="15"/>
        <v>0</v>
      </c>
      <c r="J203" s="43">
        <f t="shared" si="13"/>
        <v>35.230027001573447</v>
      </c>
    </row>
    <row r="204" spans="1:10" x14ac:dyDescent="0.25">
      <c r="A204" s="61">
        <f>'A) Base RI'!A206</f>
        <v>5727</v>
      </c>
      <c r="B204" s="114" t="str">
        <f>'A) Base RI'!B206</f>
        <v>Saint-Cergue</v>
      </c>
      <c r="C204" s="125">
        <f>'B) D RI'!U206</f>
        <v>92384.571565656559</v>
      </c>
      <c r="D204" s="147">
        <f>'E) Fact soc'!G210/C204</f>
        <v>19.344592046226591</v>
      </c>
      <c r="E204" s="181">
        <f>'H) Péréquation directe'!I215/C204</f>
        <v>9.6744907288731419</v>
      </c>
      <c r="F204" s="186">
        <f>'I) Dépenses thématiques'!P204</f>
        <v>-1.8647929215717607</v>
      </c>
      <c r="G204" s="143">
        <f t="shared" si="14"/>
        <v>27.15428985352797</v>
      </c>
      <c r="H204" s="128">
        <f t="shared" si="12"/>
        <v>0</v>
      </c>
      <c r="I204" s="152">
        <f t="shared" si="15"/>
        <v>0</v>
      </c>
      <c r="J204" s="43">
        <f t="shared" si="13"/>
        <v>27.15428985352797</v>
      </c>
    </row>
    <row r="205" spans="1:10" x14ac:dyDescent="0.25">
      <c r="A205" s="61">
        <f>'A) Base RI'!A207</f>
        <v>5728</v>
      </c>
      <c r="B205" s="114" t="str">
        <f>'A) Base RI'!B207</f>
        <v>Signy-Avenex</v>
      </c>
      <c r="C205" s="125">
        <f>'B) D RI'!U207</f>
        <v>33632.696071428574</v>
      </c>
      <c r="D205" s="147">
        <f>'E) Fact soc'!G211/C205</f>
        <v>23.837772211658166</v>
      </c>
      <c r="E205" s="181">
        <f>'H) Péréquation directe'!I216/C205</f>
        <v>16.183925518481018</v>
      </c>
      <c r="F205" s="186">
        <f>'I) Dépenses thématiques'!P205</f>
        <v>0</v>
      </c>
      <c r="G205" s="143">
        <f t="shared" si="14"/>
        <v>40.021697730139181</v>
      </c>
      <c r="H205" s="128">
        <f t="shared" si="12"/>
        <v>0</v>
      </c>
      <c r="I205" s="152">
        <f t="shared" si="15"/>
        <v>0</v>
      </c>
      <c r="J205" s="43">
        <f t="shared" si="13"/>
        <v>40.021697730139181</v>
      </c>
    </row>
    <row r="206" spans="1:10" x14ac:dyDescent="0.25">
      <c r="A206" s="61">
        <f>'A) Base RI'!A208</f>
        <v>5729</v>
      </c>
      <c r="B206" s="114" t="str">
        <f>'A) Base RI'!B208</f>
        <v>Tannay</v>
      </c>
      <c r="C206" s="125">
        <f>'B) D RI'!U208</f>
        <v>138438.0717486339</v>
      </c>
      <c r="D206" s="147">
        <f>'E) Fact soc'!G212/C206</f>
        <v>27.152744316535774</v>
      </c>
      <c r="E206" s="181">
        <f>'H) Péréquation directe'!I217/C206</f>
        <v>14.476028498633749</v>
      </c>
      <c r="F206" s="186">
        <f>'I) Dépenses thématiques'!P206</f>
        <v>0</v>
      </c>
      <c r="G206" s="143">
        <f t="shared" si="14"/>
        <v>41.628772815169526</v>
      </c>
      <c r="H206" s="128">
        <f t="shared" si="12"/>
        <v>0</v>
      </c>
      <c r="I206" s="152">
        <f t="shared" si="15"/>
        <v>0</v>
      </c>
      <c r="J206" s="43">
        <f t="shared" si="13"/>
        <v>41.628772815169526</v>
      </c>
    </row>
    <row r="207" spans="1:10" x14ac:dyDescent="0.25">
      <c r="A207" s="61">
        <f>'A) Base RI'!A209</f>
        <v>5730</v>
      </c>
      <c r="B207" s="114" t="str">
        <f>'A) Base RI'!B209</f>
        <v>Trélex</v>
      </c>
      <c r="C207" s="125">
        <f>'B) D RI'!U209</f>
        <v>149022.17830188677</v>
      </c>
      <c r="D207" s="147">
        <f>'E) Fact soc'!G213/C207</f>
        <v>26.428046363715747</v>
      </c>
      <c r="E207" s="181">
        <f>'H) Péréquation directe'!I218/C207</f>
        <v>14.25750664287281</v>
      </c>
      <c r="F207" s="186">
        <f>'I) Dépenses thématiques'!P207</f>
        <v>0</v>
      </c>
      <c r="G207" s="143">
        <f t="shared" si="14"/>
        <v>40.685553006588556</v>
      </c>
      <c r="H207" s="128">
        <f t="shared" si="12"/>
        <v>0</v>
      </c>
      <c r="I207" s="152">
        <f t="shared" si="15"/>
        <v>0</v>
      </c>
      <c r="J207" s="43">
        <f t="shared" si="13"/>
        <v>40.685553006588556</v>
      </c>
    </row>
    <row r="208" spans="1:10" x14ac:dyDescent="0.25">
      <c r="A208" s="61">
        <f>'A) Base RI'!A210</f>
        <v>5731</v>
      </c>
      <c r="B208" s="114" t="str">
        <f>'A) Base RI'!B210</f>
        <v>Le Vaud</v>
      </c>
      <c r="C208" s="125">
        <f>'B) D RI'!U210</f>
        <v>46449.882799999999</v>
      </c>
      <c r="D208" s="147">
        <f>'E) Fact soc'!G214/C208</f>
        <v>18.779903573283462</v>
      </c>
      <c r="E208" s="181">
        <f>'H) Péréquation directe'!I219/C208</f>
        <v>10.620103678937868</v>
      </c>
      <c r="F208" s="186">
        <f>'I) Dépenses thématiques'!P208</f>
        <v>-3.4953371525528114</v>
      </c>
      <c r="G208" s="143">
        <f t="shared" si="14"/>
        <v>25.904670099668518</v>
      </c>
      <c r="H208" s="128">
        <f t="shared" si="12"/>
        <v>0</v>
      </c>
      <c r="I208" s="152">
        <f t="shared" si="15"/>
        <v>0</v>
      </c>
      <c r="J208" s="43">
        <f t="shared" si="13"/>
        <v>25.904670099668518</v>
      </c>
    </row>
    <row r="209" spans="1:10" x14ac:dyDescent="0.25">
      <c r="A209" s="61">
        <f>'A) Base RI'!A211</f>
        <v>5732</v>
      </c>
      <c r="B209" s="114" t="str">
        <f>'A) Base RI'!B211</f>
        <v>Vich</v>
      </c>
      <c r="C209" s="125">
        <f>'B) D RI'!U211</f>
        <v>57292.894852941186</v>
      </c>
      <c r="D209" s="147">
        <f>'E) Fact soc'!G215/C209</f>
        <v>25.254208496219569</v>
      </c>
      <c r="E209" s="181">
        <f>'H) Péréquation directe'!I220/C209</f>
        <v>16.365440374263269</v>
      </c>
      <c r="F209" s="186">
        <f>'I) Dépenses thématiques'!P209</f>
        <v>0</v>
      </c>
      <c r="G209" s="143">
        <f t="shared" si="14"/>
        <v>41.619648870482834</v>
      </c>
      <c r="H209" s="128">
        <f t="shared" si="12"/>
        <v>0</v>
      </c>
      <c r="I209" s="152">
        <f t="shared" si="15"/>
        <v>0</v>
      </c>
      <c r="J209" s="43">
        <f t="shared" si="13"/>
        <v>41.619648870482834</v>
      </c>
    </row>
    <row r="210" spans="1:10" x14ac:dyDescent="0.25">
      <c r="A210" s="61">
        <f>'A) Base RI'!A212</f>
        <v>5741</v>
      </c>
      <c r="B210" s="114" t="str">
        <f>'A) Base RI'!B212</f>
        <v>L'Abergement</v>
      </c>
      <c r="C210" s="125">
        <f>'B) D RI'!U212</f>
        <v>6994.8889917695487</v>
      </c>
      <c r="D210" s="147">
        <f>'E) Fact soc'!G216/C210</f>
        <v>17.836484324678942</v>
      </c>
      <c r="E210" s="181">
        <f>'H) Péréquation directe'!I221/C210</f>
        <v>2.5694677286405482E-2</v>
      </c>
      <c r="F210" s="186">
        <f>'I) Dépenses thématiques'!P210</f>
        <v>-11.932550746538748</v>
      </c>
      <c r="G210" s="143">
        <f t="shared" si="14"/>
        <v>5.9296282554266</v>
      </c>
      <c r="H210" s="128">
        <f t="shared" si="12"/>
        <v>0</v>
      </c>
      <c r="I210" s="152">
        <f t="shared" si="15"/>
        <v>0</v>
      </c>
      <c r="J210" s="43">
        <f t="shared" si="13"/>
        <v>5.9296282554266</v>
      </c>
    </row>
    <row r="211" spans="1:10" x14ac:dyDescent="0.25">
      <c r="A211" s="61">
        <f>'A) Base RI'!A213</f>
        <v>5742</v>
      </c>
      <c r="B211" s="114" t="str">
        <f>'A) Base RI'!B213</f>
        <v>Agiez</v>
      </c>
      <c r="C211" s="125">
        <f>'B) D RI'!U213</f>
        <v>9274.0430263157905</v>
      </c>
      <c r="D211" s="147">
        <f>'E) Fact soc'!G217/C211</f>
        <v>15.944287080902557</v>
      </c>
      <c r="E211" s="181">
        <f>'H) Péréquation directe'!I222/C211</f>
        <v>4.63523269459471</v>
      </c>
      <c r="F211" s="186">
        <f>'I) Dépenses thématiques'!P211</f>
        <v>-3.1029956346126339</v>
      </c>
      <c r="G211" s="143">
        <f t="shared" si="14"/>
        <v>17.476524140884635</v>
      </c>
      <c r="H211" s="128">
        <f t="shared" si="12"/>
        <v>0</v>
      </c>
      <c r="I211" s="152">
        <f t="shared" si="15"/>
        <v>0</v>
      </c>
      <c r="J211" s="43">
        <f t="shared" si="13"/>
        <v>17.476524140884635</v>
      </c>
    </row>
    <row r="212" spans="1:10" x14ac:dyDescent="0.25">
      <c r="A212" s="61">
        <f>'A) Base RI'!A214</f>
        <v>5743</v>
      </c>
      <c r="B212" s="114" t="str">
        <f>'A) Base RI'!B214</f>
        <v>Arnex-sur-Orbe</v>
      </c>
      <c r="C212" s="125">
        <f>'B) D RI'!U214</f>
        <v>17348.834349315071</v>
      </c>
      <c r="D212" s="147">
        <f>'E) Fact soc'!G218/C212</f>
        <v>17.948889055802386</v>
      </c>
      <c r="E212" s="181">
        <f>'H) Péréquation directe'!I223/C212</f>
        <v>2.5522733906203712</v>
      </c>
      <c r="F212" s="186">
        <f>'I) Dépenses thématiques'!P212</f>
        <v>-3.0573928842995852</v>
      </c>
      <c r="G212" s="143">
        <f t="shared" si="14"/>
        <v>17.443769562123173</v>
      </c>
      <c r="H212" s="128">
        <f t="shared" si="12"/>
        <v>0</v>
      </c>
      <c r="I212" s="152">
        <f t="shared" si="15"/>
        <v>0</v>
      </c>
      <c r="J212" s="43">
        <f t="shared" si="13"/>
        <v>17.443769562123173</v>
      </c>
    </row>
    <row r="213" spans="1:10" x14ac:dyDescent="0.25">
      <c r="A213" s="61">
        <f>'A) Base RI'!A215</f>
        <v>5744</v>
      </c>
      <c r="B213" s="114" t="str">
        <f>'A) Base RI'!B215</f>
        <v>Ballaigues</v>
      </c>
      <c r="C213" s="125">
        <f>'B) D RI'!U215</f>
        <v>53212.458333333336</v>
      </c>
      <c r="D213" s="147">
        <f>'E) Fact soc'!G219/C213</f>
        <v>20.65258917073934</v>
      </c>
      <c r="E213" s="181">
        <f>'H) Péréquation directe'!I224/C213</f>
        <v>16.278280334298483</v>
      </c>
      <c r="F213" s="186">
        <f>'I) Dépenses thématiques'!P213</f>
        <v>-7.7594210972228312</v>
      </c>
      <c r="G213" s="143">
        <f t="shared" si="14"/>
        <v>29.171448407814989</v>
      </c>
      <c r="H213" s="128">
        <f t="shared" si="12"/>
        <v>0</v>
      </c>
      <c r="I213" s="152">
        <f t="shared" si="15"/>
        <v>0</v>
      </c>
      <c r="J213" s="43">
        <f t="shared" si="13"/>
        <v>29.171448407814989</v>
      </c>
    </row>
    <row r="214" spans="1:10" x14ac:dyDescent="0.25">
      <c r="A214" s="61">
        <f>'A) Base RI'!A216</f>
        <v>5745</v>
      </c>
      <c r="B214" s="114" t="str">
        <f>'A) Base RI'!B216</f>
        <v>Baulmes</v>
      </c>
      <c r="C214" s="125">
        <f>'B) D RI'!U216</f>
        <v>27522.151666666668</v>
      </c>
      <c r="D214" s="147">
        <f>'E) Fact soc'!G220/C214</f>
        <v>18.893448839323366</v>
      </c>
      <c r="E214" s="181">
        <f>'H) Péréquation directe'!I225/C214</f>
        <v>-1.3202433086369261</v>
      </c>
      <c r="F214" s="186">
        <f>'I) Dépenses thématiques'!P214</f>
        <v>-11.12630660655573</v>
      </c>
      <c r="G214" s="143">
        <f t="shared" si="14"/>
        <v>6.4468989241307106</v>
      </c>
      <c r="H214" s="128">
        <f t="shared" si="12"/>
        <v>0</v>
      </c>
      <c r="I214" s="152">
        <f t="shared" si="15"/>
        <v>0</v>
      </c>
      <c r="J214" s="43">
        <f t="shared" si="13"/>
        <v>6.4468989241307106</v>
      </c>
    </row>
    <row r="215" spans="1:10" x14ac:dyDescent="0.25">
      <c r="A215" s="61">
        <f>'A) Base RI'!A217</f>
        <v>5746</v>
      </c>
      <c r="B215" s="114" t="str">
        <f>'A) Base RI'!B217</f>
        <v>Bavois</v>
      </c>
      <c r="C215" s="125">
        <f>'B) D RI'!U217</f>
        <v>23930.083584474884</v>
      </c>
      <c r="D215" s="147">
        <f>'E) Fact soc'!G221/C215</f>
        <v>18.361869629499949</v>
      </c>
      <c r="E215" s="181">
        <f>'H) Péréquation directe'!I226/C215</f>
        <v>-0.76868649274122314</v>
      </c>
      <c r="F215" s="186">
        <f>'I) Dépenses thématiques'!P215</f>
        <v>-7.5314095489488064</v>
      </c>
      <c r="G215" s="143">
        <f t="shared" si="14"/>
        <v>10.061773587809919</v>
      </c>
      <c r="H215" s="128">
        <f t="shared" si="12"/>
        <v>0</v>
      </c>
      <c r="I215" s="152">
        <f t="shared" si="15"/>
        <v>0</v>
      </c>
      <c r="J215" s="43">
        <f t="shared" si="13"/>
        <v>10.061773587809919</v>
      </c>
    </row>
    <row r="216" spans="1:10" x14ac:dyDescent="0.25">
      <c r="A216" s="61">
        <f>'A) Base RI'!A218</f>
        <v>5747</v>
      </c>
      <c r="B216" s="114" t="str">
        <f>'A) Base RI'!B218</f>
        <v>Bofflens</v>
      </c>
      <c r="C216" s="125">
        <f>'B) D RI'!U218</f>
        <v>5183.441884057971</v>
      </c>
      <c r="D216" s="147">
        <f>'E) Fact soc'!G222/C216</f>
        <v>16.848787536840593</v>
      </c>
      <c r="E216" s="181">
        <f>'H) Péréquation directe'!I227/C216</f>
        <v>3.8337722562658989</v>
      </c>
      <c r="F216" s="186">
        <f>'I) Dépenses thématiques'!P216</f>
        <v>-1.5760501591320542</v>
      </c>
      <c r="G216" s="143">
        <f t="shared" si="14"/>
        <v>19.106509633974436</v>
      </c>
      <c r="H216" s="128">
        <f t="shared" si="12"/>
        <v>0</v>
      </c>
      <c r="I216" s="152">
        <f t="shared" si="15"/>
        <v>0</v>
      </c>
      <c r="J216" s="43">
        <f t="shared" si="13"/>
        <v>19.106509633974436</v>
      </c>
    </row>
    <row r="217" spans="1:10" x14ac:dyDescent="0.25">
      <c r="A217" s="61">
        <f>'A) Base RI'!A219</f>
        <v>5748</v>
      </c>
      <c r="B217" s="114" t="str">
        <f>'A) Base RI'!B219</f>
        <v>Bretonnières</v>
      </c>
      <c r="C217" s="125">
        <f>'B) D RI'!U219</f>
        <v>6140.8540277777784</v>
      </c>
      <c r="D217" s="147">
        <f>'E) Fact soc'!G223/C217</f>
        <v>19.766772924183154</v>
      </c>
      <c r="E217" s="181">
        <f>'H) Péréquation directe'!I228/C217</f>
        <v>-2.1592368205631152</v>
      </c>
      <c r="F217" s="186">
        <f>'I) Dépenses thématiques'!P217</f>
        <v>-7.6195384375051338</v>
      </c>
      <c r="G217" s="143">
        <f t="shared" si="14"/>
        <v>9.9879976661149037</v>
      </c>
      <c r="H217" s="128">
        <f t="shared" si="12"/>
        <v>0</v>
      </c>
      <c r="I217" s="152">
        <f t="shared" si="15"/>
        <v>0</v>
      </c>
      <c r="J217" s="43">
        <f t="shared" si="13"/>
        <v>9.9879976661149037</v>
      </c>
    </row>
    <row r="218" spans="1:10" x14ac:dyDescent="0.25">
      <c r="A218" s="61">
        <f>'A) Base RI'!A220</f>
        <v>5749</v>
      </c>
      <c r="B218" s="114" t="str">
        <f>'A) Base RI'!B220</f>
        <v>Chavornay</v>
      </c>
      <c r="C218" s="125">
        <f>'B) D RI'!U220</f>
        <v>124346.92667771333</v>
      </c>
      <c r="D218" s="147">
        <f>'E) Fact soc'!G224/C218</f>
        <v>18.19386136234953</v>
      </c>
      <c r="E218" s="181">
        <f>'H) Péréquation directe'!I229/C218</f>
        <v>-8.1308259682908037</v>
      </c>
      <c r="F218" s="186">
        <f>'I) Dépenses thématiques'!P218</f>
        <v>-3.8975311461818056</v>
      </c>
      <c r="G218" s="143">
        <f t="shared" ref="G218" si="20">SUM(D218:F218)</f>
        <v>6.1655042478769211</v>
      </c>
      <c r="H218" s="128">
        <f t="shared" ref="H218" si="21">IF(G218&gt;H$4,H$4-G218,0)</f>
        <v>0</v>
      </c>
      <c r="I218" s="152">
        <f t="shared" ref="I218" si="22">H218*C218</f>
        <v>0</v>
      </c>
      <c r="J218" s="43">
        <f t="shared" ref="J218" si="23">G218+H218</f>
        <v>6.1655042478769211</v>
      </c>
    </row>
    <row r="219" spans="1:10" x14ac:dyDescent="0.25">
      <c r="A219" s="61">
        <f>'A) Base RI'!A221</f>
        <v>5750</v>
      </c>
      <c r="B219" s="114" t="str">
        <f>'A) Base RI'!B221</f>
        <v>Les Clées</v>
      </c>
      <c r="C219" s="125">
        <f>'B) D RI'!U221</f>
        <v>4366.1146666666664</v>
      </c>
      <c r="D219" s="147">
        <f>'E) Fact soc'!G225/C219</f>
        <v>16.853584714228464</v>
      </c>
      <c r="E219" s="181">
        <f>'H) Péréquation directe'!I230/C219</f>
        <v>-7.9829703669905934</v>
      </c>
      <c r="F219" s="186">
        <f>'I) Dépenses thématiques'!P219</f>
        <v>-6.8615045548931288</v>
      </c>
      <c r="G219" s="143">
        <f t="shared" si="14"/>
        <v>2.0091097923447432</v>
      </c>
      <c r="H219" s="128">
        <f t="shared" ref="H219:H260" si="24">IF(G219&gt;H$4,H$4-G219,0)</f>
        <v>0</v>
      </c>
      <c r="I219" s="152">
        <f t="shared" si="15"/>
        <v>0</v>
      </c>
      <c r="J219" s="43">
        <f t="shared" ref="J219:J260" si="25">G219+H219</f>
        <v>2.0091097923447432</v>
      </c>
    </row>
    <row r="220" spans="1:10" x14ac:dyDescent="0.25">
      <c r="A220" s="61">
        <f>'A) Base RI'!A222</f>
        <v>5752</v>
      </c>
      <c r="B220" s="114" t="str">
        <f>'A) Base RI'!B222</f>
        <v>Croy</v>
      </c>
      <c r="C220" s="125">
        <f>'B) D RI'!U222</f>
        <v>12886.326312741312</v>
      </c>
      <c r="D220" s="147">
        <f>'E) Fact soc'!G226/C220</f>
        <v>18.874352022202281</v>
      </c>
      <c r="E220" s="181">
        <f>'H) Péréquation directe'!I231/C220</f>
        <v>12.830001448460351</v>
      </c>
      <c r="F220" s="186">
        <f>'I) Dépenses thématiques'!P220</f>
        <v>-23.257166259458067</v>
      </c>
      <c r="G220" s="143">
        <f t="shared" si="14"/>
        <v>8.4471872112045645</v>
      </c>
      <c r="H220" s="128">
        <f t="shared" si="24"/>
        <v>0</v>
      </c>
      <c r="I220" s="152">
        <f t="shared" ref="I220:I264" si="26">H220*C220</f>
        <v>0</v>
      </c>
      <c r="J220" s="43">
        <f t="shared" si="25"/>
        <v>8.4471872112045645</v>
      </c>
    </row>
    <row r="221" spans="1:10" x14ac:dyDescent="0.25">
      <c r="A221" s="61">
        <f>'A) Base RI'!A223</f>
        <v>5754</v>
      </c>
      <c r="B221" s="114" t="str">
        <f>'A) Base RI'!B223</f>
        <v>Juriens</v>
      </c>
      <c r="C221" s="125">
        <f>'B) D RI'!U223</f>
        <v>6475.8115189873415</v>
      </c>
      <c r="D221" s="147">
        <f>'E) Fact soc'!G227/C221</f>
        <v>18.436927565852013</v>
      </c>
      <c r="E221" s="181">
        <f>'H) Péréquation directe'!I232/C221</f>
        <v>-12.241456830291472</v>
      </c>
      <c r="F221" s="186">
        <f>'I) Dépenses thématiques'!P221</f>
        <v>-5.1614751431366734</v>
      </c>
      <c r="G221" s="143">
        <f t="shared" ref="G221:G265" si="27">SUM(D221:F221)</f>
        <v>1.0339955924238673</v>
      </c>
      <c r="H221" s="128">
        <f t="shared" si="24"/>
        <v>0</v>
      </c>
      <c r="I221" s="152">
        <f t="shared" si="26"/>
        <v>0</v>
      </c>
      <c r="J221" s="43">
        <f t="shared" si="25"/>
        <v>1.0339955924238673</v>
      </c>
    </row>
    <row r="222" spans="1:10" x14ac:dyDescent="0.25">
      <c r="A222" s="61">
        <f>'A) Base RI'!A224</f>
        <v>5755</v>
      </c>
      <c r="B222" s="114" t="str">
        <f>'A) Base RI'!B224</f>
        <v>Lignerolle</v>
      </c>
      <c r="C222" s="125">
        <f>'B) D RI'!U224</f>
        <v>8871.4906525573169</v>
      </c>
      <c r="D222" s="147">
        <f>'E) Fact soc'!G228/C222</f>
        <v>20.232131362095746</v>
      </c>
      <c r="E222" s="181">
        <f>'H) Péréquation directe'!I233/C222</f>
        <v>-10.808011542488343</v>
      </c>
      <c r="F222" s="186">
        <f>'I) Dépenses thématiques'!P222</f>
        <v>-32.806464057817877</v>
      </c>
      <c r="G222" s="143">
        <f t="shared" si="27"/>
        <v>-23.382344238210472</v>
      </c>
      <c r="H222" s="128">
        <f t="shared" si="24"/>
        <v>0</v>
      </c>
      <c r="I222" s="152">
        <f t="shared" si="26"/>
        <v>0</v>
      </c>
      <c r="J222" s="43">
        <f t="shared" si="25"/>
        <v>-23.382344238210472</v>
      </c>
    </row>
    <row r="223" spans="1:10" x14ac:dyDescent="0.25">
      <c r="A223" s="61">
        <f>'A) Base RI'!A225</f>
        <v>5756</v>
      </c>
      <c r="B223" s="114" t="str">
        <f>'A) Base RI'!B225</f>
        <v>Montcherand</v>
      </c>
      <c r="C223" s="125">
        <f>'B) D RI'!U225</f>
        <v>14808.245169082125</v>
      </c>
      <c r="D223" s="147">
        <f>'E) Fact soc'!G229/C223</f>
        <v>17.797164194861349</v>
      </c>
      <c r="E223" s="181">
        <f>'H) Péréquation directe'!I234/C223</f>
        <v>7.6315153060473415</v>
      </c>
      <c r="F223" s="186">
        <f>'I) Dépenses thématiques'!P223</f>
        <v>-3.9982824562456294</v>
      </c>
      <c r="G223" s="143">
        <f t="shared" si="27"/>
        <v>21.43039704466306</v>
      </c>
      <c r="H223" s="128">
        <f t="shared" si="24"/>
        <v>0</v>
      </c>
      <c r="I223" s="152">
        <f t="shared" si="26"/>
        <v>0</v>
      </c>
      <c r="J223" s="43">
        <f t="shared" si="25"/>
        <v>21.43039704466306</v>
      </c>
    </row>
    <row r="224" spans="1:10" x14ac:dyDescent="0.25">
      <c r="A224" s="61">
        <f>'A) Base RI'!A226</f>
        <v>5757</v>
      </c>
      <c r="B224" s="114" t="str">
        <f>'A) Base RI'!B226</f>
        <v>Orbe</v>
      </c>
      <c r="C224" s="125">
        <f>'B) D RI'!U226</f>
        <v>210430.38166666671</v>
      </c>
      <c r="D224" s="147">
        <f>'E) Fact soc'!G230/C224</f>
        <v>21.386174444215627</v>
      </c>
      <c r="E224" s="181">
        <f>'H) Péréquation directe'!I235/C224</f>
        <v>-3.4822445289245492</v>
      </c>
      <c r="F224" s="186">
        <f>'I) Dépenses thématiques'!P224</f>
        <v>-8.1830283579331731</v>
      </c>
      <c r="G224" s="143">
        <f t="shared" si="27"/>
        <v>9.7209015573579034</v>
      </c>
      <c r="H224" s="128">
        <f t="shared" si="24"/>
        <v>0</v>
      </c>
      <c r="I224" s="152">
        <f t="shared" si="26"/>
        <v>0</v>
      </c>
      <c r="J224" s="43">
        <f t="shared" si="25"/>
        <v>9.7209015573579034</v>
      </c>
    </row>
    <row r="225" spans="1:10" x14ac:dyDescent="0.25">
      <c r="A225" s="61">
        <f>'A) Base RI'!A227</f>
        <v>5758</v>
      </c>
      <c r="B225" s="114" t="str">
        <f>'A) Base RI'!B227</f>
        <v>La Praz</v>
      </c>
      <c r="C225" s="125">
        <f>'B) D RI'!U227</f>
        <v>3864.2083668005353</v>
      </c>
      <c r="D225" s="147">
        <f>'E) Fact soc'!G231/C225</f>
        <v>17.161455965181577</v>
      </c>
      <c r="E225" s="181">
        <f>'H) Péréquation directe'!I236/C225</f>
        <v>-8.1290232043444188</v>
      </c>
      <c r="F225" s="186">
        <f>'I) Dépenses thématiques'!P225</f>
        <v>-8.7008999440173156</v>
      </c>
      <c r="G225" s="143">
        <f t="shared" si="27"/>
        <v>0.33153281681984303</v>
      </c>
      <c r="H225" s="128">
        <f t="shared" si="24"/>
        <v>0</v>
      </c>
      <c r="I225" s="152">
        <f t="shared" si="26"/>
        <v>0</v>
      </c>
      <c r="J225" s="43">
        <f t="shared" si="25"/>
        <v>0.33153281681984303</v>
      </c>
    </row>
    <row r="226" spans="1:10" x14ac:dyDescent="0.25">
      <c r="A226" s="61">
        <f>'A) Base RI'!A228</f>
        <v>5759</v>
      </c>
      <c r="B226" s="114" t="str">
        <f>'A) Base RI'!B228</f>
        <v>Premier</v>
      </c>
      <c r="C226" s="125">
        <f>'B) D RI'!U228</f>
        <v>4558.7250617283944</v>
      </c>
      <c r="D226" s="147">
        <f>'E) Fact soc'!G232/C226</f>
        <v>17.814744386451633</v>
      </c>
      <c r="E226" s="181">
        <f>'H) Péréquation directe'!I237/C226</f>
        <v>-6.0225337700560093</v>
      </c>
      <c r="F226" s="186">
        <f>'I) Dépenses thématiques'!P226</f>
        <v>-9.5817417327115511</v>
      </c>
      <c r="G226" s="143">
        <f t="shared" si="27"/>
        <v>2.2104688836840722</v>
      </c>
      <c r="H226" s="128">
        <f t="shared" si="24"/>
        <v>0</v>
      </c>
      <c r="I226" s="152">
        <f t="shared" si="26"/>
        <v>0</v>
      </c>
      <c r="J226" s="43">
        <f t="shared" si="25"/>
        <v>2.2104688836840722</v>
      </c>
    </row>
    <row r="227" spans="1:10" x14ac:dyDescent="0.25">
      <c r="A227" s="61">
        <f>'A) Base RI'!A229</f>
        <v>5760</v>
      </c>
      <c r="B227" s="114" t="str">
        <f>'A) Base RI'!B229</f>
        <v>Rances</v>
      </c>
      <c r="C227" s="125">
        <f>'B) D RI'!U229</f>
        <v>11470.274871794873</v>
      </c>
      <c r="D227" s="147">
        <f>'E) Fact soc'!G233/C227</f>
        <v>17.723356731875594</v>
      </c>
      <c r="E227" s="181">
        <f>'H) Péréquation directe'!I238/C227</f>
        <v>-3.9683191592098268</v>
      </c>
      <c r="F227" s="186">
        <f>'I) Dépenses thématiques'!P227</f>
        <v>-14.04189709561933</v>
      </c>
      <c r="G227" s="143">
        <f t="shared" si="27"/>
        <v>-0.28685952295356287</v>
      </c>
      <c r="H227" s="128">
        <f t="shared" si="24"/>
        <v>0</v>
      </c>
      <c r="I227" s="152">
        <f t="shared" si="26"/>
        <v>0</v>
      </c>
      <c r="J227" s="43">
        <f t="shared" si="25"/>
        <v>-0.28685952295356287</v>
      </c>
    </row>
    <row r="228" spans="1:10" x14ac:dyDescent="0.25">
      <c r="A228" s="61">
        <f>'A) Base RI'!A230</f>
        <v>5761</v>
      </c>
      <c r="B228" s="114" t="str">
        <f>'A) Base RI'!B230</f>
        <v>Romainmôtier-Envy</v>
      </c>
      <c r="C228" s="125">
        <f>'B) D RI'!U230</f>
        <v>11347.35572368421</v>
      </c>
      <c r="D228" s="147">
        <f>'E) Fact soc'!G234/C228</f>
        <v>19.29032408157391</v>
      </c>
      <c r="E228" s="181">
        <f>'H) Péréquation directe'!I239/C228</f>
        <v>-9.8784214329779783</v>
      </c>
      <c r="F228" s="186">
        <f>'I) Dépenses thématiques'!P228</f>
        <v>-6.3452580279464446</v>
      </c>
      <c r="G228" s="143">
        <f t="shared" si="27"/>
        <v>3.0666446206494875</v>
      </c>
      <c r="H228" s="128">
        <f t="shared" si="24"/>
        <v>0</v>
      </c>
      <c r="I228" s="152">
        <f t="shared" si="26"/>
        <v>0</v>
      </c>
      <c r="J228" s="43">
        <f t="shared" si="25"/>
        <v>3.0666446206494875</v>
      </c>
    </row>
    <row r="229" spans="1:10" x14ac:dyDescent="0.25">
      <c r="A229" s="61">
        <f>'A) Base RI'!A231</f>
        <v>5762</v>
      </c>
      <c r="B229" s="114" t="str">
        <f>'A) Base RI'!B231</f>
        <v>Sergey</v>
      </c>
      <c r="C229" s="125">
        <f>'B) D RI'!U231</f>
        <v>3104.8092592592593</v>
      </c>
      <c r="D229" s="147">
        <f>'E) Fact soc'!G235/C229</f>
        <v>15.92547493021508</v>
      </c>
      <c r="E229" s="181">
        <f>'H) Péréquation directe'!I240/C229</f>
        <v>-13.26637855039894</v>
      </c>
      <c r="F229" s="186">
        <f>'I) Dépenses thématiques'!P229</f>
        <v>-2.3500134764948908</v>
      </c>
      <c r="G229" s="143">
        <f t="shared" si="27"/>
        <v>0.30908290332124855</v>
      </c>
      <c r="H229" s="128">
        <f t="shared" si="24"/>
        <v>0</v>
      </c>
      <c r="I229" s="152">
        <f t="shared" si="26"/>
        <v>0</v>
      </c>
      <c r="J229" s="43">
        <f t="shared" si="25"/>
        <v>0.30908290332124855</v>
      </c>
    </row>
    <row r="230" spans="1:10" x14ac:dyDescent="0.25">
      <c r="A230" s="61">
        <f>'A) Base RI'!A232</f>
        <v>5763</v>
      </c>
      <c r="B230" s="114" t="str">
        <f>'A) Base RI'!B232</f>
        <v>Valeyres-sous-Rances</v>
      </c>
      <c r="C230" s="125">
        <f>'B) D RI'!U232</f>
        <v>16129.151764705883</v>
      </c>
      <c r="D230" s="147">
        <f>'E) Fact soc'!G236/C230</f>
        <v>19.081287914872309</v>
      </c>
      <c r="E230" s="181">
        <f>'H) Péréquation directe'!I241/C230</f>
        <v>3.1336609015352908</v>
      </c>
      <c r="F230" s="186">
        <f>'I) Dépenses thématiques'!P230</f>
        <v>-7.2530194541356261</v>
      </c>
      <c r="G230" s="143">
        <f t="shared" si="27"/>
        <v>14.961929362271974</v>
      </c>
      <c r="H230" s="128">
        <f t="shared" si="24"/>
        <v>0</v>
      </c>
      <c r="I230" s="152">
        <f t="shared" si="26"/>
        <v>0</v>
      </c>
      <c r="J230" s="43">
        <f t="shared" si="25"/>
        <v>14.961929362271974</v>
      </c>
    </row>
    <row r="231" spans="1:10" x14ac:dyDescent="0.25">
      <c r="A231" s="61">
        <f>'A) Base RI'!A233</f>
        <v>5764</v>
      </c>
      <c r="B231" s="114" t="str">
        <f>'A) Base RI'!B233</f>
        <v>Vallorbe</v>
      </c>
      <c r="C231" s="125">
        <f>'B) D RI'!U233</f>
        <v>84393.993513513502</v>
      </c>
      <c r="D231" s="147">
        <f>'E) Fact soc'!G237/C231</f>
        <v>26.364720675693622</v>
      </c>
      <c r="E231" s="181">
        <f>'H) Péréquation directe'!I242/C231</f>
        <v>-14.357505280047436</v>
      </c>
      <c r="F231" s="186">
        <f>'I) Dépenses thématiques'!P231</f>
        <v>-18.04355149802349</v>
      </c>
      <c r="G231" s="143">
        <f t="shared" si="27"/>
        <v>-6.0363361023773034</v>
      </c>
      <c r="H231" s="128">
        <f t="shared" si="24"/>
        <v>0</v>
      </c>
      <c r="I231" s="152">
        <f t="shared" si="26"/>
        <v>0</v>
      </c>
      <c r="J231" s="43">
        <f t="shared" si="25"/>
        <v>-6.0363361023773034</v>
      </c>
    </row>
    <row r="232" spans="1:10" x14ac:dyDescent="0.25">
      <c r="A232" s="61">
        <f>'A) Base RI'!A234</f>
        <v>5765</v>
      </c>
      <c r="B232" s="114" t="str">
        <f>'A) Base RI'!B234</f>
        <v>Vaulion</v>
      </c>
      <c r="C232" s="125">
        <f>'B) D RI'!U234</f>
        <v>9305.5603703703709</v>
      </c>
      <c r="D232" s="147">
        <f>'E) Fact soc'!G238/C232</f>
        <v>21.710311498650078</v>
      </c>
      <c r="E232" s="181">
        <f>'H) Péréquation directe'!I243/C232</f>
        <v>-21.242776225864667</v>
      </c>
      <c r="F232" s="186">
        <f>'I) Dépenses thématiques'!P232</f>
        <v>-18.011827686646853</v>
      </c>
      <c r="G232" s="143">
        <f t="shared" si="27"/>
        <v>-17.544292413861442</v>
      </c>
      <c r="H232" s="128">
        <f t="shared" si="24"/>
        <v>0</v>
      </c>
      <c r="I232" s="152">
        <f t="shared" si="26"/>
        <v>0</v>
      </c>
      <c r="J232" s="43">
        <f t="shared" si="25"/>
        <v>-17.544292413861442</v>
      </c>
    </row>
    <row r="233" spans="1:10" x14ac:dyDescent="0.25">
      <c r="A233" s="61">
        <f>'A) Base RI'!A235</f>
        <v>5766</v>
      </c>
      <c r="B233" s="114" t="str">
        <f>'A) Base RI'!B235</f>
        <v>Vuiteboeuf</v>
      </c>
      <c r="C233" s="125">
        <f>'B) D RI'!U235</f>
        <v>11614.965899814471</v>
      </c>
      <c r="D233" s="147">
        <f>'E) Fact soc'!G239/C233</f>
        <v>18.961357789157031</v>
      </c>
      <c r="E233" s="181">
        <f>'H) Péréquation directe'!I244/C233</f>
        <v>-10.571786146465442</v>
      </c>
      <c r="F233" s="186">
        <f>'I) Dépenses thématiques'!P233</f>
        <v>-7.8340277509499616</v>
      </c>
      <c r="G233" s="143">
        <f t="shared" si="27"/>
        <v>0.55554389174162733</v>
      </c>
      <c r="H233" s="128">
        <f t="shared" si="24"/>
        <v>0</v>
      </c>
      <c r="I233" s="152">
        <f t="shared" si="26"/>
        <v>0</v>
      </c>
      <c r="J233" s="43">
        <f t="shared" si="25"/>
        <v>0.55554389174162733</v>
      </c>
    </row>
    <row r="234" spans="1:10" x14ac:dyDescent="0.25">
      <c r="A234" s="61">
        <f>'A) Base RI'!A236</f>
        <v>5785</v>
      </c>
      <c r="B234" s="114" t="str">
        <f>'A) Base RI'!B236</f>
        <v>Corcelles-le-Jorat</v>
      </c>
      <c r="C234" s="125">
        <f>'B) D RI'!U236</f>
        <v>12293.058354430379</v>
      </c>
      <c r="D234" s="147">
        <f>'E) Fact soc'!G240/C234</f>
        <v>17.179016440151621</v>
      </c>
      <c r="E234" s="181">
        <f>'H) Péréquation directe'!I245/C234</f>
        <v>2.5404563433834291</v>
      </c>
      <c r="F234" s="186">
        <f>'I) Dépenses thématiques'!P234</f>
        <v>-8.4744009268987543</v>
      </c>
      <c r="G234" s="143">
        <f t="shared" si="27"/>
        <v>11.245071856636295</v>
      </c>
      <c r="H234" s="128">
        <f t="shared" si="24"/>
        <v>0</v>
      </c>
      <c r="I234" s="152">
        <f t="shared" si="26"/>
        <v>0</v>
      </c>
      <c r="J234" s="43">
        <f t="shared" si="25"/>
        <v>11.245071856636295</v>
      </c>
    </row>
    <row r="235" spans="1:10" x14ac:dyDescent="0.25">
      <c r="A235" s="61">
        <f>'A) Base RI'!A237</f>
        <v>5788</v>
      </c>
      <c r="B235" s="114" t="str">
        <f>'A) Base RI'!B237</f>
        <v>Essertes</v>
      </c>
      <c r="C235" s="125">
        <f>'B) D RI'!U237</f>
        <v>10412.319857142857</v>
      </c>
      <c r="D235" s="147">
        <f>'E) Fact soc'!G241/C235</f>
        <v>17.610308798433607</v>
      </c>
      <c r="E235" s="181">
        <f>'H) Péréquation directe'!I246/C235</f>
        <v>7.7068846222410832</v>
      </c>
      <c r="F235" s="186">
        <f>'I) Dépenses thématiques'!P235</f>
        <v>-4.0961819176234222</v>
      </c>
      <c r="G235" s="143">
        <f t="shared" si="27"/>
        <v>21.221011503051269</v>
      </c>
      <c r="H235" s="128">
        <f t="shared" si="24"/>
        <v>0</v>
      </c>
      <c r="I235" s="152">
        <f t="shared" si="26"/>
        <v>0</v>
      </c>
      <c r="J235" s="43">
        <f t="shared" si="25"/>
        <v>21.221011503051269</v>
      </c>
    </row>
    <row r="236" spans="1:10" x14ac:dyDescent="0.25">
      <c r="A236" s="61">
        <f>'A) Base RI'!A238</f>
        <v>5790</v>
      </c>
      <c r="B236" s="114" t="str">
        <f>'A) Base RI'!B238</f>
        <v>Maracon</v>
      </c>
      <c r="C236" s="125">
        <f>'B) D RI'!U238</f>
        <v>12107.709078947366</v>
      </c>
      <c r="D236" s="147">
        <f>'E) Fact soc'!G242/C236</f>
        <v>24.41602092865374</v>
      </c>
      <c r="E236" s="181">
        <f>'H) Péréquation directe'!I247/C236</f>
        <v>0.7888698293637022</v>
      </c>
      <c r="F236" s="186">
        <f>'I) Dépenses thématiques'!P236</f>
        <v>-9.1305461301121937</v>
      </c>
      <c r="G236" s="143">
        <f t="shared" si="27"/>
        <v>16.074344627905248</v>
      </c>
      <c r="H236" s="128">
        <f t="shared" si="24"/>
        <v>0</v>
      </c>
      <c r="I236" s="152">
        <f t="shared" si="26"/>
        <v>0</v>
      </c>
      <c r="J236" s="43">
        <f t="shared" si="25"/>
        <v>16.074344627905248</v>
      </c>
    </row>
    <row r="237" spans="1:10" x14ac:dyDescent="0.25">
      <c r="A237" s="61">
        <f>'A) Base RI'!A239</f>
        <v>5792</v>
      </c>
      <c r="B237" s="114" t="str">
        <f>'A) Base RI'!B239</f>
        <v>Montpreveyres</v>
      </c>
      <c r="C237" s="125">
        <f>'B) D RI'!U239</f>
        <v>19088.494155844161</v>
      </c>
      <c r="D237" s="147">
        <f>'E) Fact soc'!G243/C237</f>
        <v>17.046674438420606</v>
      </c>
      <c r="E237" s="181">
        <f>'H) Péréquation directe'!I248/C237</f>
        <v>4.7074651908867118</v>
      </c>
      <c r="F237" s="186">
        <f>'I) Dépenses thématiques'!P237</f>
        <v>-5.7666074769008304</v>
      </c>
      <c r="G237" s="143">
        <f t="shared" si="27"/>
        <v>15.987532152406487</v>
      </c>
      <c r="H237" s="128">
        <f t="shared" si="24"/>
        <v>0</v>
      </c>
      <c r="I237" s="152">
        <f t="shared" si="26"/>
        <v>0</v>
      </c>
      <c r="J237" s="43">
        <f t="shared" si="25"/>
        <v>15.987532152406487</v>
      </c>
    </row>
    <row r="238" spans="1:10" x14ac:dyDescent="0.25">
      <c r="A238" s="61">
        <f>'A) Base RI'!A240</f>
        <v>5798</v>
      </c>
      <c r="B238" s="114" t="str">
        <f>'A) Base RI'!B240</f>
        <v>Ropraz</v>
      </c>
      <c r="C238" s="125">
        <f>'B) D RI'!U240</f>
        <v>9558.3067096774193</v>
      </c>
      <c r="D238" s="147">
        <f>'E) Fact soc'!G244/C238</f>
        <v>20.061594253004063</v>
      </c>
      <c r="E238" s="181">
        <f>'H) Péréquation directe'!I249/C238</f>
        <v>-6.3435449088590286</v>
      </c>
      <c r="F238" s="186">
        <f>'I) Dépenses thématiques'!P238</f>
        <v>-9.1531236965299634</v>
      </c>
      <c r="G238" s="143">
        <f t="shared" si="27"/>
        <v>4.5649256476150715</v>
      </c>
      <c r="H238" s="128">
        <f t="shared" si="24"/>
        <v>0</v>
      </c>
      <c r="I238" s="152">
        <f t="shared" si="26"/>
        <v>0</v>
      </c>
      <c r="J238" s="43">
        <f t="shared" si="25"/>
        <v>4.5649256476150715</v>
      </c>
    </row>
    <row r="239" spans="1:10" x14ac:dyDescent="0.25">
      <c r="A239" s="61">
        <f>'A) Base RI'!A241</f>
        <v>5799</v>
      </c>
      <c r="B239" s="114" t="str">
        <f>'A) Base RI'!B241</f>
        <v>Servion</v>
      </c>
      <c r="C239" s="125">
        <f>'B) D RI'!U241</f>
        <v>51366.477681159435</v>
      </c>
      <c r="D239" s="147">
        <f>'E) Fact soc'!G245/C239</f>
        <v>20.273390859148357</v>
      </c>
      <c r="E239" s="181">
        <f>'H) Péréquation directe'!I250/C239</f>
        <v>-1.5386363147848121</v>
      </c>
      <c r="F239" s="186">
        <f>'I) Dépenses thématiques'!P239</f>
        <v>-4.4612941646772644</v>
      </c>
      <c r="G239" s="143">
        <f t="shared" si="27"/>
        <v>14.273460379686279</v>
      </c>
      <c r="H239" s="128">
        <f t="shared" si="24"/>
        <v>0</v>
      </c>
      <c r="I239" s="152">
        <f t="shared" si="26"/>
        <v>0</v>
      </c>
      <c r="J239" s="43">
        <f t="shared" si="25"/>
        <v>14.273460379686279</v>
      </c>
    </row>
    <row r="240" spans="1:10" x14ac:dyDescent="0.25">
      <c r="A240" s="61">
        <f>'A) Base RI'!A242</f>
        <v>5803</v>
      </c>
      <c r="B240" s="114" t="str">
        <f>'A) Base RI'!B242</f>
        <v>Vulliens</v>
      </c>
      <c r="C240" s="125">
        <f>'B) D RI'!U242</f>
        <v>12589.149382716048</v>
      </c>
      <c r="D240" s="147">
        <f>'E) Fact soc'!G246/C240</f>
        <v>22.399174697264382</v>
      </c>
      <c r="E240" s="181">
        <f>'H) Péréquation directe'!I251/C240</f>
        <v>-1.1710332662491827</v>
      </c>
      <c r="F240" s="186">
        <f>'I) Dépenses thématiques'!P240</f>
        <v>-5.7942277385495018</v>
      </c>
      <c r="G240" s="143">
        <f t="shared" si="27"/>
        <v>15.433913692465698</v>
      </c>
      <c r="H240" s="128">
        <f t="shared" si="24"/>
        <v>0</v>
      </c>
      <c r="I240" s="152">
        <f t="shared" si="26"/>
        <v>0</v>
      </c>
      <c r="J240" s="43">
        <f t="shared" si="25"/>
        <v>15.433913692465698</v>
      </c>
    </row>
    <row r="241" spans="1:10" x14ac:dyDescent="0.25">
      <c r="A241" s="61">
        <f>'A) Base RI'!A243</f>
        <v>5804</v>
      </c>
      <c r="B241" s="114" t="str">
        <f>'A) Base RI'!B243</f>
        <v>Jorat-Menthue</v>
      </c>
      <c r="C241" s="125">
        <f>'B) D RI'!U243</f>
        <v>41163.666944444441</v>
      </c>
      <c r="D241" s="147">
        <f>'E) Fact soc'!G247/C241</f>
        <v>18.356884460229647</v>
      </c>
      <c r="E241" s="181">
        <f>'H) Péréquation directe'!I252/C241</f>
        <v>-1.081211717959869</v>
      </c>
      <c r="F241" s="186">
        <f>'I) Dépenses thématiques'!P241</f>
        <v>-10.103490498127991</v>
      </c>
      <c r="G241" s="143">
        <f>SUM(D241:F241)</f>
        <v>7.1721822441417853</v>
      </c>
      <c r="H241" s="128">
        <f t="shared" si="24"/>
        <v>0</v>
      </c>
      <c r="I241" s="152">
        <f>H241*C241</f>
        <v>0</v>
      </c>
      <c r="J241" s="43">
        <f>G241+H241</f>
        <v>7.1721822441417853</v>
      </c>
    </row>
    <row r="242" spans="1:10" x14ac:dyDescent="0.25">
      <c r="A242" s="61">
        <f>'A) Base RI'!A244</f>
        <v>5805</v>
      </c>
      <c r="B242" s="114" t="str">
        <f>'A) Base RI'!B244</f>
        <v>Oron</v>
      </c>
      <c r="C242" s="125">
        <f>'B) D RI'!U244</f>
        <v>146504.50986824767</v>
      </c>
      <c r="D242" s="147">
        <f>'E) Fact soc'!G248/C242</f>
        <v>18.672944077393883</v>
      </c>
      <c r="E242" s="181">
        <f>'H) Péréquation directe'!I253/C242</f>
        <v>-6.0280313090266286</v>
      </c>
      <c r="F242" s="186">
        <f>'I) Dépenses thématiques'!P242</f>
        <v>-6.5663278418526883</v>
      </c>
      <c r="G242" s="143">
        <f>SUM(D242:F242)</f>
        <v>6.0785849265145657</v>
      </c>
      <c r="H242" s="128">
        <f t="shared" si="24"/>
        <v>0</v>
      </c>
      <c r="I242" s="152">
        <f>H242*C242</f>
        <v>0</v>
      </c>
      <c r="J242" s="43">
        <f>G242+H242</f>
        <v>6.0785849265145657</v>
      </c>
    </row>
    <row r="243" spans="1:10" x14ac:dyDescent="0.25">
      <c r="A243" s="61">
        <f>'A) Base RI'!A245</f>
        <v>5806</v>
      </c>
      <c r="B243" s="114" t="str">
        <f>'A) Base RI'!B245</f>
        <v>Jorat-Mézières</v>
      </c>
      <c r="C243" s="125">
        <f>'B) D RI'!U245</f>
        <v>83059.358118759847</v>
      </c>
      <c r="D243" s="147">
        <f>'E) Fact soc'!G249/C243</f>
        <v>18.163816391900827</v>
      </c>
      <c r="E243" s="181">
        <f>'H) Péréquation directe'!I254/C243</f>
        <v>-0.58095602751710906</v>
      </c>
      <c r="F243" s="186">
        <f>'I) Dépenses thématiques'!P243</f>
        <v>-8.2604820551858538</v>
      </c>
      <c r="G243" s="143">
        <f>SUM(D243:F243)</f>
        <v>9.322378309197866</v>
      </c>
      <c r="H243" s="128">
        <f t="shared" ref="H243" si="28">IF(G243&gt;H$4,H$4-G243,0)</f>
        <v>0</v>
      </c>
      <c r="I243" s="152">
        <f>H243*C243</f>
        <v>0</v>
      </c>
      <c r="J243" s="43">
        <f>G243+H243</f>
        <v>9.322378309197866</v>
      </c>
    </row>
    <row r="244" spans="1:10" x14ac:dyDescent="0.25">
      <c r="A244" s="61">
        <f>'A) Base RI'!A246</f>
        <v>5812</v>
      </c>
      <c r="B244" s="114" t="str">
        <f>'A) Base RI'!B246</f>
        <v>Champtauroz</v>
      </c>
      <c r="C244" s="125">
        <f>'B) D RI'!U246</f>
        <v>2420.1879870129869</v>
      </c>
      <c r="D244" s="147">
        <f>'E) Fact soc'!G250/C244</f>
        <v>22.771133268359431</v>
      </c>
      <c r="E244" s="181">
        <f>'H) Péréquation directe'!I255/C244</f>
        <v>-20.402835865667395</v>
      </c>
      <c r="F244" s="186">
        <f>'I) Dépenses thématiques'!P244</f>
        <v>-14.689301622960487</v>
      </c>
      <c r="G244" s="143">
        <f>SUM(D244:F244)</f>
        <v>-12.321004220268451</v>
      </c>
      <c r="H244" s="128">
        <f t="shared" si="24"/>
        <v>0</v>
      </c>
      <c r="I244" s="152">
        <f>H244*C244</f>
        <v>0</v>
      </c>
      <c r="J244" s="43">
        <f>G244+H244</f>
        <v>-12.321004220268451</v>
      </c>
    </row>
    <row r="245" spans="1:10" x14ac:dyDescent="0.25">
      <c r="A245" s="61">
        <f>'A) Base RI'!A247</f>
        <v>5813</v>
      </c>
      <c r="B245" s="114" t="str">
        <f>'A) Base RI'!B247</f>
        <v>Chevroux</v>
      </c>
      <c r="C245" s="125">
        <f>'B) D RI'!U247</f>
        <v>11590.298571428571</v>
      </c>
      <c r="D245" s="147">
        <f>'E) Fact soc'!G251/C245</f>
        <v>18.390447903535474</v>
      </c>
      <c r="E245" s="181">
        <f>'H) Péréquation directe'!I256/C245</f>
        <v>2.5265786384949198</v>
      </c>
      <c r="F245" s="186">
        <f>'I) Dépenses thématiques'!P245</f>
        <v>-0.77492682266322821</v>
      </c>
      <c r="G245" s="143">
        <f t="shared" si="27"/>
        <v>20.142099719367163</v>
      </c>
      <c r="H245" s="128">
        <f t="shared" si="24"/>
        <v>0</v>
      </c>
      <c r="I245" s="152">
        <f t="shared" si="26"/>
        <v>0</v>
      </c>
      <c r="J245" s="43">
        <f t="shared" si="25"/>
        <v>20.142099719367163</v>
      </c>
    </row>
    <row r="246" spans="1:10" x14ac:dyDescent="0.25">
      <c r="A246" s="61">
        <f>'A) Base RI'!A248</f>
        <v>5816</v>
      </c>
      <c r="B246" s="114" t="str">
        <f>'A) Base RI'!B248</f>
        <v>Corcelles-près-Payerne</v>
      </c>
      <c r="C246" s="125">
        <f>'B) D RI'!U248</f>
        <v>52953.608154761903</v>
      </c>
      <c r="D246" s="147">
        <f>'E) Fact soc'!G252/C246</f>
        <v>20.067283179928939</v>
      </c>
      <c r="E246" s="181">
        <f>'H) Péréquation directe'!I257/C246</f>
        <v>-8.9682826261559949</v>
      </c>
      <c r="F246" s="186">
        <f>'I) Dépenses thématiques'!P246</f>
        <v>-4.7684951673106655</v>
      </c>
      <c r="G246" s="143">
        <f t="shared" si="27"/>
        <v>6.3305053864622787</v>
      </c>
      <c r="H246" s="128">
        <f t="shared" si="24"/>
        <v>0</v>
      </c>
      <c r="I246" s="152">
        <f t="shared" si="26"/>
        <v>0</v>
      </c>
      <c r="J246" s="43">
        <f t="shared" si="25"/>
        <v>6.3305053864622787</v>
      </c>
    </row>
    <row r="247" spans="1:10" x14ac:dyDescent="0.25">
      <c r="A247" s="61">
        <f>'A) Base RI'!A249</f>
        <v>5817</v>
      </c>
      <c r="B247" s="114" t="str">
        <f>'A) Base RI'!B249</f>
        <v>Grandcour</v>
      </c>
      <c r="C247" s="125">
        <f>'B) D RI'!U249</f>
        <v>20895.78968553459</v>
      </c>
      <c r="D247" s="147">
        <f>'E) Fact soc'!G253/C247</f>
        <v>17.442053241011621</v>
      </c>
      <c r="E247" s="181">
        <f>'H) Péréquation directe'!I258/C247</f>
        <v>-5.7300251864077163</v>
      </c>
      <c r="F247" s="186">
        <f>'I) Dépenses thématiques'!P247</f>
        <v>-4.9620936633971029</v>
      </c>
      <c r="G247" s="143">
        <f t="shared" si="27"/>
        <v>6.7499343912068026</v>
      </c>
      <c r="H247" s="128">
        <f t="shared" si="24"/>
        <v>0</v>
      </c>
      <c r="I247" s="152">
        <f t="shared" si="26"/>
        <v>0</v>
      </c>
      <c r="J247" s="43">
        <f t="shared" si="25"/>
        <v>6.7499343912068026</v>
      </c>
    </row>
    <row r="248" spans="1:10" x14ac:dyDescent="0.25">
      <c r="A248" s="61">
        <f>'A) Base RI'!A250</f>
        <v>5819</v>
      </c>
      <c r="B248" s="114" t="str">
        <f>'A) Base RI'!B250</f>
        <v>Henniez</v>
      </c>
      <c r="C248" s="125">
        <f>'B) D RI'!U250</f>
        <v>13106.979402985076</v>
      </c>
      <c r="D248" s="147">
        <f>'E) Fact soc'!G254/C248</f>
        <v>17.43745093378519</v>
      </c>
      <c r="E248" s="181">
        <f>'H) Péréquation directe'!I259/C248</f>
        <v>13.52133346660368</v>
      </c>
      <c r="F248" s="186">
        <f>'I) Dépenses thématiques'!P248</f>
        <v>-5.4742265698227879</v>
      </c>
      <c r="G248" s="143">
        <f t="shared" si="27"/>
        <v>25.484557830566082</v>
      </c>
      <c r="H248" s="128">
        <f t="shared" si="24"/>
        <v>0</v>
      </c>
      <c r="I248" s="152">
        <f t="shared" si="26"/>
        <v>0</v>
      </c>
      <c r="J248" s="43">
        <f t="shared" si="25"/>
        <v>25.484557830566082</v>
      </c>
    </row>
    <row r="249" spans="1:10" x14ac:dyDescent="0.25">
      <c r="A249" s="61">
        <f>'A) Base RI'!A251</f>
        <v>5821</v>
      </c>
      <c r="B249" s="114" t="str">
        <f>'A) Base RI'!B251</f>
        <v>Missy</v>
      </c>
      <c r="C249" s="125">
        <f>'B) D RI'!U251</f>
        <v>7313.8070833333331</v>
      </c>
      <c r="D249" s="147">
        <f>'E) Fact soc'!G255/C249</f>
        <v>22.165486276907338</v>
      </c>
      <c r="E249" s="181">
        <f>'H) Péréquation directe'!I260/C249</f>
        <v>-9.031217784256155</v>
      </c>
      <c r="F249" s="186">
        <f>'I) Dépenses thématiques'!P249</f>
        <v>-9.8453794667482537</v>
      </c>
      <c r="G249" s="143">
        <f t="shared" si="27"/>
        <v>3.2888890259029289</v>
      </c>
      <c r="H249" s="128">
        <f t="shared" si="24"/>
        <v>0</v>
      </c>
      <c r="I249" s="152">
        <f t="shared" si="26"/>
        <v>0</v>
      </c>
      <c r="J249" s="43">
        <f t="shared" si="25"/>
        <v>3.2888890259029289</v>
      </c>
    </row>
    <row r="250" spans="1:10" x14ac:dyDescent="0.25">
      <c r="A250" s="61">
        <f>'A) Base RI'!A252</f>
        <v>5822</v>
      </c>
      <c r="B250" s="114" t="str">
        <f>'A) Base RI'!B252</f>
        <v>Payerne</v>
      </c>
      <c r="C250" s="125">
        <f>'B) D RI'!U252</f>
        <v>224445.50853333328</v>
      </c>
      <c r="D250" s="147">
        <f>'E) Fact soc'!G256/C250</f>
        <v>18.576043875788631</v>
      </c>
      <c r="E250" s="181">
        <f>'H) Péréquation directe'!I261/C250</f>
        <v>-19.57505645973432</v>
      </c>
      <c r="F250" s="186">
        <f>'I) Dépenses thématiques'!P250</f>
        <v>-5.0931483627927925</v>
      </c>
      <c r="G250" s="143">
        <f t="shared" si="27"/>
        <v>-6.0921609467384812</v>
      </c>
      <c r="H250" s="128">
        <f t="shared" si="24"/>
        <v>0</v>
      </c>
      <c r="I250" s="152">
        <f t="shared" si="26"/>
        <v>0</v>
      </c>
      <c r="J250" s="43">
        <f t="shared" si="25"/>
        <v>-6.0921609467384812</v>
      </c>
    </row>
    <row r="251" spans="1:10" x14ac:dyDescent="0.25">
      <c r="A251" s="61">
        <f>'A) Base RI'!A253</f>
        <v>5827</v>
      </c>
      <c r="B251" s="114" t="str">
        <f>'A) Base RI'!B253</f>
        <v>Trey</v>
      </c>
      <c r="C251" s="125">
        <f>'B) D RI'!U253</f>
        <v>6544.3336250000011</v>
      </c>
      <c r="D251" s="147">
        <f>'E) Fact soc'!G257/C251</f>
        <v>19.498119172940296</v>
      </c>
      <c r="E251" s="181">
        <f>'H) Péréquation directe'!I262/C251</f>
        <v>-3.5432549892912375</v>
      </c>
      <c r="F251" s="186">
        <f>'I) Dépenses thématiques'!P251</f>
        <v>-7.0104900236367618</v>
      </c>
      <c r="G251" s="143">
        <f t="shared" si="27"/>
        <v>8.9443741600122948</v>
      </c>
      <c r="H251" s="128">
        <f t="shared" si="24"/>
        <v>0</v>
      </c>
      <c r="I251" s="152">
        <f t="shared" si="26"/>
        <v>0</v>
      </c>
      <c r="J251" s="43">
        <f t="shared" si="25"/>
        <v>8.9443741600122948</v>
      </c>
    </row>
    <row r="252" spans="1:10" x14ac:dyDescent="0.25">
      <c r="A252" s="61">
        <f>'A) Base RI'!A254</f>
        <v>5828</v>
      </c>
      <c r="B252" s="114" t="str">
        <f>'A) Base RI'!B254</f>
        <v>Treytorrens (Payerne)</v>
      </c>
      <c r="C252" s="125">
        <f>'B) D RI'!U254</f>
        <v>2136.5168650793653</v>
      </c>
      <c r="D252" s="147">
        <f>'E) Fact soc'!G258/C252</f>
        <v>19.338675260656732</v>
      </c>
      <c r="E252" s="181">
        <f>'H) Péréquation directe'!I263/C252</f>
        <v>-30.900816134500499</v>
      </c>
      <c r="F252" s="186">
        <f>'I) Dépenses thématiques'!P252</f>
        <v>-25.302752553766272</v>
      </c>
      <c r="G252" s="143">
        <f t="shared" si="27"/>
        <v>-36.864893427610042</v>
      </c>
      <c r="H252" s="128">
        <f t="shared" si="24"/>
        <v>0</v>
      </c>
      <c r="I252" s="152">
        <f t="shared" si="26"/>
        <v>0</v>
      </c>
      <c r="J252" s="43">
        <f t="shared" si="25"/>
        <v>-36.864893427610042</v>
      </c>
    </row>
    <row r="253" spans="1:10" x14ac:dyDescent="0.25">
      <c r="A253" s="61">
        <f>'A) Base RI'!A255</f>
        <v>5830</v>
      </c>
      <c r="B253" s="114" t="str">
        <f>'A) Base RI'!B255</f>
        <v>Villarzel</v>
      </c>
      <c r="C253" s="125">
        <f>'B) D RI'!U255</f>
        <v>10236.981518987341</v>
      </c>
      <c r="D253" s="147">
        <f>'E) Fact soc'!G259/C253</f>
        <v>17.06100414576072</v>
      </c>
      <c r="E253" s="181">
        <f>'H) Péréquation directe'!I264/C253</f>
        <v>-4.9677566765924412</v>
      </c>
      <c r="F253" s="186">
        <f>'I) Dépenses thématiques'!P253</f>
        <v>-10.356441280825926</v>
      </c>
      <c r="G253" s="143">
        <f t="shared" si="27"/>
        <v>1.7368061883423529</v>
      </c>
      <c r="H253" s="128">
        <f t="shared" si="24"/>
        <v>0</v>
      </c>
      <c r="I253" s="152">
        <f t="shared" si="26"/>
        <v>0</v>
      </c>
      <c r="J253" s="43">
        <f t="shared" si="25"/>
        <v>1.7368061883423529</v>
      </c>
    </row>
    <row r="254" spans="1:10" x14ac:dyDescent="0.25">
      <c r="A254" s="61">
        <f>'A) Base RI'!A256</f>
        <v>5831</v>
      </c>
      <c r="B254" s="114" t="str">
        <f>'A) Base RI'!B256</f>
        <v>Valbroye</v>
      </c>
      <c r="C254" s="125">
        <f>'B) D RI'!U256</f>
        <v>78037.716438356161</v>
      </c>
      <c r="D254" s="147">
        <f>'E) Fact soc'!G260/C254</f>
        <v>16.926766521828284</v>
      </c>
      <c r="E254" s="181">
        <f>'H) Péréquation directe'!I265/C254</f>
        <v>-5.631968605191684</v>
      </c>
      <c r="F254" s="186">
        <f>'I) Dépenses thématiques'!P254</f>
        <v>-7.9337680753509119</v>
      </c>
      <c r="G254" s="143">
        <f>SUM(D254:F254)</f>
        <v>3.3610298412856885</v>
      </c>
      <c r="H254" s="128">
        <f t="shared" si="24"/>
        <v>0</v>
      </c>
      <c r="I254" s="152">
        <f>H254*C254</f>
        <v>0</v>
      </c>
      <c r="J254" s="43">
        <f>G254+H254</f>
        <v>3.3610298412856885</v>
      </c>
    </row>
    <row r="255" spans="1:10" x14ac:dyDescent="0.25">
      <c r="A255" s="61">
        <f>'A) Base RI'!A257</f>
        <v>5841</v>
      </c>
      <c r="B255" s="114" t="str">
        <f>'A) Base RI'!B257</f>
        <v>Château-d'Oex</v>
      </c>
      <c r="C255" s="125">
        <f>'B) D RI'!U257</f>
        <v>107525.73574297188</v>
      </c>
      <c r="D255" s="147">
        <f>'E) Fact soc'!G261/C255</f>
        <v>21.062648935037402</v>
      </c>
      <c r="E255" s="181">
        <f>'H) Péréquation directe'!I266/C255</f>
        <v>-1.5441308734699966</v>
      </c>
      <c r="F255" s="186">
        <f>'I) Dépenses thématiques'!P255</f>
        <v>-16.41839199721716</v>
      </c>
      <c r="G255" s="143">
        <f>SUM(D255:F255)</f>
        <v>3.1001260643502455</v>
      </c>
      <c r="H255" s="128">
        <f t="shared" si="24"/>
        <v>0</v>
      </c>
      <c r="I255" s="152">
        <f>H255*C255</f>
        <v>0</v>
      </c>
      <c r="J255" s="43">
        <f>G255+H255</f>
        <v>3.1001260643502455</v>
      </c>
    </row>
    <row r="256" spans="1:10" x14ac:dyDescent="0.25">
      <c r="A256" s="61">
        <f>'A) Base RI'!A258</f>
        <v>5842</v>
      </c>
      <c r="B256" s="114" t="str">
        <f>'A) Base RI'!B258</f>
        <v>Rossinière</v>
      </c>
      <c r="C256" s="125">
        <f>'B) D RI'!U258</f>
        <v>16554.125349794238</v>
      </c>
      <c r="D256" s="147">
        <f>'E) Fact soc'!G262/C256</f>
        <v>17.520835741800148</v>
      </c>
      <c r="E256" s="181">
        <f>'H) Péréquation directe'!I267/C256</f>
        <v>2.0370266318856314</v>
      </c>
      <c r="F256" s="186">
        <f>'I) Dépenses thématiques'!P256</f>
        <v>-16.471343197647837</v>
      </c>
      <c r="G256" s="143">
        <f t="shared" si="27"/>
        <v>3.0865191760379425</v>
      </c>
      <c r="H256" s="128">
        <f t="shared" si="24"/>
        <v>0</v>
      </c>
      <c r="I256" s="152">
        <f t="shared" si="26"/>
        <v>0</v>
      </c>
      <c r="J256" s="43">
        <f t="shared" si="25"/>
        <v>3.0865191760379425</v>
      </c>
    </row>
    <row r="257" spans="1:10" x14ac:dyDescent="0.25">
      <c r="A257" s="61">
        <f>'A) Base RI'!A259</f>
        <v>5843</v>
      </c>
      <c r="B257" s="114" t="str">
        <f>'A) Base RI'!B259</f>
        <v>Rougemont</v>
      </c>
      <c r="C257" s="125">
        <f>'B) D RI'!U259</f>
        <v>92297.453816425128</v>
      </c>
      <c r="D257" s="147">
        <f>'E) Fact soc'!G263/C257</f>
        <v>40.044400647725084</v>
      </c>
      <c r="E257" s="181">
        <f>'H) Péréquation directe'!I268/C257</f>
        <v>14.974894957423214</v>
      </c>
      <c r="F257" s="186">
        <f>'I) Dépenses thématiques'!P257</f>
        <v>-10.613602895335868</v>
      </c>
      <c r="G257" s="143">
        <f t="shared" si="27"/>
        <v>44.405692709812435</v>
      </c>
      <c r="H257" s="128">
        <f t="shared" si="24"/>
        <v>0</v>
      </c>
      <c r="I257" s="152">
        <f t="shared" si="26"/>
        <v>0</v>
      </c>
      <c r="J257" s="43">
        <f t="shared" si="25"/>
        <v>44.405692709812435</v>
      </c>
    </row>
    <row r="258" spans="1:10" x14ac:dyDescent="0.25">
      <c r="A258" s="61">
        <f>'A) Base RI'!A260</f>
        <v>5851</v>
      </c>
      <c r="B258" s="114" t="str">
        <f>'A) Base RI'!B260</f>
        <v>Allaman</v>
      </c>
      <c r="C258" s="125">
        <f>'B) D RI'!U260</f>
        <v>26311.895293255133</v>
      </c>
      <c r="D258" s="147">
        <f>'E) Fact soc'!G264/C258</f>
        <v>9.8619592794248838</v>
      </c>
      <c r="E258" s="181">
        <f>'H) Péréquation directe'!I269/C258</f>
        <v>16.302106562527026</v>
      </c>
      <c r="F258" s="186">
        <f>'I) Dépenses thématiques'!P258</f>
        <v>0</v>
      </c>
      <c r="G258" s="143">
        <f t="shared" si="27"/>
        <v>26.16406584195191</v>
      </c>
      <c r="H258" s="128">
        <f t="shared" si="24"/>
        <v>0</v>
      </c>
      <c r="I258" s="152">
        <f t="shared" si="26"/>
        <v>0</v>
      </c>
      <c r="J258" s="43">
        <f t="shared" si="25"/>
        <v>26.16406584195191</v>
      </c>
    </row>
    <row r="259" spans="1:10" x14ac:dyDescent="0.25">
      <c r="A259" s="61">
        <f>'A) Base RI'!A261</f>
        <v>5852</v>
      </c>
      <c r="B259" s="114" t="str">
        <f>'A) Base RI'!B261</f>
        <v>Bursinel</v>
      </c>
      <c r="C259" s="125">
        <f>'B) D RI'!U261</f>
        <v>31632.546141732284</v>
      </c>
      <c r="D259" s="147">
        <f>'E) Fact soc'!G265/C259</f>
        <v>22.749197004077029</v>
      </c>
      <c r="E259" s="181">
        <f>'H) Péréquation directe'!I270/C259</f>
        <v>16.321892203198221</v>
      </c>
      <c r="F259" s="186">
        <f>'I) Dépenses thématiques'!P259</f>
        <v>-0.56295983975700548</v>
      </c>
      <c r="G259" s="143">
        <f t="shared" si="27"/>
        <v>38.508129367518244</v>
      </c>
      <c r="H259" s="128">
        <f t="shared" si="24"/>
        <v>0</v>
      </c>
      <c r="I259" s="152">
        <f t="shared" si="26"/>
        <v>0</v>
      </c>
      <c r="J259" s="43">
        <f t="shared" si="25"/>
        <v>38.508129367518244</v>
      </c>
    </row>
    <row r="260" spans="1:10" x14ac:dyDescent="0.25">
      <c r="A260" s="61">
        <f>'A) Base RI'!A262</f>
        <v>5853</v>
      </c>
      <c r="B260" s="114" t="str">
        <f>'A) Base RI'!B262</f>
        <v>Bursins</v>
      </c>
      <c r="C260" s="125">
        <f>'B) D RI'!U262</f>
        <v>37118.734366197183</v>
      </c>
      <c r="D260" s="147">
        <f>'E) Fact soc'!G266/C260</f>
        <v>19.557173946517949</v>
      </c>
      <c r="E260" s="181">
        <f>'H) Péréquation directe'!I271/C260</f>
        <v>16.529020126626719</v>
      </c>
      <c r="F260" s="186">
        <f>'I) Dépenses thématiques'!P260</f>
        <v>-4.3726755958818884E-2</v>
      </c>
      <c r="G260" s="143">
        <f t="shared" si="27"/>
        <v>36.042467317185846</v>
      </c>
      <c r="H260" s="128">
        <f t="shared" si="24"/>
        <v>0</v>
      </c>
      <c r="I260" s="152">
        <f t="shared" si="26"/>
        <v>0</v>
      </c>
      <c r="J260" s="43">
        <f t="shared" si="25"/>
        <v>36.042467317185846</v>
      </c>
    </row>
    <row r="261" spans="1:10" x14ac:dyDescent="0.25">
      <c r="A261" s="61">
        <f>'A) Base RI'!A263</f>
        <v>5854</v>
      </c>
      <c r="B261" s="114" t="str">
        <f>'A) Base RI'!B263</f>
        <v>Burtigny</v>
      </c>
      <c r="C261" s="125">
        <f>'B) D RI'!U263</f>
        <v>10244.164041666669</v>
      </c>
      <c r="D261" s="147">
        <f>'E) Fact soc'!G267/C261</f>
        <v>16.608471737071905</v>
      </c>
      <c r="E261" s="181">
        <f>'H) Péréquation directe'!I272/C261</f>
        <v>2.0787159010499896</v>
      </c>
      <c r="F261" s="186">
        <f>'I) Dépenses thématiques'!P261</f>
        <v>-2.3964117287516613</v>
      </c>
      <c r="G261" s="143">
        <f t="shared" si="27"/>
        <v>16.290775909370232</v>
      </c>
      <c r="H261" s="128">
        <f t="shared" ref="H261:H313" si="29">IF(G261&gt;H$4,H$4-G261,0)</f>
        <v>0</v>
      </c>
      <c r="I261" s="152">
        <f t="shared" si="26"/>
        <v>0</v>
      </c>
      <c r="J261" s="43">
        <f t="shared" ref="J261:J313" si="30">G261+H261</f>
        <v>16.290775909370232</v>
      </c>
    </row>
    <row r="262" spans="1:10" x14ac:dyDescent="0.25">
      <c r="A262" s="61">
        <f>'A) Base RI'!A264</f>
        <v>5855</v>
      </c>
      <c r="B262" s="114" t="str">
        <f>'A) Base RI'!B264</f>
        <v>Dully</v>
      </c>
      <c r="C262" s="125">
        <f>'B) D RI'!U264</f>
        <v>65353.176326530607</v>
      </c>
      <c r="D262" s="147">
        <f>'E) Fact soc'!G268/C262</f>
        <v>30.861679398116621</v>
      </c>
      <c r="E262" s="181">
        <f>'H) Péréquation directe'!I273/C262</f>
        <v>15.036503974445877</v>
      </c>
      <c r="F262" s="186">
        <f>'I) Dépenses thématiques'!P262</f>
        <v>0</v>
      </c>
      <c r="G262" s="143">
        <f t="shared" si="27"/>
        <v>45.898183372562499</v>
      </c>
      <c r="H262" s="128">
        <f t="shared" si="29"/>
        <v>0</v>
      </c>
      <c r="I262" s="152">
        <f t="shared" si="26"/>
        <v>0</v>
      </c>
      <c r="J262" s="43">
        <f t="shared" si="30"/>
        <v>45.898183372562499</v>
      </c>
    </row>
    <row r="263" spans="1:10" x14ac:dyDescent="0.25">
      <c r="A263" s="61">
        <f>'A) Base RI'!A265</f>
        <v>5856</v>
      </c>
      <c r="B263" s="114" t="str">
        <f>'A) Base RI'!B265</f>
        <v>Essertines-sur-Rolle</v>
      </c>
      <c r="C263" s="125">
        <f>'B) D RI'!U265</f>
        <v>28766.256402714938</v>
      </c>
      <c r="D263" s="147">
        <f>'E) Fact soc'!G269/C263</f>
        <v>16.182902916305061</v>
      </c>
      <c r="E263" s="181">
        <f>'H) Péréquation directe'!I274/C263</f>
        <v>14.837855665632317</v>
      </c>
      <c r="F263" s="186">
        <f>'I) Dépenses thématiques'!P263</f>
        <v>-1.9970674213913822</v>
      </c>
      <c r="G263" s="143">
        <f t="shared" si="27"/>
        <v>29.023691160545997</v>
      </c>
      <c r="H263" s="128">
        <f t="shared" si="29"/>
        <v>0</v>
      </c>
      <c r="I263" s="152">
        <f t="shared" si="26"/>
        <v>0</v>
      </c>
      <c r="J263" s="43">
        <f t="shared" si="30"/>
        <v>29.023691160545997</v>
      </c>
    </row>
    <row r="264" spans="1:10" x14ac:dyDescent="0.25">
      <c r="A264" s="61">
        <f>'A) Base RI'!A266</f>
        <v>5857</v>
      </c>
      <c r="B264" s="114" t="str">
        <f>'A) Base RI'!B266</f>
        <v>Gilly</v>
      </c>
      <c r="C264" s="125">
        <f>'B) D RI'!U266</f>
        <v>55694.918787878785</v>
      </c>
      <c r="D264" s="147">
        <f>'E) Fact soc'!G270/C264</f>
        <v>21.820096556172402</v>
      </c>
      <c r="E264" s="181">
        <f>'H) Péréquation directe'!I275/C264</f>
        <v>15.995523320417023</v>
      </c>
      <c r="F264" s="186">
        <f>'I) Dépenses thématiques'!P264</f>
        <v>0</v>
      </c>
      <c r="G264" s="143">
        <f t="shared" si="27"/>
        <v>37.815619876589423</v>
      </c>
      <c r="H264" s="128">
        <f t="shared" si="29"/>
        <v>0</v>
      </c>
      <c r="I264" s="152">
        <f t="shared" si="26"/>
        <v>0</v>
      </c>
      <c r="J264" s="43">
        <f t="shared" si="30"/>
        <v>37.815619876589423</v>
      </c>
    </row>
    <row r="265" spans="1:10" x14ac:dyDescent="0.25">
      <c r="A265" s="61">
        <f>'A) Base RI'!A267</f>
        <v>5858</v>
      </c>
      <c r="B265" s="114" t="str">
        <f>'A) Base RI'!B267</f>
        <v>Luins</v>
      </c>
      <c r="C265" s="125">
        <f>'B) D RI'!U267</f>
        <v>33594.571611111111</v>
      </c>
      <c r="D265" s="147">
        <f>'E) Fact soc'!G271/C265</f>
        <v>16.413451865255137</v>
      </c>
      <c r="E265" s="181">
        <f>'H) Péréquation directe'!I276/C265</f>
        <v>16.722631833436548</v>
      </c>
      <c r="F265" s="186">
        <f>'I) Dépenses thématiques'!P265</f>
        <v>0</v>
      </c>
      <c r="G265" s="143">
        <f t="shared" si="27"/>
        <v>33.136083698691685</v>
      </c>
      <c r="H265" s="128">
        <f t="shared" si="29"/>
        <v>0</v>
      </c>
      <c r="I265" s="152">
        <f t="shared" ref="I265:I313" si="31">H265*C265</f>
        <v>0</v>
      </c>
      <c r="J265" s="43">
        <f t="shared" si="30"/>
        <v>33.136083698691685</v>
      </c>
    </row>
    <row r="266" spans="1:10" x14ac:dyDescent="0.25">
      <c r="A266" s="61">
        <f>'A) Base RI'!A268</f>
        <v>5859</v>
      </c>
      <c r="B266" s="114" t="str">
        <f>'A) Base RI'!B268</f>
        <v>Mont-sur-Rolle</v>
      </c>
      <c r="C266" s="125">
        <f>'B) D RI'!U268</f>
        <v>147627.58999999997</v>
      </c>
      <c r="D266" s="147">
        <f>'E) Fact soc'!G272/C266</f>
        <v>18.260506960843102</v>
      </c>
      <c r="E266" s="181">
        <f>'H) Péréquation directe'!I277/C266</f>
        <v>13.993991109093459</v>
      </c>
      <c r="F266" s="186">
        <f>'I) Dépenses thématiques'!P266</f>
        <v>0</v>
      </c>
      <c r="G266" s="143">
        <f t="shared" ref="G266:G313" si="32">SUM(D266:F266)</f>
        <v>32.25449806993656</v>
      </c>
      <c r="H266" s="128">
        <f t="shared" si="29"/>
        <v>0</v>
      </c>
      <c r="I266" s="152">
        <f t="shared" si="31"/>
        <v>0</v>
      </c>
      <c r="J266" s="43">
        <f t="shared" si="30"/>
        <v>32.25449806993656</v>
      </c>
    </row>
    <row r="267" spans="1:10" x14ac:dyDescent="0.25">
      <c r="A267" s="61">
        <f>'A) Base RI'!A269</f>
        <v>5860</v>
      </c>
      <c r="B267" s="114" t="str">
        <f>'A) Base RI'!B269</f>
        <v>Perroy</v>
      </c>
      <c r="C267" s="125">
        <f>'B) D RI'!U269</f>
        <v>88241.731705128201</v>
      </c>
      <c r="D267" s="147">
        <f>'E) Fact soc'!G273/C267</f>
        <v>21.534476736068498</v>
      </c>
      <c r="E267" s="181">
        <f>'H) Péréquation directe'!I278/C267</f>
        <v>15.229377663114059</v>
      </c>
      <c r="F267" s="186">
        <f>'I) Dépenses thématiques'!P267</f>
        <v>0</v>
      </c>
      <c r="G267" s="143">
        <f t="shared" si="32"/>
        <v>36.763854399182556</v>
      </c>
      <c r="H267" s="128">
        <f t="shared" si="29"/>
        <v>0</v>
      </c>
      <c r="I267" s="152">
        <f t="shared" si="31"/>
        <v>0</v>
      </c>
      <c r="J267" s="43">
        <f t="shared" si="30"/>
        <v>36.763854399182556</v>
      </c>
    </row>
    <row r="268" spans="1:10" x14ac:dyDescent="0.25">
      <c r="A268" s="61">
        <f>'A) Base RI'!A270</f>
        <v>5861</v>
      </c>
      <c r="B268" s="114" t="str">
        <f>'A) Base RI'!B270</f>
        <v>Rolle</v>
      </c>
      <c r="C268" s="125">
        <f>'B) D RI'!U270</f>
        <v>549155.69747899158</v>
      </c>
      <c r="D268" s="147">
        <f>'E) Fact soc'!G274/C268</f>
        <v>26.26281014537598</v>
      </c>
      <c r="E268" s="181">
        <f>'H) Péréquation directe'!I279/C268</f>
        <v>12.171239469300929</v>
      </c>
      <c r="F268" s="186">
        <f>'I) Dépenses thématiques'!P268</f>
        <v>-0.16158038295060653</v>
      </c>
      <c r="G268" s="143">
        <f t="shared" si="32"/>
        <v>38.272469231726305</v>
      </c>
      <c r="H268" s="128">
        <f t="shared" si="29"/>
        <v>0</v>
      </c>
      <c r="I268" s="152">
        <f t="shared" si="31"/>
        <v>0</v>
      </c>
      <c r="J268" s="43">
        <f t="shared" si="30"/>
        <v>38.272469231726305</v>
      </c>
    </row>
    <row r="269" spans="1:10" x14ac:dyDescent="0.25">
      <c r="A269" s="61">
        <f>'A) Base RI'!A271</f>
        <v>5862</v>
      </c>
      <c r="B269" s="114" t="str">
        <f>'A) Base RI'!B271</f>
        <v>Tartegnin</v>
      </c>
      <c r="C269" s="125">
        <f>'B) D RI'!U271</f>
        <v>9990.8663492063497</v>
      </c>
      <c r="D269" s="147">
        <f>'E) Fact soc'!G275/C269</f>
        <v>16.996485781410133</v>
      </c>
      <c r="E269" s="181">
        <f>'H) Péréquation directe'!I280/C269</f>
        <v>15.88687768657376</v>
      </c>
      <c r="F269" s="186">
        <f>'I) Dépenses thématiques'!P269</f>
        <v>0</v>
      </c>
      <c r="G269" s="143">
        <f t="shared" si="32"/>
        <v>32.883363467983891</v>
      </c>
      <c r="H269" s="128">
        <f t="shared" si="29"/>
        <v>0</v>
      </c>
      <c r="I269" s="152">
        <f t="shared" si="31"/>
        <v>0</v>
      </c>
      <c r="J269" s="43">
        <f t="shared" si="30"/>
        <v>32.883363467983891</v>
      </c>
    </row>
    <row r="270" spans="1:10" x14ac:dyDescent="0.25">
      <c r="A270" s="61">
        <f>'A) Base RI'!A272</f>
        <v>5863</v>
      </c>
      <c r="B270" s="114" t="str">
        <f>'A) Base RI'!B272</f>
        <v>Vinzel</v>
      </c>
      <c r="C270" s="125">
        <f>'B) D RI'!U272</f>
        <v>25660.793857142853</v>
      </c>
      <c r="D270" s="147">
        <f>'E) Fact soc'!G276/C270</f>
        <v>22.595675870109641</v>
      </c>
      <c r="E270" s="181">
        <f>'H) Péréquation directe'!I281/C270</f>
        <v>16.029330051356215</v>
      </c>
      <c r="F270" s="186">
        <f>'I) Dépenses thématiques'!P270</f>
        <v>0</v>
      </c>
      <c r="G270" s="143">
        <f t="shared" si="32"/>
        <v>38.625005921465856</v>
      </c>
      <c r="H270" s="128">
        <f t="shared" si="29"/>
        <v>0</v>
      </c>
      <c r="I270" s="152">
        <f t="shared" si="31"/>
        <v>0</v>
      </c>
      <c r="J270" s="43">
        <f t="shared" si="30"/>
        <v>38.625005921465856</v>
      </c>
    </row>
    <row r="271" spans="1:10" x14ac:dyDescent="0.25">
      <c r="A271" s="61">
        <f>'A) Base RI'!A273</f>
        <v>5871</v>
      </c>
      <c r="B271" s="114" t="str">
        <f>'A) Base RI'!B273</f>
        <v>L'Abbaye</v>
      </c>
      <c r="C271" s="125">
        <f>'B) D RI'!U273</f>
        <v>49270.614706263776</v>
      </c>
      <c r="D271" s="147">
        <f>'E) Fact soc'!G277/C271</f>
        <v>20.736814412059186</v>
      </c>
      <c r="E271" s="181">
        <f>'H) Péréquation directe'!I282/C271</f>
        <v>7.1390314182673977</v>
      </c>
      <c r="F271" s="186">
        <f>'I) Dépenses thématiques'!P271</f>
        <v>-6.2660932078192539</v>
      </c>
      <c r="G271" s="143">
        <f t="shared" si="32"/>
        <v>21.60975262250733</v>
      </c>
      <c r="H271" s="128">
        <f t="shared" si="29"/>
        <v>0</v>
      </c>
      <c r="I271" s="152">
        <f t="shared" si="31"/>
        <v>0</v>
      </c>
      <c r="J271" s="43">
        <f t="shared" si="30"/>
        <v>21.60975262250733</v>
      </c>
    </row>
    <row r="272" spans="1:10" x14ac:dyDescent="0.25">
      <c r="A272" s="61">
        <f>'A) Base RI'!A274</f>
        <v>5872</v>
      </c>
      <c r="B272" s="114" t="str">
        <f>'A) Base RI'!B274</f>
        <v>Le Chenit</v>
      </c>
      <c r="C272" s="125">
        <f>'B) D RI'!U274</f>
        <v>312565.48082674423</v>
      </c>
      <c r="D272" s="147">
        <f>'E) Fact soc'!G278/C272</f>
        <v>24.771573445021275</v>
      </c>
      <c r="E272" s="181">
        <f>'H) Péréquation directe'!I283/C272</f>
        <v>12.649715799332649</v>
      </c>
      <c r="F272" s="186">
        <f>'I) Dépenses thématiques'!P272</f>
        <v>-4.092147728120195</v>
      </c>
      <c r="G272" s="143">
        <f t="shared" si="32"/>
        <v>33.329141516233726</v>
      </c>
      <c r="H272" s="128">
        <f t="shared" si="29"/>
        <v>0</v>
      </c>
      <c r="I272" s="152">
        <f t="shared" si="31"/>
        <v>0</v>
      </c>
      <c r="J272" s="43">
        <f t="shared" si="30"/>
        <v>33.329141516233726</v>
      </c>
    </row>
    <row r="273" spans="1:10" x14ac:dyDescent="0.25">
      <c r="A273" s="61">
        <f>'A) Base RI'!A275</f>
        <v>5873</v>
      </c>
      <c r="B273" s="114" t="str">
        <f>'A) Base RI'!B275</f>
        <v>Le Lieu</v>
      </c>
      <c r="C273" s="125">
        <f>'B) D RI'!U275</f>
        <v>35906.558461538458</v>
      </c>
      <c r="D273" s="147">
        <f>'E) Fact soc'!G279/C273</f>
        <v>25.043170553027441</v>
      </c>
      <c r="E273" s="181">
        <f>'H) Péréquation directe'!I284/C273</f>
        <v>15.298607092365851</v>
      </c>
      <c r="F273" s="186">
        <f>'I) Dépenses thématiques'!P273</f>
        <v>-20.918059326974014</v>
      </c>
      <c r="G273" s="143">
        <f t="shared" si="32"/>
        <v>19.423718318419279</v>
      </c>
      <c r="H273" s="128">
        <f t="shared" si="29"/>
        <v>0</v>
      </c>
      <c r="I273" s="152">
        <f t="shared" si="31"/>
        <v>0</v>
      </c>
      <c r="J273" s="43">
        <f t="shared" si="30"/>
        <v>19.423718318419279</v>
      </c>
    </row>
    <row r="274" spans="1:10" x14ac:dyDescent="0.25">
      <c r="A274" s="61">
        <f>'A) Base RI'!A276</f>
        <v>5881</v>
      </c>
      <c r="B274" s="114" t="str">
        <f>'A) Base RI'!B276</f>
        <v>Blonay</v>
      </c>
      <c r="C274" s="125">
        <f>'B) D RI'!U276</f>
        <v>350302.66257142869</v>
      </c>
      <c r="D274" s="147">
        <f>'E) Fact soc'!G280/C274</f>
        <v>19.277463906532301</v>
      </c>
      <c r="E274" s="181">
        <f>'H) Péréquation directe'!I285/C274</f>
        <v>11.383790380253096</v>
      </c>
      <c r="F274" s="186">
        <f>'I) Dépenses thématiques'!P274</f>
        <v>-2.2581085166759309</v>
      </c>
      <c r="G274" s="143">
        <f t="shared" si="32"/>
        <v>28.403145770109465</v>
      </c>
      <c r="H274" s="128">
        <f t="shared" si="29"/>
        <v>0</v>
      </c>
      <c r="I274" s="152">
        <f t="shared" si="31"/>
        <v>0</v>
      </c>
      <c r="J274" s="43">
        <f t="shared" si="30"/>
        <v>28.403145770109465</v>
      </c>
    </row>
    <row r="275" spans="1:10" x14ac:dyDescent="0.25">
      <c r="A275" s="61">
        <f>'A) Base RI'!A277</f>
        <v>5882</v>
      </c>
      <c r="B275" s="114" t="str">
        <f>'A) Base RI'!B277</f>
        <v>Chardonne</v>
      </c>
      <c r="C275" s="125">
        <f>'B) D RI'!U277</f>
        <v>162874.24803030302</v>
      </c>
      <c r="D275" s="147">
        <f>'E) Fact soc'!G281/C275</f>
        <v>20.647253153016571</v>
      </c>
      <c r="E275" s="181">
        <f>'H) Péréquation directe'!I286/C275</f>
        <v>13.818875731213591</v>
      </c>
      <c r="F275" s="186">
        <f>'I) Dépenses thématiques'!P275</f>
        <v>-1.8176802400290597</v>
      </c>
      <c r="G275" s="143">
        <f t="shared" si="32"/>
        <v>32.648448644201096</v>
      </c>
      <c r="H275" s="128">
        <f t="shared" si="29"/>
        <v>0</v>
      </c>
      <c r="I275" s="152">
        <f t="shared" si="31"/>
        <v>0</v>
      </c>
      <c r="J275" s="43">
        <f t="shared" si="30"/>
        <v>32.648448644201096</v>
      </c>
    </row>
    <row r="276" spans="1:10" x14ac:dyDescent="0.25">
      <c r="A276" s="61">
        <f>'A) Base RI'!A278</f>
        <v>5883</v>
      </c>
      <c r="B276" s="114" t="str">
        <f>'A) Base RI'!B278</f>
        <v>Corseaux</v>
      </c>
      <c r="C276" s="125">
        <f>'B) D RI'!U278</f>
        <v>144418.05406250001</v>
      </c>
      <c r="D276" s="147">
        <f>'E) Fact soc'!G282/C276</f>
        <v>22.910344242080996</v>
      </c>
      <c r="E276" s="181">
        <f>'H) Péréquation directe'!I287/C276</f>
        <v>14.307980515581812</v>
      </c>
      <c r="F276" s="186">
        <f>'I) Dépenses thématiques'!P276</f>
        <v>0</v>
      </c>
      <c r="G276" s="143">
        <f t="shared" si="32"/>
        <v>37.218324757662806</v>
      </c>
      <c r="H276" s="128">
        <f t="shared" si="29"/>
        <v>0</v>
      </c>
      <c r="I276" s="152">
        <f t="shared" si="31"/>
        <v>0</v>
      </c>
      <c r="J276" s="43">
        <f t="shared" si="30"/>
        <v>37.218324757662806</v>
      </c>
    </row>
    <row r="277" spans="1:10" x14ac:dyDescent="0.25">
      <c r="A277" s="61">
        <f>'A) Base RI'!A279</f>
        <v>5884</v>
      </c>
      <c r="B277" s="114" t="str">
        <f>'A) Base RI'!B279</f>
        <v>Corsier-sur-Vevey</v>
      </c>
      <c r="C277" s="125">
        <f>'B) D RI'!U279</f>
        <v>132379.93277777778</v>
      </c>
      <c r="D277" s="147">
        <f>'E) Fact soc'!G283/C277</f>
        <v>18.113717236756809</v>
      </c>
      <c r="E277" s="181">
        <f>'H) Péréquation directe'!I288/C277</f>
        <v>8.5590343489843388</v>
      </c>
      <c r="F277" s="186">
        <f>'I) Dépenses thématiques'!P277</f>
        <v>-5.1641375185409997</v>
      </c>
      <c r="G277" s="143">
        <f t="shared" si="32"/>
        <v>21.508614067200146</v>
      </c>
      <c r="H277" s="128">
        <f t="shared" si="29"/>
        <v>0</v>
      </c>
      <c r="I277" s="152">
        <f t="shared" si="31"/>
        <v>0</v>
      </c>
      <c r="J277" s="43">
        <f t="shared" si="30"/>
        <v>21.508614067200146</v>
      </c>
    </row>
    <row r="278" spans="1:10" x14ac:dyDescent="0.25">
      <c r="A278" s="61">
        <f>'A) Base RI'!A280</f>
        <v>5885</v>
      </c>
      <c r="B278" s="114" t="str">
        <f>'A) Base RI'!B280</f>
        <v>Jongny</v>
      </c>
      <c r="C278" s="125">
        <f>'B) D RI'!U280</f>
        <v>138055.78997584543</v>
      </c>
      <c r="D278" s="147">
        <f>'E) Fact soc'!G284/C278</f>
        <v>27.264167937866883</v>
      </c>
      <c r="E278" s="181">
        <f>'H) Péréquation directe'!I289/C278</f>
        <v>14.510378591074781</v>
      </c>
      <c r="F278" s="186">
        <f>'I) Dépenses thématiques'!P278</f>
        <v>0</v>
      </c>
      <c r="G278" s="143">
        <f t="shared" si="32"/>
        <v>41.774546528941663</v>
      </c>
      <c r="H278" s="128">
        <f t="shared" si="29"/>
        <v>0</v>
      </c>
      <c r="I278" s="152">
        <f t="shared" si="31"/>
        <v>0</v>
      </c>
      <c r="J278" s="43">
        <f t="shared" si="30"/>
        <v>41.774546528941663</v>
      </c>
    </row>
    <row r="279" spans="1:10" x14ac:dyDescent="0.25">
      <c r="A279" s="61">
        <f>'A) Base RI'!A281</f>
        <v>5886</v>
      </c>
      <c r="B279" s="114" t="str">
        <f>'A) Base RI'!B281</f>
        <v>Montreux</v>
      </c>
      <c r="C279" s="125">
        <f>'B) D RI'!U281</f>
        <v>1113145.3400000003</v>
      </c>
      <c r="D279" s="147">
        <f>'E) Fact soc'!G285/C279</f>
        <v>21.75792841273601</v>
      </c>
      <c r="E279" s="181">
        <f>'H) Péréquation directe'!I290/C279</f>
        <v>-1.3089392890134144</v>
      </c>
      <c r="F279" s="186">
        <f>'I) Dépenses thématiques'!P279</f>
        <v>-4.0962646921647519</v>
      </c>
      <c r="G279" s="143">
        <f t="shared" si="32"/>
        <v>16.352724431557846</v>
      </c>
      <c r="H279" s="128">
        <f t="shared" si="29"/>
        <v>0</v>
      </c>
      <c r="I279" s="152">
        <f t="shared" si="31"/>
        <v>0</v>
      </c>
      <c r="J279" s="43">
        <f t="shared" si="30"/>
        <v>16.352724431557846</v>
      </c>
    </row>
    <row r="280" spans="1:10" x14ac:dyDescent="0.25">
      <c r="A280" s="61">
        <f>'A) Base RI'!A282</f>
        <v>5888</v>
      </c>
      <c r="B280" s="114" t="str">
        <f>'A) Base RI'!B282</f>
        <v>Saint-Légier-La Chiésaz</v>
      </c>
      <c r="C280" s="125">
        <f>'B) D RI'!U282</f>
        <v>313348.84833333333</v>
      </c>
      <c r="D280" s="147">
        <f>'E) Fact soc'!G286/C280</f>
        <v>20.052638419125032</v>
      </c>
      <c r="E280" s="181">
        <f>'H) Péréquation directe'!I291/C280</f>
        <v>12.255266019535183</v>
      </c>
      <c r="F280" s="186">
        <f>'I) Dépenses thématiques'!P280</f>
        <v>-5.542098823556036</v>
      </c>
      <c r="G280" s="143">
        <f t="shared" si="32"/>
        <v>26.765805615104181</v>
      </c>
      <c r="H280" s="128">
        <f t="shared" si="29"/>
        <v>0</v>
      </c>
      <c r="I280" s="152">
        <f t="shared" si="31"/>
        <v>0</v>
      </c>
      <c r="J280" s="43">
        <f t="shared" si="30"/>
        <v>26.765805615104181</v>
      </c>
    </row>
    <row r="281" spans="1:10" x14ac:dyDescent="0.25">
      <c r="A281" s="61">
        <f>'A) Base RI'!A283</f>
        <v>5889</v>
      </c>
      <c r="B281" s="114" t="str">
        <f>'A) Base RI'!B283</f>
        <v>La Tour-de-Peilz</v>
      </c>
      <c r="C281" s="125">
        <f>'B) D RI'!U283</f>
        <v>590141.45856770838</v>
      </c>
      <c r="D281" s="147">
        <f>'E) Fact soc'!G287/C281</f>
        <v>17.354035579579122</v>
      </c>
      <c r="E281" s="181">
        <f>'H) Péréquation directe'!I292/C281</f>
        <v>8.0906056535692201</v>
      </c>
      <c r="F281" s="186">
        <f>'I) Dépenses thématiques'!P281</f>
        <v>0</v>
      </c>
      <c r="G281" s="143">
        <f t="shared" si="32"/>
        <v>25.444641233148342</v>
      </c>
      <c r="H281" s="128">
        <f t="shared" si="29"/>
        <v>0</v>
      </c>
      <c r="I281" s="152">
        <f t="shared" si="31"/>
        <v>0</v>
      </c>
      <c r="J281" s="43">
        <f t="shared" si="30"/>
        <v>25.444641233148342</v>
      </c>
    </row>
    <row r="282" spans="1:10" x14ac:dyDescent="0.25">
      <c r="A282" s="61">
        <f>'A) Base RI'!A284</f>
        <v>5890</v>
      </c>
      <c r="B282" s="114" t="str">
        <f>'A) Base RI'!B284</f>
        <v>Vevey</v>
      </c>
      <c r="C282" s="125">
        <f>'B) D RI'!U284</f>
        <v>922155.6933561645</v>
      </c>
      <c r="D282" s="147">
        <f>'E) Fact soc'!G288/C282</f>
        <v>18.066150668877409</v>
      </c>
      <c r="E282" s="181">
        <f>'H) Péréquation directe'!I293/C282</f>
        <v>3.3679022024999425</v>
      </c>
      <c r="F282" s="186">
        <f>'I) Dépenses thématiques'!P282</f>
        <v>-1.0309180470796429</v>
      </c>
      <c r="G282" s="143">
        <f t="shared" si="32"/>
        <v>20.403134824297709</v>
      </c>
      <c r="H282" s="128">
        <f t="shared" si="29"/>
        <v>0</v>
      </c>
      <c r="I282" s="152">
        <f t="shared" si="31"/>
        <v>0</v>
      </c>
      <c r="J282" s="43">
        <f t="shared" si="30"/>
        <v>20.403134824297709</v>
      </c>
    </row>
    <row r="283" spans="1:10" x14ac:dyDescent="0.25">
      <c r="A283" s="61">
        <f>'A) Base RI'!A285</f>
        <v>5891</v>
      </c>
      <c r="B283" s="114" t="str">
        <f>'A) Base RI'!B285</f>
        <v>Veytaux</v>
      </c>
      <c r="C283" s="125">
        <f>'B) D RI'!U285</f>
        <v>37259.444879227056</v>
      </c>
      <c r="D283" s="147">
        <f>'E) Fact soc'!G289/C283</f>
        <v>18.548314187701891</v>
      </c>
      <c r="E283" s="181">
        <f>'H) Péréquation directe'!I294/C283</f>
        <v>16.118158180019687</v>
      </c>
      <c r="F283" s="186">
        <f>'I) Dépenses thématiques'!P283</f>
        <v>-8.8764874158312423</v>
      </c>
      <c r="G283" s="143">
        <f t="shared" si="32"/>
        <v>25.789984951890339</v>
      </c>
      <c r="H283" s="128">
        <f t="shared" si="29"/>
        <v>0</v>
      </c>
      <c r="I283" s="152">
        <f t="shared" si="31"/>
        <v>0</v>
      </c>
      <c r="J283" s="43">
        <f t="shared" si="30"/>
        <v>25.789984951890339</v>
      </c>
    </row>
    <row r="284" spans="1:10" x14ac:dyDescent="0.25">
      <c r="A284" s="61">
        <f>'A) Base RI'!A286</f>
        <v>5902</v>
      </c>
      <c r="B284" s="114" t="str">
        <f>'A) Base RI'!B286</f>
        <v>Belmont-sur-Yverdon</v>
      </c>
      <c r="C284" s="125">
        <f>'B) D RI'!U286</f>
        <v>8642.2247368421067</v>
      </c>
      <c r="D284" s="147">
        <f>'E) Fact soc'!G290/C284</f>
        <v>22.081203559868595</v>
      </c>
      <c r="E284" s="181">
        <f>'H) Péréquation directe'!I295/C284</f>
        <v>-5.9108061417206521</v>
      </c>
      <c r="F284" s="186">
        <f>'I) Dépenses thématiques'!P284</f>
        <v>-18.067778653204229</v>
      </c>
      <c r="G284" s="143">
        <f t="shared" si="32"/>
        <v>-1.8973812350562866</v>
      </c>
      <c r="H284" s="128">
        <f t="shared" si="29"/>
        <v>0</v>
      </c>
      <c r="I284" s="152">
        <f t="shared" si="31"/>
        <v>0</v>
      </c>
      <c r="J284" s="43">
        <f t="shared" si="30"/>
        <v>-1.8973812350562866</v>
      </c>
    </row>
    <row r="285" spans="1:10" x14ac:dyDescent="0.25">
      <c r="A285" s="61">
        <f>'A) Base RI'!A287</f>
        <v>5903</v>
      </c>
      <c r="B285" s="114" t="str">
        <f>'A) Base RI'!B287</f>
        <v>Bioley-Magnoux</v>
      </c>
      <c r="C285" s="125">
        <f>'B) D RI'!U287</f>
        <v>6046.5271621621623</v>
      </c>
      <c r="D285" s="147">
        <f>'E) Fact soc'!G291/C285</f>
        <v>23.047545191861033</v>
      </c>
      <c r="E285" s="181">
        <f>'H) Péréquation directe'!I296/C285</f>
        <v>5.156066789438194</v>
      </c>
      <c r="F285" s="186">
        <f>'I) Dépenses thématiques'!P285</f>
        <v>-27.154088120225264</v>
      </c>
      <c r="G285" s="143">
        <f t="shared" si="32"/>
        <v>1.0495238610739612</v>
      </c>
      <c r="H285" s="128">
        <f t="shared" si="29"/>
        <v>0</v>
      </c>
      <c r="I285" s="152">
        <f t="shared" si="31"/>
        <v>0</v>
      </c>
      <c r="J285" s="43">
        <f t="shared" si="30"/>
        <v>1.0495238610739612</v>
      </c>
    </row>
    <row r="286" spans="1:10" x14ac:dyDescent="0.25">
      <c r="A286" s="61">
        <f>'A) Base RI'!A288</f>
        <v>5904</v>
      </c>
      <c r="B286" s="114" t="str">
        <f>'A) Base RI'!B288</f>
        <v>Chamblon</v>
      </c>
      <c r="C286" s="125">
        <f>'B) D RI'!U288</f>
        <v>20170.434545454544</v>
      </c>
      <c r="D286" s="147">
        <f>'E) Fact soc'!G292/C286</f>
        <v>19.275252845958853</v>
      </c>
      <c r="E286" s="181">
        <f>'H) Péréquation directe'!I297/C286</f>
        <v>11.614794222579901</v>
      </c>
      <c r="F286" s="186">
        <f>'I) Dépenses thématiques'!P286</f>
        <v>0</v>
      </c>
      <c r="G286" s="143">
        <f t="shared" si="32"/>
        <v>30.890047068538756</v>
      </c>
      <c r="H286" s="128">
        <f t="shared" si="29"/>
        <v>0</v>
      </c>
      <c r="I286" s="152">
        <f t="shared" si="31"/>
        <v>0</v>
      </c>
      <c r="J286" s="43">
        <f t="shared" si="30"/>
        <v>30.890047068538756</v>
      </c>
    </row>
    <row r="287" spans="1:10" x14ac:dyDescent="0.25">
      <c r="A287" s="61">
        <f>'A) Base RI'!A289</f>
        <v>5905</v>
      </c>
      <c r="B287" s="114" t="str">
        <f>'A) Base RI'!B289</f>
        <v>Champvent</v>
      </c>
      <c r="C287" s="125">
        <f>'B) D RI'!U289</f>
        <v>18220.765633802814</v>
      </c>
      <c r="D287" s="147">
        <f>'E) Fact soc'!G293/C287</f>
        <v>18.155738960494183</v>
      </c>
      <c r="E287" s="181">
        <f>'H) Péréquation directe'!I298/C287</f>
        <v>5.3520526696016111</v>
      </c>
      <c r="F287" s="186">
        <f>'I) Dépenses thématiques'!P287</f>
        <v>-4.9823069036032273</v>
      </c>
      <c r="G287" s="143">
        <f t="shared" si="32"/>
        <v>18.525484726492568</v>
      </c>
      <c r="H287" s="128">
        <f t="shared" si="29"/>
        <v>0</v>
      </c>
      <c r="I287" s="152">
        <f t="shared" si="31"/>
        <v>0</v>
      </c>
      <c r="J287" s="43">
        <f t="shared" si="30"/>
        <v>18.525484726492568</v>
      </c>
    </row>
    <row r="288" spans="1:10" x14ac:dyDescent="0.25">
      <c r="A288" s="61">
        <f>'A) Base RI'!A290</f>
        <v>5907</v>
      </c>
      <c r="B288" s="114" t="str">
        <f>'A) Base RI'!B290</f>
        <v>Chavannes-le-Chêne</v>
      </c>
      <c r="C288" s="125">
        <f>'B) D RI'!U290</f>
        <v>6951.74782051282</v>
      </c>
      <c r="D288" s="147">
        <f>'E) Fact soc'!G294/C288</f>
        <v>18.433881315762289</v>
      </c>
      <c r="E288" s="181">
        <f>'H) Péréquation directe'!I299/C288</f>
        <v>-3.835758992661519</v>
      </c>
      <c r="F288" s="186">
        <f>'I) Dépenses thématiques'!P288</f>
        <v>-12.775984412589716</v>
      </c>
      <c r="G288" s="143">
        <f t="shared" si="32"/>
        <v>1.8221379105110529</v>
      </c>
      <c r="H288" s="128">
        <f t="shared" si="29"/>
        <v>0</v>
      </c>
      <c r="I288" s="152">
        <f t="shared" si="31"/>
        <v>0</v>
      </c>
      <c r="J288" s="43">
        <f t="shared" si="30"/>
        <v>1.8221379105110529</v>
      </c>
    </row>
    <row r="289" spans="1:10" x14ac:dyDescent="0.25">
      <c r="A289" s="61">
        <f>'A) Base RI'!A291</f>
        <v>5908</v>
      </c>
      <c r="B289" s="114" t="str">
        <f>'A) Base RI'!B291</f>
        <v>Chêne-Pâquier</v>
      </c>
      <c r="C289" s="125">
        <f>'B) D RI'!U291</f>
        <v>2899.0017721518989</v>
      </c>
      <c r="D289" s="147">
        <f>'E) Fact soc'!G295/C289</f>
        <v>17.922531622320385</v>
      </c>
      <c r="E289" s="181">
        <f>'H) Péréquation directe'!I300/C289</f>
        <v>-8.0451025093657318</v>
      </c>
      <c r="F289" s="186">
        <f>'I) Dépenses thématiques'!P289</f>
        <v>-10.435256608162424</v>
      </c>
      <c r="G289" s="143">
        <f t="shared" si="32"/>
        <v>-0.55782749520777131</v>
      </c>
      <c r="H289" s="128">
        <f t="shared" si="29"/>
        <v>0</v>
      </c>
      <c r="I289" s="152">
        <f t="shared" si="31"/>
        <v>0</v>
      </c>
      <c r="J289" s="43">
        <f t="shared" si="30"/>
        <v>-0.55782749520777131</v>
      </c>
    </row>
    <row r="290" spans="1:10" x14ac:dyDescent="0.25">
      <c r="A290" s="61">
        <f>'A) Base RI'!A292</f>
        <v>5909</v>
      </c>
      <c r="B290" s="114" t="str">
        <f>'A) Base RI'!B292</f>
        <v>Cheseaux-Noréaz</v>
      </c>
      <c r="C290" s="125">
        <f>'B) D RI'!U292</f>
        <v>22661.846714285719</v>
      </c>
      <c r="D290" s="147">
        <f>'E) Fact soc'!G296/C290</f>
        <v>17.932374907020627</v>
      </c>
      <c r="E290" s="181">
        <f>'H) Péréquation directe'!I301/C290</f>
        <v>9.999536343291437</v>
      </c>
      <c r="F290" s="186">
        <f>'I) Dépenses thématiques'!P290</f>
        <v>-5.7329738728150419</v>
      </c>
      <c r="G290" s="143">
        <f t="shared" si="32"/>
        <v>22.198937377497021</v>
      </c>
      <c r="H290" s="128">
        <f t="shared" si="29"/>
        <v>0</v>
      </c>
      <c r="I290" s="152">
        <f t="shared" si="31"/>
        <v>0</v>
      </c>
      <c r="J290" s="43">
        <f t="shared" si="30"/>
        <v>22.198937377497021</v>
      </c>
    </row>
    <row r="291" spans="1:10" x14ac:dyDescent="0.25">
      <c r="A291" s="61">
        <f>'A) Base RI'!A293</f>
        <v>5910</v>
      </c>
      <c r="B291" s="114" t="str">
        <f>'A) Base RI'!B293</f>
        <v>Cronay</v>
      </c>
      <c r="C291" s="125">
        <f>'B) D RI'!U293</f>
        <v>10409.753209876544</v>
      </c>
      <c r="D291" s="147">
        <f>'E) Fact soc'!G297/C291</f>
        <v>20.478602409611284</v>
      </c>
      <c r="E291" s="181">
        <f>'H) Péréquation directe'!I302/C291</f>
        <v>0.99165145011928735</v>
      </c>
      <c r="F291" s="186">
        <f>'I) Dépenses thématiques'!P291</f>
        <v>-9.4506537622095692</v>
      </c>
      <c r="G291" s="143">
        <f t="shared" si="32"/>
        <v>12.019600097521003</v>
      </c>
      <c r="H291" s="128">
        <f t="shared" si="29"/>
        <v>0</v>
      </c>
      <c r="I291" s="152">
        <f t="shared" si="31"/>
        <v>0</v>
      </c>
      <c r="J291" s="43">
        <f t="shared" si="30"/>
        <v>12.019600097521003</v>
      </c>
    </row>
    <row r="292" spans="1:10" x14ac:dyDescent="0.25">
      <c r="A292" s="61">
        <f>'A) Base RI'!A294</f>
        <v>5911</v>
      </c>
      <c r="B292" s="114" t="str">
        <f>'A) Base RI'!B294</f>
        <v>Cuarny</v>
      </c>
      <c r="C292" s="125">
        <f>'B) D RI'!U294</f>
        <v>6783.6280246913584</v>
      </c>
      <c r="D292" s="147">
        <f>'E) Fact soc'!G298/C292</f>
        <v>15.575433090571405</v>
      </c>
      <c r="E292" s="181">
        <f>'H) Péréquation directe'!I303/C292</f>
        <v>4.8968858385284353</v>
      </c>
      <c r="F292" s="186">
        <f>'I) Dépenses thématiques'!P292</f>
        <v>-0.90945545804030914</v>
      </c>
      <c r="G292" s="143">
        <f t="shared" si="32"/>
        <v>19.562863471059533</v>
      </c>
      <c r="H292" s="128">
        <f t="shared" si="29"/>
        <v>0</v>
      </c>
      <c r="I292" s="152">
        <f t="shared" si="31"/>
        <v>0</v>
      </c>
      <c r="J292" s="43">
        <f t="shared" si="30"/>
        <v>19.562863471059533</v>
      </c>
    </row>
    <row r="293" spans="1:10" x14ac:dyDescent="0.25">
      <c r="A293" s="61">
        <f>'A) Base RI'!A295</f>
        <v>5912</v>
      </c>
      <c r="B293" s="114" t="str">
        <f>'A) Base RI'!B295</f>
        <v>Démoret</v>
      </c>
      <c r="C293" s="125">
        <f>'B) D RI'!U295</f>
        <v>3146.6025925925924</v>
      </c>
      <c r="D293" s="147">
        <f>'E) Fact soc'!G299/C293</f>
        <v>31.475764173819844</v>
      </c>
      <c r="E293" s="181">
        <f>'H) Péréquation directe'!I304/C293</f>
        <v>-4.158840540052605</v>
      </c>
      <c r="F293" s="186">
        <f>'I) Dépenses thématiques'!P293</f>
        <v>-8.6760784602747592</v>
      </c>
      <c r="G293" s="143">
        <f t="shared" si="32"/>
        <v>18.64084517349248</v>
      </c>
      <c r="H293" s="128">
        <f t="shared" si="29"/>
        <v>0</v>
      </c>
      <c r="I293" s="152">
        <f t="shared" si="31"/>
        <v>0</v>
      </c>
      <c r="J293" s="43">
        <f t="shared" si="30"/>
        <v>18.64084517349248</v>
      </c>
    </row>
    <row r="294" spans="1:10" x14ac:dyDescent="0.25">
      <c r="A294" s="61">
        <f>'A) Base RI'!A296</f>
        <v>5913</v>
      </c>
      <c r="B294" s="114" t="str">
        <f>'A) Base RI'!B296</f>
        <v>Donneloye</v>
      </c>
      <c r="C294" s="125">
        <f>'B) D RI'!U296</f>
        <v>23116.238767123283</v>
      </c>
      <c r="D294" s="147">
        <f>'E) Fact soc'!G300/C294</f>
        <v>18.278668041426915</v>
      </c>
      <c r="E294" s="181">
        <f>'H) Péréquation directe'!I305/C294</f>
        <v>5.5818541207225296</v>
      </c>
      <c r="F294" s="186">
        <f>'I) Dépenses thématiques'!P294</f>
        <v>-1.1755365514865361</v>
      </c>
      <c r="G294" s="143">
        <f t="shared" si="32"/>
        <v>22.684985610662906</v>
      </c>
      <c r="H294" s="128">
        <f t="shared" si="29"/>
        <v>0</v>
      </c>
      <c r="I294" s="152">
        <f t="shared" si="31"/>
        <v>0</v>
      </c>
      <c r="J294" s="43">
        <f t="shared" si="30"/>
        <v>22.684985610662906</v>
      </c>
    </row>
    <row r="295" spans="1:10" x14ac:dyDescent="0.25">
      <c r="A295" s="61">
        <f>'A) Base RI'!A297</f>
        <v>5914</v>
      </c>
      <c r="B295" s="114" t="str">
        <f>'A) Base RI'!B297</f>
        <v>Ependes</v>
      </c>
      <c r="C295" s="125">
        <f>'B) D RI'!U297</f>
        <v>8750.2923999999985</v>
      </c>
      <c r="D295" s="147">
        <f>'E) Fact soc'!G301/C295</f>
        <v>16.469370355652256</v>
      </c>
      <c r="E295" s="181">
        <f>'H) Péréquation directe'!I306/C295</f>
        <v>-1.8320494259627209</v>
      </c>
      <c r="F295" s="186">
        <f>'I) Dépenses thématiques'!P295</f>
        <v>-3.4064694321105806</v>
      </c>
      <c r="G295" s="143">
        <f t="shared" si="32"/>
        <v>11.230851497578954</v>
      </c>
      <c r="H295" s="128">
        <f t="shared" si="29"/>
        <v>0</v>
      </c>
      <c r="I295" s="152">
        <f t="shared" si="31"/>
        <v>0</v>
      </c>
      <c r="J295" s="43">
        <f t="shared" si="30"/>
        <v>11.230851497578954</v>
      </c>
    </row>
    <row r="296" spans="1:10" x14ac:dyDescent="0.25">
      <c r="A296" s="61">
        <f>'A) Base RI'!A298</f>
        <v>5919</v>
      </c>
      <c r="B296" s="114" t="str">
        <f>'A) Base RI'!B298</f>
        <v>Mathod</v>
      </c>
      <c r="C296" s="125">
        <f>'B) D RI'!U298</f>
        <v>16260.723851351351</v>
      </c>
      <c r="D296" s="147">
        <f>'E) Fact soc'!G302/C296</f>
        <v>15.904886045392891</v>
      </c>
      <c r="E296" s="181">
        <f>'H) Péréquation directe'!I307/C296</f>
        <v>2.5209648794451809</v>
      </c>
      <c r="F296" s="186">
        <f>'I) Dépenses thématiques'!P296</f>
        <v>-4.6909145371840442</v>
      </c>
      <c r="G296" s="143">
        <f t="shared" si="32"/>
        <v>13.734936387654029</v>
      </c>
      <c r="H296" s="128">
        <f t="shared" si="29"/>
        <v>0</v>
      </c>
      <c r="I296" s="152">
        <f t="shared" si="31"/>
        <v>0</v>
      </c>
      <c r="J296" s="43">
        <f t="shared" si="30"/>
        <v>13.734936387654029</v>
      </c>
    </row>
    <row r="297" spans="1:10" x14ac:dyDescent="0.25">
      <c r="A297" s="61">
        <f>'A) Base RI'!A299</f>
        <v>5921</v>
      </c>
      <c r="B297" s="114" t="str">
        <f>'A) Base RI'!B299</f>
        <v>Molondin</v>
      </c>
      <c r="C297" s="125">
        <f>'B) D RI'!U299</f>
        <v>4932.1140740740739</v>
      </c>
      <c r="D297" s="147">
        <f>'E) Fact soc'!G303/C297</f>
        <v>22.05552723310117</v>
      </c>
      <c r="E297" s="181">
        <f>'H) Péréquation directe'!I308/C297</f>
        <v>-12.063226130599913</v>
      </c>
      <c r="F297" s="186">
        <f>'I) Dépenses thématiques'!P297</f>
        <v>-11.20050902482617</v>
      </c>
      <c r="G297" s="143">
        <f t="shared" si="32"/>
        <v>-1.2082079223249131</v>
      </c>
      <c r="H297" s="128">
        <f t="shared" si="29"/>
        <v>0</v>
      </c>
      <c r="I297" s="152">
        <f t="shared" si="31"/>
        <v>0</v>
      </c>
      <c r="J297" s="43">
        <f t="shared" si="30"/>
        <v>-1.2082079223249131</v>
      </c>
    </row>
    <row r="298" spans="1:10" x14ac:dyDescent="0.25">
      <c r="A298" s="61">
        <f>'A) Base RI'!A300</f>
        <v>5922</v>
      </c>
      <c r="B298" s="114" t="str">
        <f>'A) Base RI'!B300</f>
        <v>Montagny-près-Yverdon</v>
      </c>
      <c r="C298" s="125">
        <f>'B) D RI'!U300</f>
        <v>54274.18045081968</v>
      </c>
      <c r="D298" s="147">
        <f>'E) Fact soc'!G304/C298</f>
        <v>23.082793917897469</v>
      </c>
      <c r="E298" s="181">
        <f>'H) Péréquation directe'!I309/C298</f>
        <v>15.927115495808865</v>
      </c>
      <c r="F298" s="186">
        <f>'I) Dépenses thématiques'!P298</f>
        <v>-1.1309452197250105</v>
      </c>
      <c r="G298" s="143">
        <f t="shared" si="32"/>
        <v>37.878964193981318</v>
      </c>
      <c r="H298" s="128">
        <f t="shared" si="29"/>
        <v>0</v>
      </c>
      <c r="I298" s="152">
        <f t="shared" si="31"/>
        <v>0</v>
      </c>
      <c r="J298" s="43">
        <f t="shared" si="30"/>
        <v>37.878964193981318</v>
      </c>
    </row>
    <row r="299" spans="1:10" x14ac:dyDescent="0.25">
      <c r="A299" s="61">
        <f>'A) Base RI'!A301</f>
        <v>5923</v>
      </c>
      <c r="B299" s="114" t="str">
        <f>'A) Base RI'!B301</f>
        <v>Oppens</v>
      </c>
      <c r="C299" s="125">
        <f>'B) D RI'!U301</f>
        <v>4902.1274074074072</v>
      </c>
      <c r="D299" s="147">
        <f>'E) Fact soc'!G305/C299</f>
        <v>21.049273254461003</v>
      </c>
      <c r="E299" s="181">
        <f>'H) Péréquation directe'!I310/C299</f>
        <v>-1.7063356495848359</v>
      </c>
      <c r="F299" s="186">
        <f>'I) Dépenses thématiques'!P299</f>
        <v>-6.9583600428728136</v>
      </c>
      <c r="G299" s="143">
        <f t="shared" si="32"/>
        <v>12.384577562003352</v>
      </c>
      <c r="H299" s="128">
        <f t="shared" si="29"/>
        <v>0</v>
      </c>
      <c r="I299" s="152">
        <f t="shared" si="31"/>
        <v>0</v>
      </c>
      <c r="J299" s="43">
        <f t="shared" si="30"/>
        <v>12.384577562003352</v>
      </c>
    </row>
    <row r="300" spans="1:10" x14ac:dyDescent="0.25">
      <c r="A300" s="61">
        <f>'A) Base RI'!A302</f>
        <v>5924</v>
      </c>
      <c r="B300" s="114" t="str">
        <f>'A) Base RI'!B302</f>
        <v>Orges</v>
      </c>
      <c r="C300" s="125">
        <f>'B) D RI'!U302</f>
        <v>9002.8555405405405</v>
      </c>
      <c r="D300" s="147">
        <f>'E) Fact soc'!G306/C300</f>
        <v>20.494607850505552</v>
      </c>
      <c r="E300" s="181">
        <f>'H) Péréquation directe'!I311/C300</f>
        <v>8.0117952137617134</v>
      </c>
      <c r="F300" s="186">
        <f>'I) Dépenses thématiques'!P300</f>
        <v>0</v>
      </c>
      <c r="G300" s="143">
        <f t="shared" si="32"/>
        <v>28.506403064267268</v>
      </c>
      <c r="H300" s="128">
        <f t="shared" si="29"/>
        <v>0</v>
      </c>
      <c r="I300" s="152">
        <f t="shared" si="31"/>
        <v>0</v>
      </c>
      <c r="J300" s="43">
        <f t="shared" si="30"/>
        <v>28.506403064267268</v>
      </c>
    </row>
    <row r="301" spans="1:10" x14ac:dyDescent="0.25">
      <c r="A301" s="61">
        <f>'A) Base RI'!A303</f>
        <v>5925</v>
      </c>
      <c r="B301" s="114" t="str">
        <f>'A) Base RI'!B303</f>
        <v>Orzens</v>
      </c>
      <c r="C301" s="125">
        <f>'B) D RI'!U303</f>
        <v>5053.7527848101263</v>
      </c>
      <c r="D301" s="147">
        <f>'E) Fact soc'!G307/C301</f>
        <v>16.350065125393431</v>
      </c>
      <c r="E301" s="181">
        <f>'H) Péréquation directe'!I312/C301</f>
        <v>-6.4137867836054001</v>
      </c>
      <c r="F301" s="186">
        <f>'I) Dépenses thématiques'!P301</f>
        <v>-2.1107955753466134</v>
      </c>
      <c r="G301" s="143">
        <f t="shared" si="32"/>
        <v>7.8254827664414188</v>
      </c>
      <c r="H301" s="128">
        <f t="shared" si="29"/>
        <v>0</v>
      </c>
      <c r="I301" s="152">
        <f t="shared" si="31"/>
        <v>0</v>
      </c>
      <c r="J301" s="43">
        <f t="shared" si="30"/>
        <v>7.8254827664414188</v>
      </c>
    </row>
    <row r="302" spans="1:10" x14ac:dyDescent="0.25">
      <c r="A302" s="61">
        <f>'A) Base RI'!A304</f>
        <v>5926</v>
      </c>
      <c r="B302" s="114" t="str">
        <f>'A) Base RI'!B304</f>
        <v>Pomy</v>
      </c>
      <c r="C302" s="125">
        <f>'B) D RI'!U304</f>
        <v>21029.126197183101</v>
      </c>
      <c r="D302" s="147">
        <f>'E) Fact soc'!G308/C302</f>
        <v>17.934897087580868</v>
      </c>
      <c r="E302" s="181">
        <f>'H) Péréquation directe'!I313/C302</f>
        <v>4.5153684496705342</v>
      </c>
      <c r="F302" s="186">
        <f>'I) Dépenses thématiques'!P302</f>
        <v>-13.237980939831873</v>
      </c>
      <c r="G302" s="143">
        <f t="shared" si="32"/>
        <v>9.2122845974195311</v>
      </c>
      <c r="H302" s="128">
        <f t="shared" si="29"/>
        <v>0</v>
      </c>
      <c r="I302" s="152">
        <f t="shared" si="31"/>
        <v>0</v>
      </c>
      <c r="J302" s="43">
        <f t="shared" si="30"/>
        <v>9.2122845974195311</v>
      </c>
    </row>
    <row r="303" spans="1:10" x14ac:dyDescent="0.25">
      <c r="A303" s="61">
        <f>'A) Base RI'!A305</f>
        <v>5928</v>
      </c>
      <c r="B303" s="114" t="str">
        <f>'A) Base RI'!B305</f>
        <v>Rovray</v>
      </c>
      <c r="C303" s="125">
        <f>'B) D RI'!U305</f>
        <v>4897.1457333333328</v>
      </c>
      <c r="D303" s="147">
        <f>'E) Fact soc'!G309/C303</f>
        <v>18.334070781641817</v>
      </c>
      <c r="E303" s="181">
        <f>'H) Péréquation directe'!I314/C303</f>
        <v>1.9531803011610707</v>
      </c>
      <c r="F303" s="186">
        <f>'I) Dépenses thématiques'!P303</f>
        <v>-1.3311290195341892</v>
      </c>
      <c r="G303" s="143">
        <f t="shared" si="32"/>
        <v>18.956122063268698</v>
      </c>
      <c r="H303" s="128">
        <f t="shared" si="29"/>
        <v>0</v>
      </c>
      <c r="I303" s="152">
        <f t="shared" si="31"/>
        <v>0</v>
      </c>
      <c r="J303" s="43">
        <f t="shared" si="30"/>
        <v>18.956122063268698</v>
      </c>
    </row>
    <row r="304" spans="1:10" x14ac:dyDescent="0.25">
      <c r="A304" s="61">
        <f>'A) Base RI'!A306</f>
        <v>5929</v>
      </c>
      <c r="B304" s="114" t="str">
        <f>'A) Base RI'!B306</f>
        <v>Suchy</v>
      </c>
      <c r="C304" s="125">
        <f>'B) D RI'!U306</f>
        <v>16083.913284313729</v>
      </c>
      <c r="D304" s="147">
        <f>'E) Fact soc'!G310/C304</f>
        <v>16.653924372392204</v>
      </c>
      <c r="E304" s="181">
        <f>'H) Péréquation directe'!I315/C304</f>
        <v>6.3190201704553566</v>
      </c>
      <c r="F304" s="186">
        <f>'I) Dépenses thématiques'!P304</f>
        <v>-0.9722300737716435</v>
      </c>
      <c r="G304" s="143">
        <f t="shared" si="32"/>
        <v>22.000714469075916</v>
      </c>
      <c r="H304" s="128">
        <f t="shared" si="29"/>
        <v>0</v>
      </c>
      <c r="I304" s="152">
        <f t="shared" si="31"/>
        <v>0</v>
      </c>
      <c r="J304" s="43">
        <f t="shared" si="30"/>
        <v>22.000714469075916</v>
      </c>
    </row>
    <row r="305" spans="1:13" x14ac:dyDescent="0.25">
      <c r="A305" s="61">
        <f>'A) Base RI'!A307</f>
        <v>5930</v>
      </c>
      <c r="B305" s="114" t="str">
        <f>'A) Base RI'!B307</f>
        <v>Suscévaz</v>
      </c>
      <c r="C305" s="125">
        <f>'B) D RI'!U307</f>
        <v>5208.083787878787</v>
      </c>
      <c r="D305" s="147">
        <f>'E) Fact soc'!G311/C305</f>
        <v>16.431602652288475</v>
      </c>
      <c r="E305" s="181">
        <f>'H) Péréquation directe'!I316/C305</f>
        <v>2.9444764647368356</v>
      </c>
      <c r="F305" s="186">
        <f>'I) Dépenses thématiques'!P305</f>
        <v>0</v>
      </c>
      <c r="G305" s="143">
        <f t="shared" si="32"/>
        <v>19.376079117025313</v>
      </c>
      <c r="H305" s="128">
        <f t="shared" si="29"/>
        <v>0</v>
      </c>
      <c r="I305" s="152">
        <f t="shared" si="31"/>
        <v>0</v>
      </c>
      <c r="J305" s="43">
        <f t="shared" si="30"/>
        <v>19.376079117025313</v>
      </c>
    </row>
    <row r="306" spans="1:13" x14ac:dyDescent="0.25">
      <c r="A306" s="61">
        <f>'A) Base RI'!A308</f>
        <v>5931</v>
      </c>
      <c r="B306" s="114" t="str">
        <f>'A) Base RI'!B308</f>
        <v>Treycovagnes</v>
      </c>
      <c r="C306" s="125">
        <f>'B) D RI'!U308</f>
        <v>13922.074155844155</v>
      </c>
      <c r="D306" s="147">
        <f>'E) Fact soc'!G312/C306</f>
        <v>18.510821170409713</v>
      </c>
      <c r="E306" s="181">
        <f>'H) Péréquation directe'!I317/C306</f>
        <v>4.3826302352912379</v>
      </c>
      <c r="F306" s="186">
        <f>'I) Dépenses thématiques'!P306</f>
        <v>0</v>
      </c>
      <c r="G306" s="143">
        <f t="shared" si="32"/>
        <v>22.893451405700951</v>
      </c>
      <c r="H306" s="128">
        <f t="shared" si="29"/>
        <v>0</v>
      </c>
      <c r="I306" s="152">
        <f>H306*C306</f>
        <v>0</v>
      </c>
      <c r="J306" s="43">
        <f t="shared" si="30"/>
        <v>22.893451405700951</v>
      </c>
    </row>
    <row r="307" spans="1:13" x14ac:dyDescent="0.25">
      <c r="A307" s="61">
        <f>'A) Base RI'!A309</f>
        <v>5932</v>
      </c>
      <c r="B307" s="114" t="str">
        <f>'A) Base RI'!B309</f>
        <v>Ursins</v>
      </c>
      <c r="C307" s="125">
        <f>'B) D RI'!U309</f>
        <v>5429.3069230769233</v>
      </c>
      <c r="D307" s="147">
        <f>'E) Fact soc'!G313/C307</f>
        <v>15.57612884172392</v>
      </c>
      <c r="E307" s="181">
        <f>'H) Péréquation directe'!I318/C307</f>
        <v>-1.6634296520645107</v>
      </c>
      <c r="F307" s="186">
        <f>'I) Dépenses thématiques'!P307</f>
        <v>-3.1556810867471738</v>
      </c>
      <c r="G307" s="143">
        <f t="shared" si="32"/>
        <v>10.757018102912236</v>
      </c>
      <c r="H307" s="128">
        <f t="shared" si="29"/>
        <v>0</v>
      </c>
      <c r="I307" s="152">
        <f t="shared" si="31"/>
        <v>0</v>
      </c>
      <c r="J307" s="43">
        <f t="shared" si="30"/>
        <v>10.757018102912236</v>
      </c>
    </row>
    <row r="308" spans="1:13" x14ac:dyDescent="0.25">
      <c r="A308" s="61">
        <f>'A) Base RI'!A310</f>
        <v>5933</v>
      </c>
      <c r="B308" s="114" t="str">
        <f>'A) Base RI'!B310</f>
        <v>Valeyres-sous-Montagny</v>
      </c>
      <c r="C308" s="125">
        <f>'B) D RI'!U310</f>
        <v>17165.971111111114</v>
      </c>
      <c r="D308" s="147">
        <f>'E) Fact soc'!G314/C308</f>
        <v>18.555260114268144</v>
      </c>
      <c r="E308" s="181">
        <f>'H) Péréquation directe'!I319/C308</f>
        <v>0.39099766200249897</v>
      </c>
      <c r="F308" s="186">
        <f>'I) Dépenses thématiques'!P308</f>
        <v>-9.5578715273437282</v>
      </c>
      <c r="G308" s="143">
        <f t="shared" si="32"/>
        <v>9.3883862489269134</v>
      </c>
      <c r="H308" s="128">
        <f t="shared" si="29"/>
        <v>0</v>
      </c>
      <c r="I308" s="152">
        <f t="shared" si="31"/>
        <v>0</v>
      </c>
      <c r="J308" s="43">
        <f t="shared" si="30"/>
        <v>9.3883862489269134</v>
      </c>
    </row>
    <row r="309" spans="1:13" x14ac:dyDescent="0.25">
      <c r="A309" s="61">
        <f>'A) Base RI'!A311</f>
        <v>5934</v>
      </c>
      <c r="B309" s="114" t="str">
        <f>'A) Base RI'!B311</f>
        <v>Valeyres-sous-Ursins</v>
      </c>
      <c r="C309" s="125">
        <f>'B) D RI'!U311</f>
        <v>6602.430506329114</v>
      </c>
      <c r="D309" s="147">
        <f>'E) Fact soc'!G315/C309</f>
        <v>18.847518318742999</v>
      </c>
      <c r="E309" s="181">
        <f>'H) Péréquation directe'!I320/C309</f>
        <v>-0.87288068193315194</v>
      </c>
      <c r="F309" s="186">
        <f>'I) Dépenses thématiques'!P309</f>
        <v>-1.0194879602545688</v>
      </c>
      <c r="G309" s="143">
        <f t="shared" si="32"/>
        <v>16.95514967655528</v>
      </c>
      <c r="H309" s="128">
        <f t="shared" si="29"/>
        <v>0</v>
      </c>
      <c r="I309" s="152">
        <f t="shared" si="31"/>
        <v>0</v>
      </c>
      <c r="J309" s="43">
        <f t="shared" si="30"/>
        <v>16.95514967655528</v>
      </c>
    </row>
    <row r="310" spans="1:13" x14ac:dyDescent="0.25">
      <c r="A310" s="61">
        <f>'A) Base RI'!A312</f>
        <v>5935</v>
      </c>
      <c r="B310" s="114" t="str">
        <f>'A) Base RI'!B312</f>
        <v>Villars-Epeney</v>
      </c>
      <c r="C310" s="125">
        <f>'B) D RI'!U312</f>
        <v>6478.5808333333343</v>
      </c>
      <c r="D310" s="147">
        <f>'E) Fact soc'!G316/C310</f>
        <v>20.266104409587147</v>
      </c>
      <c r="E310" s="181">
        <f>'H) Péréquation directe'!I321/C310</f>
        <v>16.093593720058692</v>
      </c>
      <c r="F310" s="186">
        <f>'I) Dépenses thématiques'!P310</f>
        <v>-6.8200784905575613</v>
      </c>
      <c r="G310" s="143">
        <f t="shared" si="32"/>
        <v>29.539619639088272</v>
      </c>
      <c r="H310" s="128">
        <f>IF(G310&gt;H$4,H$4-G310,0)</f>
        <v>0</v>
      </c>
      <c r="I310" s="152">
        <f t="shared" si="31"/>
        <v>0</v>
      </c>
      <c r="J310" s="43">
        <f t="shared" si="30"/>
        <v>29.539619639088272</v>
      </c>
    </row>
    <row r="311" spans="1:13" x14ac:dyDescent="0.25">
      <c r="A311" s="61">
        <f>'A) Base RI'!A313</f>
        <v>5937</v>
      </c>
      <c r="B311" s="114" t="str">
        <f>'A) Base RI'!B313</f>
        <v>Vugelles-La Mothe</v>
      </c>
      <c r="C311" s="125">
        <f>'B) D RI'!U313</f>
        <v>2128.9780612244899</v>
      </c>
      <c r="D311" s="147">
        <f>'E) Fact soc'!G317/C311</f>
        <v>15.524464788839422</v>
      </c>
      <c r="E311" s="181">
        <f>'H) Péréquation directe'!I322/C311</f>
        <v>-22.682111313865263</v>
      </c>
      <c r="F311" s="186">
        <f>'I) Dépenses thématiques'!P311</f>
        <v>-19.97804241436398</v>
      </c>
      <c r="G311" s="143">
        <f t="shared" si="32"/>
        <v>-27.135688939389823</v>
      </c>
      <c r="H311" s="128">
        <f>IF(G311&gt;H$4,H$4-G311,0)</f>
        <v>0</v>
      </c>
      <c r="I311" s="152">
        <f>H311*C311</f>
        <v>0</v>
      </c>
      <c r="J311" s="43">
        <f t="shared" si="30"/>
        <v>-27.135688939389823</v>
      </c>
    </row>
    <row r="312" spans="1:13" x14ac:dyDescent="0.25">
      <c r="A312" s="61">
        <f>'A) Base RI'!A314</f>
        <v>5938</v>
      </c>
      <c r="B312" s="114" t="str">
        <f>'A) Base RI'!B314</f>
        <v>Yverdon-les-Bains</v>
      </c>
      <c r="C312" s="125">
        <f>'B) D RI'!U314</f>
        <v>771340.02758169943</v>
      </c>
      <c r="D312" s="147">
        <f>'E) Fact soc'!G318/C312</f>
        <v>19.31306565940746</v>
      </c>
      <c r="E312" s="181">
        <f>'H) Péréquation directe'!I323/C312</f>
        <v>-28.922150532961822</v>
      </c>
      <c r="F312" s="186">
        <f>'I) Dépenses thématiques'!P312</f>
        <v>-8.948236080499667</v>
      </c>
      <c r="G312" s="143">
        <f t="shared" si="32"/>
        <v>-18.557320954054028</v>
      </c>
      <c r="H312" s="128">
        <f t="shared" si="29"/>
        <v>0</v>
      </c>
      <c r="I312" s="152">
        <f t="shared" si="31"/>
        <v>0</v>
      </c>
      <c r="J312" s="43">
        <f t="shared" si="30"/>
        <v>-18.557320954054028</v>
      </c>
    </row>
    <row r="313" spans="1:13" x14ac:dyDescent="0.25">
      <c r="A313" s="63">
        <f>'A) Base RI'!A315</f>
        <v>5939</v>
      </c>
      <c r="B313" s="115" t="str">
        <f>'A) Base RI'!B315</f>
        <v>Yvonand</v>
      </c>
      <c r="C313" s="126">
        <f>'B) D RI'!U315</f>
        <v>88221.551917808203</v>
      </c>
      <c r="D313" s="382">
        <f>'E) Fact soc'!G319/C313</f>
        <v>18.686743891114951</v>
      </c>
      <c r="E313" s="181">
        <f>'H) Péréquation directe'!I324/C313</f>
        <v>-3.4333473390104077</v>
      </c>
      <c r="F313" s="187">
        <f>'I) Dépenses thématiques'!P313</f>
        <v>-2.5979272825499424</v>
      </c>
      <c r="G313" s="145">
        <f t="shared" si="32"/>
        <v>12.655469269554601</v>
      </c>
      <c r="H313" s="129">
        <f t="shared" si="29"/>
        <v>0</v>
      </c>
      <c r="I313" s="153">
        <f t="shared" si="31"/>
        <v>0</v>
      </c>
      <c r="J313" s="118">
        <f t="shared" si="30"/>
        <v>12.655469269554601</v>
      </c>
    </row>
    <row r="314" spans="1:13" x14ac:dyDescent="0.25">
      <c r="A314" s="40"/>
      <c r="B314" s="158">
        <f>COUNTA(B5:B313)</f>
        <v>309</v>
      </c>
      <c r="C314" s="126">
        <f>SUM(C5:C313)</f>
        <v>34873950.283385321</v>
      </c>
      <c r="D314" s="182">
        <f>'E) Fact soc'!G320/C314</f>
        <v>21.077993574768726</v>
      </c>
      <c r="E314" s="146">
        <f>'H) Péréquation directe'!I325/C314</f>
        <v>3.8042201949306027</v>
      </c>
      <c r="F314" s="146">
        <f>'I) Dépenses thématiques'!P314</f>
        <v>-4.0000000000000018</v>
      </c>
      <c r="G314" s="184">
        <f>SUM(D314:F314)</f>
        <v>20.882213769699327</v>
      </c>
      <c r="H314" s="188"/>
      <c r="I314" s="47">
        <f>SUM(I5:I313)</f>
        <v>0</v>
      </c>
      <c r="J314" s="26">
        <f>G314+H314</f>
        <v>20.882213769699327</v>
      </c>
      <c r="L314" s="17"/>
      <c r="M314" s="17"/>
    </row>
  </sheetData>
  <sheetProtection password="CBF3" sheet="1" objects="1" scenarios="1"/>
  <mergeCells count="9">
    <mergeCell ref="C3:C4"/>
    <mergeCell ref="B3:B4"/>
    <mergeCell ref="A3:A4"/>
    <mergeCell ref="J3:J4"/>
    <mergeCell ref="I3:I4"/>
    <mergeCell ref="G3:G4"/>
    <mergeCell ref="F3:F4"/>
    <mergeCell ref="E3:E4"/>
    <mergeCell ref="D3:D4"/>
  </mergeCells>
  <phoneticPr fontId="0" type="noConversion"/>
  <printOptions horizontalCentered="1"/>
  <pageMargins left="0" right="0" top="0" bottom="0" header="0.51181102362204722" footer="0.51181102362204722"/>
  <pageSetup paperSize="9" scale="64" orientation="portrait" horizontalDpi="4294967292" verticalDpi="4294967292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tabColor rgb="FF00B050"/>
  </sheetPr>
  <dimension ref="A1:Y316"/>
  <sheetViews>
    <sheetView workbookViewId="0">
      <selection activeCell="Q37" sqref="Q37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4" width="9.25" style="18" customWidth="1"/>
    <col min="5" max="5" width="11.625" style="18" customWidth="1"/>
    <col min="6" max="6" width="11" style="18" customWidth="1"/>
    <col min="7" max="7" width="10.375" style="18" customWidth="1"/>
    <col min="8" max="8" width="12.25" style="18" customWidth="1"/>
    <col min="9" max="9" width="10" style="18" customWidth="1"/>
    <col min="10" max="10" width="12.875" style="18" customWidth="1"/>
    <col min="11" max="14" width="12.125" style="18" customWidth="1"/>
    <col min="15" max="17" width="8.125" style="18" customWidth="1"/>
    <col min="18" max="16384" width="10.75" style="18"/>
  </cols>
  <sheetData>
    <row r="1" spans="1:25" s="54" customFormat="1" ht="20.25" customHeight="1" x14ac:dyDescent="0.25">
      <c r="A1" s="65" t="s">
        <v>4</v>
      </c>
      <c r="B1" s="53"/>
      <c r="C1" s="92"/>
      <c r="D1" s="92"/>
      <c r="E1" s="92"/>
      <c r="F1" s="92"/>
      <c r="G1" s="92"/>
      <c r="H1" s="92"/>
      <c r="I1" s="92"/>
      <c r="J1" s="92"/>
      <c r="L1" s="77"/>
      <c r="N1" s="18"/>
      <c r="O1" s="18"/>
      <c r="P1" s="18"/>
      <c r="Q1" s="18"/>
      <c r="R1" s="18"/>
      <c r="Y1" s="18"/>
    </row>
    <row r="3" spans="1:25" ht="45" customHeight="1" x14ac:dyDescent="0.25">
      <c r="A3" s="424" t="s">
        <v>50</v>
      </c>
      <c r="B3" s="424" t="s">
        <v>119</v>
      </c>
      <c r="C3" s="424" t="s">
        <v>405</v>
      </c>
      <c r="D3" s="424" t="s">
        <v>116</v>
      </c>
      <c r="E3" s="424" t="s">
        <v>362</v>
      </c>
      <c r="F3" s="424" t="s">
        <v>403</v>
      </c>
      <c r="G3" s="424" t="s">
        <v>404</v>
      </c>
      <c r="H3" s="424" t="s">
        <v>445</v>
      </c>
      <c r="I3" s="149" t="s">
        <v>174</v>
      </c>
      <c r="J3" s="424" t="s">
        <v>509</v>
      </c>
    </row>
    <row r="4" spans="1:25" x14ac:dyDescent="0.25">
      <c r="A4" s="425"/>
      <c r="B4" s="425"/>
      <c r="C4" s="425"/>
      <c r="D4" s="425"/>
      <c r="E4" s="426"/>
      <c r="F4" s="426"/>
      <c r="G4" s="426"/>
      <c r="H4" s="426"/>
      <c r="I4" s="192">
        <f>Paramètres!B48</f>
        <v>-6.5</v>
      </c>
      <c r="J4" s="426"/>
    </row>
    <row r="5" spans="1:25" x14ac:dyDescent="0.25">
      <c r="A5" s="57">
        <f>'A) Base RI'!A7</f>
        <v>5401</v>
      </c>
      <c r="B5" s="113" t="str">
        <f>'A) Base RI'!B7</f>
        <v>Aigle</v>
      </c>
      <c r="C5" s="124">
        <f>'B) D RI'!U7</f>
        <v>260845.44622222218</v>
      </c>
      <c r="D5" s="381">
        <f>'E) Fact soc'!G11/C5</f>
        <v>18.794388904261204</v>
      </c>
      <c r="E5" s="181">
        <f>'H) Péréquation directe'!I16/C5</f>
        <v>-11.557003340900902</v>
      </c>
      <c r="F5" s="183">
        <f>'I) Dépenses thématiques'!P5</f>
        <v>-8.2836196820013832</v>
      </c>
      <c r="G5" s="141">
        <f>SUM(D5:F5)</f>
        <v>-1.0462341186410811</v>
      </c>
      <c r="H5" s="180">
        <f>G5-F5</f>
        <v>7.2373855633603021</v>
      </c>
      <c r="I5" s="183">
        <f>IF(H5&lt;I$4,H5-I$4,0)</f>
        <v>0</v>
      </c>
      <c r="J5" s="132">
        <f t="shared" ref="J5:J60" si="0">-I5*C5</f>
        <v>0</v>
      </c>
      <c r="K5" s="46"/>
    </row>
    <row r="6" spans="1:25" x14ac:dyDescent="0.25">
      <c r="A6" s="61">
        <f>'A) Base RI'!A8</f>
        <v>5402</v>
      </c>
      <c r="B6" s="114" t="str">
        <f>'A) Base RI'!B8</f>
        <v>Bex</v>
      </c>
      <c r="C6" s="125">
        <f>'B) D RI'!U8</f>
        <v>175890.90239436619</v>
      </c>
      <c r="D6" s="147">
        <f>'E) Fact soc'!G12/C6</f>
        <v>20.749586654093083</v>
      </c>
      <c r="E6" s="181">
        <f>'H) Péréquation directe'!I17/C6</f>
        <v>-15.408586841196977</v>
      </c>
      <c r="F6" s="186">
        <f>'I) Dépenses thématiques'!P6</f>
        <v>-10.422147665396459</v>
      </c>
      <c r="G6" s="143">
        <f t="shared" ref="G6:G61" si="1">SUM(D6:F6)</f>
        <v>-5.0811478525003526</v>
      </c>
      <c r="H6" s="181">
        <f t="shared" ref="H6:H61" si="2">G6-F6</f>
        <v>5.340999812896106</v>
      </c>
      <c r="I6" s="186">
        <f t="shared" ref="I6:I61" si="3">IF(H6&lt;I$4,H6-I$4,0)</f>
        <v>0</v>
      </c>
      <c r="J6" s="74">
        <f t="shared" si="0"/>
        <v>0</v>
      </c>
      <c r="K6" s="46"/>
    </row>
    <row r="7" spans="1:25" x14ac:dyDescent="0.25">
      <c r="A7" s="61">
        <f>'A) Base RI'!A9</f>
        <v>5403</v>
      </c>
      <c r="B7" s="114" t="str">
        <f>'A) Base RI'!B9</f>
        <v>Chessel</v>
      </c>
      <c r="C7" s="125">
        <f>'B) D RI'!U9</f>
        <v>8284.5784210526326</v>
      </c>
      <c r="D7" s="147">
        <f>'E) Fact soc'!G13/C7</f>
        <v>17.362733947026111</v>
      </c>
      <c r="E7" s="181">
        <f>'H) Péréquation directe'!I18/C7</f>
        <v>-11.583077086112468</v>
      </c>
      <c r="F7" s="186">
        <f>'I) Dépenses thématiques'!P7</f>
        <v>-5.2811193059001242</v>
      </c>
      <c r="G7" s="143">
        <f t="shared" si="1"/>
        <v>0.49853755501351937</v>
      </c>
      <c r="H7" s="181">
        <f t="shared" si="2"/>
        <v>5.7796568609136436</v>
      </c>
      <c r="I7" s="186">
        <f t="shared" si="3"/>
        <v>0</v>
      </c>
      <c r="J7" s="74">
        <f t="shared" si="0"/>
        <v>0</v>
      </c>
      <c r="K7" s="46"/>
    </row>
    <row r="8" spans="1:25" x14ac:dyDescent="0.25">
      <c r="A8" s="61">
        <f>'A) Base RI'!A10</f>
        <v>5404</v>
      </c>
      <c r="B8" s="114" t="str">
        <f>'A) Base RI'!B10</f>
        <v>Corbeyrier</v>
      </c>
      <c r="C8" s="125">
        <f>'B) D RI'!U10</f>
        <v>9966.1885714285709</v>
      </c>
      <c r="D8" s="147">
        <f>'E) Fact soc'!G14/C8</f>
        <v>20.298751333688493</v>
      </c>
      <c r="E8" s="181">
        <f>'H) Péréquation directe'!I19/C8</f>
        <v>-3.5544885613260058</v>
      </c>
      <c r="F8" s="186">
        <f>'I) Dépenses thématiques'!P8</f>
        <v>-21.204848152500201</v>
      </c>
      <c r="G8" s="143">
        <f t="shared" si="1"/>
        <v>-4.4605853801377151</v>
      </c>
      <c r="H8" s="181">
        <f t="shared" si="2"/>
        <v>16.744262772362486</v>
      </c>
      <c r="I8" s="186">
        <f t="shared" si="3"/>
        <v>0</v>
      </c>
      <c r="J8" s="74">
        <f t="shared" si="0"/>
        <v>0</v>
      </c>
      <c r="K8" s="46"/>
    </row>
    <row r="9" spans="1:25" x14ac:dyDescent="0.25">
      <c r="A9" s="61">
        <f>'A) Base RI'!A11</f>
        <v>5405</v>
      </c>
      <c r="B9" s="114" t="str">
        <f>'A) Base RI'!B11</f>
        <v>Gryon</v>
      </c>
      <c r="C9" s="125">
        <f>'B) D RI'!U11</f>
        <v>72189.140533333324</v>
      </c>
      <c r="D9" s="147">
        <f>'E) Fact soc'!G15/C9</f>
        <v>21.307052778500257</v>
      </c>
      <c r="E9" s="181">
        <f>'H) Péréquation directe'!I20/C9</f>
        <v>15.751090338701339</v>
      </c>
      <c r="F9" s="186">
        <f>'I) Dépenses thématiques'!P9</f>
        <v>-7.1552481700198465</v>
      </c>
      <c r="G9" s="143">
        <f t="shared" si="1"/>
        <v>29.90289494718175</v>
      </c>
      <c r="H9" s="181">
        <f t="shared" si="2"/>
        <v>37.058143117201595</v>
      </c>
      <c r="I9" s="186">
        <f t="shared" si="3"/>
        <v>0</v>
      </c>
      <c r="J9" s="74">
        <f t="shared" si="0"/>
        <v>0</v>
      </c>
      <c r="K9" s="46"/>
    </row>
    <row r="10" spans="1:25" x14ac:dyDescent="0.25">
      <c r="A10" s="61">
        <f>'A) Base RI'!A12</f>
        <v>5406</v>
      </c>
      <c r="B10" s="114" t="str">
        <f>'A) Base RI'!B12</f>
        <v>Lavey-Morcles</v>
      </c>
      <c r="C10" s="125">
        <f>'B) D RI'!U12</f>
        <v>19831.448851570964</v>
      </c>
      <c r="D10" s="147">
        <f>'E) Fact soc'!G16/C10</f>
        <v>17.645922243354516</v>
      </c>
      <c r="E10" s="181">
        <f>'H) Péréquation directe'!I21/C10</f>
        <v>-6.3171435037988148</v>
      </c>
      <c r="F10" s="186">
        <f>'I) Dépenses thématiques'!P10</f>
        <v>-4.1916648001795469</v>
      </c>
      <c r="G10" s="143">
        <f t="shared" si="1"/>
        <v>7.1371139393761549</v>
      </c>
      <c r="H10" s="181">
        <f t="shared" si="2"/>
        <v>11.328778739555702</v>
      </c>
      <c r="I10" s="186">
        <f t="shared" si="3"/>
        <v>0</v>
      </c>
      <c r="J10" s="74">
        <f t="shared" si="0"/>
        <v>0</v>
      </c>
      <c r="K10" s="46"/>
    </row>
    <row r="11" spans="1:25" x14ac:dyDescent="0.25">
      <c r="A11" s="61">
        <f>'A) Base RI'!A13</f>
        <v>5407</v>
      </c>
      <c r="B11" s="114" t="str">
        <f>'A) Base RI'!B13</f>
        <v>Leysin</v>
      </c>
      <c r="C11" s="125">
        <f>'B) D RI'!U13</f>
        <v>102799.09089743589</v>
      </c>
      <c r="D11" s="147">
        <f>'E) Fact soc'!G17/C11</f>
        <v>19.344837581745086</v>
      </c>
      <c r="E11" s="181">
        <f>'H) Péréquation directe'!I22/C11</f>
        <v>-13.493072863382524</v>
      </c>
      <c r="F11" s="186">
        <f>'I) Dépenses thématiques'!P11</f>
        <v>-13.107068110462155</v>
      </c>
      <c r="G11" s="143">
        <f t="shared" si="1"/>
        <v>-7.2553033920995933</v>
      </c>
      <c r="H11" s="181">
        <f t="shared" si="2"/>
        <v>5.8517647183625616</v>
      </c>
      <c r="I11" s="186">
        <f t="shared" si="3"/>
        <v>0</v>
      </c>
      <c r="J11" s="74">
        <f t="shared" si="0"/>
        <v>0</v>
      </c>
      <c r="K11" s="46"/>
      <c r="L11" s="38"/>
    </row>
    <row r="12" spans="1:25" x14ac:dyDescent="0.25">
      <c r="A12" s="61">
        <f>'A) Base RI'!A14</f>
        <v>5408</v>
      </c>
      <c r="B12" s="114" t="str">
        <f>'A) Base RI'!B14</f>
        <v>Noville</v>
      </c>
      <c r="C12" s="125">
        <f>'B) D RI'!U14</f>
        <v>34745.229256900217</v>
      </c>
      <c r="D12" s="147">
        <f>'E) Fact soc'!G18/C12</f>
        <v>19.637020470757175</v>
      </c>
      <c r="E12" s="181">
        <f>'H) Péréquation directe'!I23/C12</f>
        <v>7.9559923762995446</v>
      </c>
      <c r="F12" s="186">
        <f>'I) Dépenses thématiques'!P12</f>
        <v>-2.6392664593289799</v>
      </c>
      <c r="G12" s="143">
        <f t="shared" si="1"/>
        <v>24.95374638772774</v>
      </c>
      <c r="H12" s="181">
        <f t="shared" si="2"/>
        <v>27.59301284705672</v>
      </c>
      <c r="I12" s="186">
        <f t="shared" si="3"/>
        <v>0</v>
      </c>
      <c r="J12" s="74">
        <f t="shared" si="0"/>
        <v>0</v>
      </c>
      <c r="K12" s="46"/>
    </row>
    <row r="13" spans="1:25" x14ac:dyDescent="0.25">
      <c r="A13" s="61">
        <f>'A) Base RI'!A15</f>
        <v>5409</v>
      </c>
      <c r="B13" s="114" t="str">
        <f>'A) Base RI'!B15</f>
        <v>Ollon</v>
      </c>
      <c r="C13" s="125">
        <f>'B) D RI'!U15</f>
        <v>485365.10493778286</v>
      </c>
      <c r="D13" s="147">
        <f>'E) Fact soc'!G19/C13</f>
        <v>22.408520923659786</v>
      </c>
      <c r="E13" s="181">
        <f>'H) Péréquation directe'!I24/C13</f>
        <v>11.232035759951565</v>
      </c>
      <c r="F13" s="186">
        <f>'I) Dépenses thématiques'!P13</f>
        <v>-2.3322150368427259</v>
      </c>
      <c r="G13" s="143">
        <f t="shared" si="1"/>
        <v>31.308341646768625</v>
      </c>
      <c r="H13" s="181">
        <f t="shared" si="2"/>
        <v>33.640556683611351</v>
      </c>
      <c r="I13" s="186">
        <f t="shared" si="3"/>
        <v>0</v>
      </c>
      <c r="J13" s="74">
        <f t="shared" si="0"/>
        <v>0</v>
      </c>
      <c r="K13" s="46"/>
    </row>
    <row r="14" spans="1:25" x14ac:dyDescent="0.25">
      <c r="A14" s="61">
        <f>'A) Base RI'!A16</f>
        <v>5410</v>
      </c>
      <c r="B14" s="114" t="str">
        <f>'A) Base RI'!B16</f>
        <v>Ormont-Dessous</v>
      </c>
      <c r="C14" s="125">
        <f>'B) D RI'!U16</f>
        <v>35234.198174097655</v>
      </c>
      <c r="D14" s="147">
        <f>'E) Fact soc'!G20/C14</f>
        <v>20.17207729277272</v>
      </c>
      <c r="E14" s="181">
        <f>'H) Péréquation directe'!I25/C14</f>
        <v>4.7987861119049482</v>
      </c>
      <c r="F14" s="186">
        <f>'I) Dépenses thématiques'!P14</f>
        <v>-22.512902834929157</v>
      </c>
      <c r="G14" s="143">
        <f t="shared" si="1"/>
        <v>2.4579605697485114</v>
      </c>
      <c r="H14" s="181">
        <f t="shared" si="2"/>
        <v>24.970863404677669</v>
      </c>
      <c r="I14" s="186">
        <f t="shared" si="3"/>
        <v>0</v>
      </c>
      <c r="J14" s="74">
        <f t="shared" si="0"/>
        <v>0</v>
      </c>
      <c r="K14" s="46"/>
    </row>
    <row r="15" spans="1:25" x14ac:dyDescent="0.25">
      <c r="A15" s="61">
        <f>'A) Base RI'!A17</f>
        <v>5411</v>
      </c>
      <c r="B15" s="114" t="str">
        <f>'A) Base RI'!B17</f>
        <v>Ormont-Dessus</v>
      </c>
      <c r="C15" s="125">
        <f>'B) D RI'!U17</f>
        <v>71790.213859649128</v>
      </c>
      <c r="D15" s="147">
        <f>'E) Fact soc'!G21/C15</f>
        <v>19.114208448105071</v>
      </c>
      <c r="E15" s="181">
        <f>'H) Péréquation directe'!I26/C15</f>
        <v>14.887539475991476</v>
      </c>
      <c r="F15" s="186">
        <f>'I) Dépenses thématiques'!P15</f>
        <v>-11.391894976698715</v>
      </c>
      <c r="G15" s="143">
        <f t="shared" si="1"/>
        <v>22.609852947397833</v>
      </c>
      <c r="H15" s="181">
        <f t="shared" si="2"/>
        <v>34.001747924096549</v>
      </c>
      <c r="I15" s="186">
        <f t="shared" si="3"/>
        <v>0</v>
      </c>
      <c r="J15" s="74">
        <f t="shared" si="0"/>
        <v>0</v>
      </c>
      <c r="K15" s="46"/>
    </row>
    <row r="16" spans="1:25" x14ac:dyDescent="0.25">
      <c r="A16" s="61">
        <f>'A) Base RI'!A18</f>
        <v>5412</v>
      </c>
      <c r="B16" s="114" t="str">
        <f>'A) Base RI'!B18</f>
        <v>Rennaz</v>
      </c>
      <c r="C16" s="125">
        <f>'B) D RI'!U18</f>
        <v>26501.739703703701</v>
      </c>
      <c r="D16" s="147">
        <f>'E) Fact soc'!G22/C16</f>
        <v>18.997219069462666</v>
      </c>
      <c r="E16" s="181">
        <f>'H) Péréquation directe'!I27/C16</f>
        <v>8.1459644676449958</v>
      </c>
      <c r="F16" s="186">
        <f>'I) Dépenses thématiques'!P16</f>
        <v>0</v>
      </c>
      <c r="G16" s="143">
        <f t="shared" si="1"/>
        <v>27.14318353710766</v>
      </c>
      <c r="H16" s="181">
        <f t="shared" si="2"/>
        <v>27.14318353710766</v>
      </c>
      <c r="I16" s="186">
        <f t="shared" si="3"/>
        <v>0</v>
      </c>
      <c r="J16" s="74">
        <f t="shared" si="0"/>
        <v>0</v>
      </c>
      <c r="K16" s="46"/>
    </row>
    <row r="17" spans="1:11" x14ac:dyDescent="0.25">
      <c r="A17" s="61">
        <f>'A) Base RI'!A19</f>
        <v>5413</v>
      </c>
      <c r="B17" s="114" t="str">
        <f>'A) Base RI'!B19</f>
        <v>Roche</v>
      </c>
      <c r="C17" s="125">
        <f>'B) D RI'!U19</f>
        <v>34861.221617647054</v>
      </c>
      <c r="D17" s="147">
        <f>'E) Fact soc'!G23/C17</f>
        <v>20.420210321566383</v>
      </c>
      <c r="E17" s="181">
        <f>'H) Péréquation directe'!I28/C17</f>
        <v>-5.9501706429505381</v>
      </c>
      <c r="F17" s="186">
        <f>'I) Dépenses thématiques'!P17</f>
        <v>-0.59773571983776874</v>
      </c>
      <c r="G17" s="143">
        <f t="shared" si="1"/>
        <v>13.872303958778076</v>
      </c>
      <c r="H17" s="181">
        <f t="shared" si="2"/>
        <v>14.470039678615844</v>
      </c>
      <c r="I17" s="186">
        <f t="shared" si="3"/>
        <v>0</v>
      </c>
      <c r="J17" s="74">
        <f t="shared" si="0"/>
        <v>0</v>
      </c>
      <c r="K17" s="46"/>
    </row>
    <row r="18" spans="1:11" x14ac:dyDescent="0.25">
      <c r="A18" s="61">
        <f>'A) Base RI'!A20</f>
        <v>5414</v>
      </c>
      <c r="B18" s="114" t="str">
        <f>'A) Base RI'!B20</f>
        <v>Villeneuve</v>
      </c>
      <c r="C18" s="125">
        <f>'B) D RI'!U20</f>
        <v>168009.32057971013</v>
      </c>
      <c r="D18" s="147">
        <f>'E) Fact soc'!G24/C18</f>
        <v>21.023593478915068</v>
      </c>
      <c r="E18" s="181">
        <f>'H) Péréquation directe'!I29/C18</f>
        <v>-1.5679885578544992</v>
      </c>
      <c r="F18" s="186">
        <f>'I) Dépenses thématiques'!P18</f>
        <v>-6.2412665136354724</v>
      </c>
      <c r="G18" s="143">
        <f t="shared" si="1"/>
        <v>13.214338407425096</v>
      </c>
      <c r="H18" s="181">
        <f t="shared" si="2"/>
        <v>19.455604921060569</v>
      </c>
      <c r="I18" s="186">
        <f t="shared" si="3"/>
        <v>0</v>
      </c>
      <c r="J18" s="74">
        <f t="shared" si="0"/>
        <v>0</v>
      </c>
      <c r="K18" s="46"/>
    </row>
    <row r="19" spans="1:11" x14ac:dyDescent="0.25">
      <c r="A19" s="61">
        <f>'A) Base RI'!A21</f>
        <v>5415</v>
      </c>
      <c r="B19" s="114" t="str">
        <f>'A) Base RI'!B21</f>
        <v>Yvorne</v>
      </c>
      <c r="C19" s="125">
        <f>'B) D RI'!U21</f>
        <v>43055.973722627736</v>
      </c>
      <c r="D19" s="147">
        <f>'E) Fact soc'!G25/C19</f>
        <v>17.29086869111676</v>
      </c>
      <c r="E19" s="181">
        <f>'H) Péréquation directe'!I30/C19</f>
        <v>14.970788441297392</v>
      </c>
      <c r="F19" s="186">
        <f>'I) Dépenses thématiques'!P19</f>
        <v>-4.2195557738663849</v>
      </c>
      <c r="G19" s="143">
        <f t="shared" si="1"/>
        <v>28.042101358547765</v>
      </c>
      <c r="H19" s="181">
        <f t="shared" si="2"/>
        <v>32.26165713241415</v>
      </c>
      <c r="I19" s="186">
        <f t="shared" si="3"/>
        <v>0</v>
      </c>
      <c r="J19" s="74">
        <f t="shared" si="0"/>
        <v>0</v>
      </c>
      <c r="K19" s="46"/>
    </row>
    <row r="20" spans="1:11" x14ac:dyDescent="0.25">
      <c r="A20" s="61">
        <f>'A) Base RI'!A22</f>
        <v>5421</v>
      </c>
      <c r="B20" s="114" t="str">
        <f>'A) Base RI'!B22</f>
        <v>Apples</v>
      </c>
      <c r="C20" s="125">
        <f>'B) D RI'!U22</f>
        <v>57391.691408450701</v>
      </c>
      <c r="D20" s="147">
        <f>'E) Fact soc'!G26/C20</f>
        <v>20.801419999039172</v>
      </c>
      <c r="E20" s="181">
        <f>'H) Péréquation directe'!I31/C20</f>
        <v>13.726523211587507</v>
      </c>
      <c r="F20" s="186">
        <f>'I) Dépenses thématiques'!P20</f>
        <v>-3.2120035318275399</v>
      </c>
      <c r="G20" s="143">
        <f t="shared" si="1"/>
        <v>31.31593967879914</v>
      </c>
      <c r="H20" s="181">
        <f t="shared" si="2"/>
        <v>34.527943210626681</v>
      </c>
      <c r="I20" s="186">
        <f t="shared" si="3"/>
        <v>0</v>
      </c>
      <c r="J20" s="74">
        <f t="shared" si="0"/>
        <v>0</v>
      </c>
      <c r="K20" s="46"/>
    </row>
    <row r="21" spans="1:11" x14ac:dyDescent="0.25">
      <c r="A21" s="61">
        <f>'A) Base RI'!A23</f>
        <v>5422</v>
      </c>
      <c r="B21" s="114" t="str">
        <f>'A) Base RI'!B23</f>
        <v>Aubonne</v>
      </c>
      <c r="C21" s="125">
        <f>'B) D RI'!U23</f>
        <v>231550.9032352941</v>
      </c>
      <c r="D21" s="147">
        <f>'E) Fact soc'!G27/C21</f>
        <v>23.924218050076814</v>
      </c>
      <c r="E21" s="181">
        <f>'H) Péréquation directe'!I32/C21</f>
        <v>13.57759146450069</v>
      </c>
      <c r="F21" s="186">
        <f>'I) Dépenses thématiques'!P21</f>
        <v>-5.049218414359128E-2</v>
      </c>
      <c r="G21" s="143">
        <f t="shared" si="1"/>
        <v>37.451317330433909</v>
      </c>
      <c r="H21" s="181">
        <f t="shared" si="2"/>
        <v>37.501809514577502</v>
      </c>
      <c r="I21" s="186">
        <f t="shared" si="3"/>
        <v>0</v>
      </c>
      <c r="J21" s="74">
        <f t="shared" si="0"/>
        <v>0</v>
      </c>
      <c r="K21" s="46"/>
    </row>
    <row r="22" spans="1:11" x14ac:dyDescent="0.25">
      <c r="A22" s="61">
        <f>'A) Base RI'!A24</f>
        <v>5423</v>
      </c>
      <c r="B22" s="114" t="str">
        <f>'A) Base RI'!B24</f>
        <v>Ballens</v>
      </c>
      <c r="C22" s="125">
        <f>'B) D RI'!U24</f>
        <v>18689.408115942024</v>
      </c>
      <c r="D22" s="147">
        <f>'E) Fact soc'!G28/C22</f>
        <v>17.277116600860115</v>
      </c>
      <c r="E22" s="181">
        <f>'H) Péréquation directe'!I33/C22</f>
        <v>12.089692546377021</v>
      </c>
      <c r="F22" s="186">
        <f>'I) Dépenses thématiques'!P22</f>
        <v>-3.4087781088294009</v>
      </c>
      <c r="G22" s="143">
        <f t="shared" si="1"/>
        <v>25.958031038407732</v>
      </c>
      <c r="H22" s="181">
        <f t="shared" si="2"/>
        <v>29.366809147237134</v>
      </c>
      <c r="I22" s="186">
        <f t="shared" si="3"/>
        <v>0</v>
      </c>
      <c r="J22" s="74">
        <f t="shared" si="0"/>
        <v>0</v>
      </c>
      <c r="K22" s="46"/>
    </row>
    <row r="23" spans="1:11" x14ac:dyDescent="0.25">
      <c r="A23" s="61">
        <f>'A) Base RI'!A25</f>
        <v>5424</v>
      </c>
      <c r="B23" s="114" t="str">
        <f>'A) Base RI'!B25</f>
        <v>Berolle</v>
      </c>
      <c r="C23" s="125">
        <f>'B) D RI'!U25</f>
        <v>9360.1262337662338</v>
      </c>
      <c r="D23" s="147">
        <f>'E) Fact soc'!G29/C23</f>
        <v>18.301302338982353</v>
      </c>
      <c r="E23" s="181">
        <f>'H) Péréquation directe'!I34/C23</f>
        <v>6.6466551148609687</v>
      </c>
      <c r="F23" s="186">
        <f>'I) Dépenses thématiques'!P23</f>
        <v>-4.6508091251234429</v>
      </c>
      <c r="G23" s="143">
        <f t="shared" si="1"/>
        <v>20.297148328719878</v>
      </c>
      <c r="H23" s="181">
        <f t="shared" si="2"/>
        <v>24.947957453843323</v>
      </c>
      <c r="I23" s="186">
        <f t="shared" si="3"/>
        <v>0</v>
      </c>
      <c r="J23" s="74">
        <f t="shared" si="0"/>
        <v>0</v>
      </c>
      <c r="K23" s="46"/>
    </row>
    <row r="24" spans="1:11" x14ac:dyDescent="0.25">
      <c r="A24" s="61">
        <f>'A) Base RI'!A26</f>
        <v>5425</v>
      </c>
      <c r="B24" s="114" t="str">
        <f>'A) Base RI'!B26</f>
        <v>Bière</v>
      </c>
      <c r="C24" s="125">
        <f>'B) D RI'!U26</f>
        <v>40787.403970588231</v>
      </c>
      <c r="D24" s="147">
        <f>'E) Fact soc'!G30/C24</f>
        <v>18.333169041814411</v>
      </c>
      <c r="E24" s="181">
        <f>'H) Péréquation directe'!I35/C24</f>
        <v>-0.93334697980154957</v>
      </c>
      <c r="F24" s="186">
        <f>'I) Dépenses thématiques'!P24</f>
        <v>-9.9640940981237023</v>
      </c>
      <c r="G24" s="143">
        <f t="shared" si="1"/>
        <v>7.4357279638891605</v>
      </c>
      <c r="H24" s="181">
        <f t="shared" si="2"/>
        <v>17.399822062012863</v>
      </c>
      <c r="I24" s="186">
        <f t="shared" si="3"/>
        <v>0</v>
      </c>
      <c r="J24" s="74">
        <f t="shared" si="0"/>
        <v>0</v>
      </c>
      <c r="K24" s="46"/>
    </row>
    <row r="25" spans="1:11" x14ac:dyDescent="0.25">
      <c r="A25" s="61">
        <f>'A) Base RI'!A27</f>
        <v>5426</v>
      </c>
      <c r="B25" s="114" t="str">
        <f>'A) Base RI'!B27</f>
        <v>Bougy-Villars</v>
      </c>
      <c r="C25" s="125">
        <f>'B) D RI'!U27</f>
        <v>42113.452258064506</v>
      </c>
      <c r="D25" s="147">
        <f>'E) Fact soc'!G31/C25</f>
        <v>26.665788133930082</v>
      </c>
      <c r="E25" s="181">
        <f>'H) Péréquation directe'!I36/C25</f>
        <v>15.548816782517354</v>
      </c>
      <c r="F25" s="186">
        <f>'I) Dépenses thématiques'!P25</f>
        <v>0</v>
      </c>
      <c r="G25" s="143">
        <f t="shared" si="1"/>
        <v>42.214604916447435</v>
      </c>
      <c r="H25" s="181">
        <f t="shared" si="2"/>
        <v>42.214604916447435</v>
      </c>
      <c r="I25" s="186">
        <f t="shared" si="3"/>
        <v>0</v>
      </c>
      <c r="J25" s="74">
        <f t="shared" si="0"/>
        <v>0</v>
      </c>
      <c r="K25" s="46"/>
    </row>
    <row r="26" spans="1:11" x14ac:dyDescent="0.25">
      <c r="A26" s="61">
        <f>'A) Base RI'!A28</f>
        <v>5427</v>
      </c>
      <c r="B26" s="114" t="str">
        <f>'A) Base RI'!B28</f>
        <v>Féchy</v>
      </c>
      <c r="C26" s="125">
        <f>'B) D RI'!U28</f>
        <v>64357.078870192301</v>
      </c>
      <c r="D26" s="147">
        <f>'E) Fact soc'!G32/C26</f>
        <v>23.17445547849853</v>
      </c>
      <c r="E26" s="181">
        <f>'H) Péréquation directe'!I37/C26</f>
        <v>15.976940496313899</v>
      </c>
      <c r="F26" s="186">
        <f>'I) Dépenses thématiques'!P26</f>
        <v>0</v>
      </c>
      <c r="G26" s="143">
        <f t="shared" si="1"/>
        <v>39.151395974812431</v>
      </c>
      <c r="H26" s="181">
        <f t="shared" si="2"/>
        <v>39.151395974812431</v>
      </c>
      <c r="I26" s="186">
        <f t="shared" si="3"/>
        <v>0</v>
      </c>
      <c r="J26" s="74">
        <f t="shared" si="0"/>
        <v>0</v>
      </c>
      <c r="K26" s="46"/>
    </row>
    <row r="27" spans="1:11" x14ac:dyDescent="0.25">
      <c r="A27" s="61">
        <f>'A) Base RI'!A29</f>
        <v>5428</v>
      </c>
      <c r="B27" s="114" t="str">
        <f>'A) Base RI'!B29</f>
        <v>Gimel</v>
      </c>
      <c r="C27" s="125">
        <f>'B) D RI'!U29</f>
        <v>57546.053752913758</v>
      </c>
      <c r="D27" s="147">
        <f>'E) Fact soc'!G33/C27</f>
        <v>20.219455624528482</v>
      </c>
      <c r="E27" s="181">
        <f>'H) Péréquation directe'!I38/C27</f>
        <v>2.0320811877930214</v>
      </c>
      <c r="F27" s="186">
        <f>'I) Dépenses thématiques'!P27</f>
        <v>-5.5910003022712145</v>
      </c>
      <c r="G27" s="143">
        <f t="shared" si="1"/>
        <v>16.660536510050289</v>
      </c>
      <c r="H27" s="181">
        <f t="shared" si="2"/>
        <v>22.251536812321504</v>
      </c>
      <c r="I27" s="186">
        <f t="shared" si="3"/>
        <v>0</v>
      </c>
      <c r="J27" s="74">
        <f t="shared" si="0"/>
        <v>0</v>
      </c>
      <c r="K27" s="46"/>
    </row>
    <row r="28" spans="1:11" x14ac:dyDescent="0.25">
      <c r="A28" s="61">
        <f>'A) Base RI'!A30</f>
        <v>5429</v>
      </c>
      <c r="B28" s="114" t="str">
        <f>'A) Base RI'!B30</f>
        <v>Longirod</v>
      </c>
      <c r="C28" s="125">
        <f>'B) D RI'!U30</f>
        <v>13645.142716049384</v>
      </c>
      <c r="D28" s="147">
        <f>'E) Fact soc'!G34/C28</f>
        <v>18.054212972374295</v>
      </c>
      <c r="E28" s="181">
        <f>'H) Péréquation directe'!I39/C28</f>
        <v>2.2856164577174067</v>
      </c>
      <c r="F28" s="186">
        <f>'I) Dépenses thématiques'!P28</f>
        <v>-10.433412547044471</v>
      </c>
      <c r="G28" s="143">
        <f t="shared" si="1"/>
        <v>9.9064168830472301</v>
      </c>
      <c r="H28" s="181">
        <f t="shared" si="2"/>
        <v>20.339829430091701</v>
      </c>
      <c r="I28" s="186">
        <f t="shared" si="3"/>
        <v>0</v>
      </c>
      <c r="J28" s="74">
        <f t="shared" si="0"/>
        <v>0</v>
      </c>
      <c r="K28" s="46"/>
    </row>
    <row r="29" spans="1:11" x14ac:dyDescent="0.25">
      <c r="A29" s="61">
        <f>'A) Base RI'!A31</f>
        <v>5430</v>
      </c>
      <c r="B29" s="114" t="str">
        <f>'A) Base RI'!B31</f>
        <v>Marchissy</v>
      </c>
      <c r="C29" s="125">
        <f>'B) D RI'!U31</f>
        <v>12901.686543209877</v>
      </c>
      <c r="D29" s="147">
        <f>'E) Fact soc'!G35/C29</f>
        <v>23.118386302268512</v>
      </c>
      <c r="E29" s="181">
        <f>'H) Péréquation directe'!I40/C29</f>
        <v>1.2953223182530362</v>
      </c>
      <c r="F29" s="186">
        <f>'I) Dépenses thématiques'!P29</f>
        <v>-17.609568623503712</v>
      </c>
      <c r="G29" s="143">
        <f t="shared" si="1"/>
        <v>6.8041399970178347</v>
      </c>
      <c r="H29" s="181">
        <f t="shared" si="2"/>
        <v>24.413708620521547</v>
      </c>
      <c r="I29" s="186">
        <f t="shared" si="3"/>
        <v>0</v>
      </c>
      <c r="J29" s="74">
        <f t="shared" si="0"/>
        <v>0</v>
      </c>
      <c r="K29" s="46"/>
    </row>
    <row r="30" spans="1:11" x14ac:dyDescent="0.25">
      <c r="A30" s="61">
        <f>'A) Base RI'!A32</f>
        <v>5431</v>
      </c>
      <c r="B30" s="114" t="str">
        <f>'A) Base RI'!B32</f>
        <v>Mollens</v>
      </c>
      <c r="C30" s="125">
        <f>'B) D RI'!U32</f>
        <v>8965.3154054054066</v>
      </c>
      <c r="D30" s="147">
        <f>'E) Fact soc'!G36/C30</f>
        <v>17.610927914132461</v>
      </c>
      <c r="E30" s="181">
        <f>'H) Péréquation directe'!I41/C30</f>
        <v>5.6317919954788769</v>
      </c>
      <c r="F30" s="186">
        <f>'I) Dépenses thématiques'!P30</f>
        <v>-5.0063855932015624</v>
      </c>
      <c r="G30" s="143">
        <f t="shared" si="1"/>
        <v>18.236334316409774</v>
      </c>
      <c r="H30" s="181">
        <f t="shared" si="2"/>
        <v>23.242719909611338</v>
      </c>
      <c r="I30" s="186">
        <f t="shared" si="3"/>
        <v>0</v>
      </c>
      <c r="J30" s="74">
        <f t="shared" si="0"/>
        <v>0</v>
      </c>
      <c r="K30" s="46"/>
    </row>
    <row r="31" spans="1:11" x14ac:dyDescent="0.25">
      <c r="A31" s="61">
        <f>'A) Base RI'!A33</f>
        <v>5432</v>
      </c>
      <c r="B31" s="114" t="str">
        <f>'A) Base RI'!B33</f>
        <v>Montherod</v>
      </c>
      <c r="C31" s="125">
        <f>'B) D RI'!U33</f>
        <v>18938.674054054052</v>
      </c>
      <c r="D31" s="147">
        <f>'E) Fact soc'!G37/C31</f>
        <v>20.041830933682409</v>
      </c>
      <c r="E31" s="181">
        <f>'H) Péréquation directe'!I42/C31</f>
        <v>11.395028020564345</v>
      </c>
      <c r="F31" s="186">
        <f>'I) Dépenses thématiques'!P31</f>
        <v>0</v>
      </c>
      <c r="G31" s="143">
        <f t="shared" si="1"/>
        <v>31.436858954246752</v>
      </c>
      <c r="H31" s="181">
        <f t="shared" si="2"/>
        <v>31.436858954246752</v>
      </c>
      <c r="I31" s="186">
        <f t="shared" si="3"/>
        <v>0</v>
      </c>
      <c r="J31" s="74">
        <f t="shared" si="0"/>
        <v>0</v>
      </c>
      <c r="K31" s="46"/>
    </row>
    <row r="32" spans="1:11" x14ac:dyDescent="0.25">
      <c r="A32" s="61">
        <f>'A) Base RI'!A34</f>
        <v>5434</v>
      </c>
      <c r="B32" s="114" t="str">
        <f>'A) Base RI'!B34</f>
        <v>Saint-George</v>
      </c>
      <c r="C32" s="125">
        <f>'B) D RI'!U34</f>
        <v>33015.772116788328</v>
      </c>
      <c r="D32" s="147">
        <f>'E) Fact soc'!G38/C32</f>
        <v>19.633354913236015</v>
      </c>
      <c r="E32" s="181">
        <f>'H) Péréquation directe'!I43/C32</f>
        <v>10.753618190476121</v>
      </c>
      <c r="F32" s="186">
        <f>'I) Dépenses thématiques'!P32</f>
        <v>-4.1924897028423533</v>
      </c>
      <c r="G32" s="143">
        <f t="shared" si="1"/>
        <v>26.194483400869785</v>
      </c>
      <c r="H32" s="181">
        <f t="shared" si="2"/>
        <v>30.386973103712137</v>
      </c>
      <c r="I32" s="186">
        <f t="shared" si="3"/>
        <v>0</v>
      </c>
      <c r="J32" s="74">
        <f t="shared" si="0"/>
        <v>0</v>
      </c>
      <c r="K32" s="46"/>
    </row>
    <row r="33" spans="1:11" x14ac:dyDescent="0.25">
      <c r="A33" s="61">
        <f>'A) Base RI'!A35</f>
        <v>5435</v>
      </c>
      <c r="B33" s="114" t="str">
        <f>'A) Base RI'!B35</f>
        <v>Saint-Livres</v>
      </c>
      <c r="C33" s="125">
        <f>'B) D RI'!U35</f>
        <v>24335.25550724638</v>
      </c>
      <c r="D33" s="147">
        <f>'E) Fact soc'!G39/C33</f>
        <v>16.135390159874589</v>
      </c>
      <c r="E33" s="181">
        <f>'H) Péréquation directe'!I44/C33</f>
        <v>10.162091692955967</v>
      </c>
      <c r="F33" s="186">
        <f>'I) Dépenses thématiques'!P33</f>
        <v>-1.0750766632099038</v>
      </c>
      <c r="G33" s="143">
        <f t="shared" si="1"/>
        <v>25.222405189620655</v>
      </c>
      <c r="H33" s="181">
        <f t="shared" si="2"/>
        <v>26.297481852830558</v>
      </c>
      <c r="I33" s="186">
        <f t="shared" si="3"/>
        <v>0</v>
      </c>
      <c r="J33" s="74">
        <f t="shared" si="0"/>
        <v>0</v>
      </c>
      <c r="K33" s="46"/>
    </row>
    <row r="34" spans="1:11" x14ac:dyDescent="0.25">
      <c r="A34" s="61">
        <f>'A) Base RI'!A36</f>
        <v>5436</v>
      </c>
      <c r="B34" s="114" t="str">
        <f>'A) Base RI'!B36</f>
        <v>Saint-Oyens</v>
      </c>
      <c r="C34" s="125">
        <f>'B) D RI'!U36</f>
        <v>9937.7678395061721</v>
      </c>
      <c r="D34" s="147">
        <f>'E) Fact soc'!G40/C34</f>
        <v>19.406018033286806</v>
      </c>
      <c r="E34" s="181">
        <f>'H) Péréquation directe'!I45/C34</f>
        <v>1.3054380867933819</v>
      </c>
      <c r="F34" s="186">
        <f>'I) Dépenses thématiques'!P34</f>
        <v>-6.4637206555273039</v>
      </c>
      <c r="G34" s="143">
        <f t="shared" si="1"/>
        <v>14.247735464552882</v>
      </c>
      <c r="H34" s="181">
        <f t="shared" si="2"/>
        <v>20.711456120080186</v>
      </c>
      <c r="I34" s="186">
        <f t="shared" si="3"/>
        <v>0</v>
      </c>
      <c r="J34" s="74">
        <f t="shared" si="0"/>
        <v>0</v>
      </c>
      <c r="K34" s="46"/>
    </row>
    <row r="35" spans="1:11" x14ac:dyDescent="0.25">
      <c r="A35" s="61">
        <f>'A) Base RI'!A37</f>
        <v>5437</v>
      </c>
      <c r="B35" s="114" t="str">
        <f>'A) Base RI'!B37</f>
        <v>Saubraz</v>
      </c>
      <c r="C35" s="125">
        <f>'B) D RI'!U37</f>
        <v>9144.65614457831</v>
      </c>
      <c r="D35" s="147">
        <f>'E) Fact soc'!G41/C35</f>
        <v>29.106941049976918</v>
      </c>
      <c r="E35" s="181">
        <f>'H) Péréquation directe'!I46/C35</f>
        <v>-9.8953292861138085</v>
      </c>
      <c r="F35" s="186">
        <f>'I) Dépenses thématiques'!P35</f>
        <v>-5.7382959564242544</v>
      </c>
      <c r="G35" s="143">
        <f t="shared" si="1"/>
        <v>13.473315807438857</v>
      </c>
      <c r="H35" s="181">
        <f t="shared" si="2"/>
        <v>19.211611763863111</v>
      </c>
      <c r="I35" s="186">
        <f t="shared" si="3"/>
        <v>0</v>
      </c>
      <c r="J35" s="74">
        <f t="shared" si="0"/>
        <v>0</v>
      </c>
      <c r="K35" s="46"/>
    </row>
    <row r="36" spans="1:11" x14ac:dyDescent="0.25">
      <c r="A36" s="61">
        <f>'A) Base RI'!A38</f>
        <v>5451</v>
      </c>
      <c r="B36" s="114" t="str">
        <f>'A) Base RI'!B38</f>
        <v>Avenches</v>
      </c>
      <c r="C36" s="125">
        <f>'B) D RI'!U38</f>
        <v>102028.81651960785</v>
      </c>
      <c r="D36" s="147">
        <f>'E) Fact soc'!G42/C36</f>
        <v>19.854704274809482</v>
      </c>
      <c r="E36" s="181">
        <f>'H) Péréquation directe'!I47/C36</f>
        <v>-8.5742886071829609</v>
      </c>
      <c r="F36" s="186">
        <f>'I) Dépenses thématiques'!P36</f>
        <v>-15.571776356509195</v>
      </c>
      <c r="G36" s="143">
        <f t="shared" si="1"/>
        <v>-4.2913606888826745</v>
      </c>
      <c r="H36" s="181">
        <f t="shared" si="2"/>
        <v>11.280415667626521</v>
      </c>
      <c r="I36" s="186">
        <f t="shared" si="3"/>
        <v>0</v>
      </c>
      <c r="J36" s="74">
        <f t="shared" si="0"/>
        <v>0</v>
      </c>
      <c r="K36" s="46"/>
    </row>
    <row r="37" spans="1:11" x14ac:dyDescent="0.25">
      <c r="A37" s="61">
        <f>'A) Base RI'!A39</f>
        <v>5456</v>
      </c>
      <c r="B37" s="114" t="str">
        <f>'A) Base RI'!B39</f>
        <v>Cudrefin</v>
      </c>
      <c r="C37" s="125">
        <f>'B) D RI'!U39</f>
        <v>45272.368813559326</v>
      </c>
      <c r="D37" s="147">
        <f>'E) Fact soc'!G43/C37</f>
        <v>24.008983824763071</v>
      </c>
      <c r="E37" s="181">
        <f>'H) Péréquation directe'!I48/C37</f>
        <v>5.8568098018486383</v>
      </c>
      <c r="F37" s="186">
        <f>'I) Dépenses thématiques'!P37</f>
        <v>-5.9163874483578374</v>
      </c>
      <c r="G37" s="143">
        <f t="shared" si="1"/>
        <v>23.94940617825387</v>
      </c>
      <c r="H37" s="181">
        <f t="shared" si="2"/>
        <v>29.865793626611708</v>
      </c>
      <c r="I37" s="186">
        <f t="shared" si="3"/>
        <v>0</v>
      </c>
      <c r="J37" s="74">
        <f t="shared" si="0"/>
        <v>0</v>
      </c>
      <c r="K37" s="46"/>
    </row>
    <row r="38" spans="1:11" x14ac:dyDescent="0.25">
      <c r="A38" s="61">
        <f>'A) Base RI'!A40</f>
        <v>5458</v>
      </c>
      <c r="B38" s="114" t="str">
        <f>'A) Base RI'!B40</f>
        <v>Faoug</v>
      </c>
      <c r="C38" s="125">
        <f>'B) D RI'!U40</f>
        <v>28143.986721311474</v>
      </c>
      <c r="D38" s="147">
        <f>'E) Fact soc'!G44/C38</f>
        <v>18.729605940064232</v>
      </c>
      <c r="E38" s="181">
        <f>'H) Péréquation directe'!I49/C38</f>
        <v>10.610622926672287</v>
      </c>
      <c r="F38" s="186">
        <f>'I) Dépenses thématiques'!P38</f>
        <v>-4.0899017347634548</v>
      </c>
      <c r="G38" s="143">
        <f t="shared" si="1"/>
        <v>25.250327131973062</v>
      </c>
      <c r="H38" s="181">
        <f t="shared" si="2"/>
        <v>29.340228866736517</v>
      </c>
      <c r="I38" s="186">
        <f t="shared" si="3"/>
        <v>0</v>
      </c>
      <c r="J38" s="74">
        <f t="shared" si="0"/>
        <v>0</v>
      </c>
      <c r="K38" s="46"/>
    </row>
    <row r="39" spans="1:11" x14ac:dyDescent="0.25">
      <c r="A39" s="61">
        <f>'A) Base RI'!A41</f>
        <v>5464</v>
      </c>
      <c r="B39" s="114" t="str">
        <f>'A) Base RI'!B41</f>
        <v>Vully-les-Lacs</v>
      </c>
      <c r="C39" s="125">
        <f>'B) D RI'!U41</f>
        <v>96865.968557213928</v>
      </c>
      <c r="D39" s="147">
        <f>'E) Fact soc'!G45/C39</f>
        <v>19.368754538340593</v>
      </c>
      <c r="E39" s="181">
        <f>'H) Péréquation directe'!I50/C39</f>
        <v>5.9346889958364875</v>
      </c>
      <c r="F39" s="186">
        <f>'I) Dépenses thématiques'!P39</f>
        <v>-4.6322862720864215</v>
      </c>
      <c r="G39" s="143">
        <f t="shared" si="1"/>
        <v>20.671157262090659</v>
      </c>
      <c r="H39" s="181">
        <f t="shared" si="2"/>
        <v>25.303443534177081</v>
      </c>
      <c r="I39" s="186">
        <f t="shared" si="3"/>
        <v>0</v>
      </c>
      <c r="J39" s="74">
        <f t="shared" si="0"/>
        <v>0</v>
      </c>
      <c r="K39" s="46"/>
    </row>
    <row r="40" spans="1:11" x14ac:dyDescent="0.25">
      <c r="A40" s="61">
        <f>'A) Base RI'!A42</f>
        <v>5471</v>
      </c>
      <c r="B40" s="114" t="str">
        <f>'A) Base RI'!B42</f>
        <v>Bettens</v>
      </c>
      <c r="C40" s="125">
        <f>'B) D RI'!U42</f>
        <v>18168.257063492067</v>
      </c>
      <c r="D40" s="147">
        <f>'E) Fact soc'!G46/C40</f>
        <v>19.026795517518007</v>
      </c>
      <c r="E40" s="181">
        <f>'H) Péréquation directe'!I51/C40</f>
        <v>8.6988775708788815</v>
      </c>
      <c r="F40" s="186">
        <f>'I) Dépenses thématiques'!P40</f>
        <v>0</v>
      </c>
      <c r="G40" s="143">
        <f t="shared" si="1"/>
        <v>27.725673088396888</v>
      </c>
      <c r="H40" s="181">
        <f t="shared" si="2"/>
        <v>27.725673088396888</v>
      </c>
      <c r="I40" s="186">
        <f t="shared" si="3"/>
        <v>0</v>
      </c>
      <c r="J40" s="74">
        <f t="shared" si="0"/>
        <v>0</v>
      </c>
      <c r="K40" s="46"/>
    </row>
    <row r="41" spans="1:11" x14ac:dyDescent="0.25">
      <c r="A41" s="61">
        <f>'A) Base RI'!A43</f>
        <v>5472</v>
      </c>
      <c r="B41" s="114" t="str">
        <f>'A) Base RI'!B43</f>
        <v>Bournens</v>
      </c>
      <c r="C41" s="125">
        <f>'B) D RI'!U43</f>
        <v>13213.617875</v>
      </c>
      <c r="D41" s="147">
        <f>'E) Fact soc'!G47/C41</f>
        <v>19.380395880686592</v>
      </c>
      <c r="E41" s="181">
        <f>'H) Péréquation directe'!I52/C41</f>
        <v>9.5672711497164862</v>
      </c>
      <c r="F41" s="186">
        <f>'I) Dépenses thématiques'!P41</f>
        <v>-2.0412201850518836</v>
      </c>
      <c r="G41" s="143">
        <f t="shared" si="1"/>
        <v>26.906446845351194</v>
      </c>
      <c r="H41" s="181">
        <f t="shared" si="2"/>
        <v>28.947667030403078</v>
      </c>
      <c r="I41" s="186">
        <f t="shared" si="3"/>
        <v>0</v>
      </c>
      <c r="J41" s="74">
        <f t="shared" si="0"/>
        <v>0</v>
      </c>
      <c r="K41" s="46"/>
    </row>
    <row r="42" spans="1:11" x14ac:dyDescent="0.25">
      <c r="A42" s="61">
        <f>'A) Base RI'!A44</f>
        <v>5473</v>
      </c>
      <c r="B42" s="114" t="str">
        <f>'A) Base RI'!B44</f>
        <v>Boussens</v>
      </c>
      <c r="C42" s="125">
        <f>'B) D RI'!U44</f>
        <v>33007.750579710155</v>
      </c>
      <c r="D42" s="147">
        <f>'E) Fact soc'!G48/C42</f>
        <v>16.123799025573518</v>
      </c>
      <c r="E42" s="181">
        <f>'H) Péréquation directe'!I53/C42</f>
        <v>10.4194026506018</v>
      </c>
      <c r="F42" s="186">
        <f>'I) Dépenses thématiques'!P42</f>
        <v>0</v>
      </c>
      <c r="G42" s="143">
        <f t="shared" si="1"/>
        <v>26.543201676175318</v>
      </c>
      <c r="H42" s="181">
        <f t="shared" si="2"/>
        <v>26.543201676175318</v>
      </c>
      <c r="I42" s="186">
        <f t="shared" si="3"/>
        <v>0</v>
      </c>
      <c r="J42" s="74">
        <f t="shared" si="0"/>
        <v>0</v>
      </c>
      <c r="K42" s="46"/>
    </row>
    <row r="43" spans="1:11" x14ac:dyDescent="0.25">
      <c r="A43" s="61">
        <f>'A) Base RI'!A45</f>
        <v>5474</v>
      </c>
      <c r="B43" s="114" t="str">
        <f>'A) Base RI'!B45</f>
        <v>La Chaux (Cossonay)</v>
      </c>
      <c r="C43" s="125">
        <f>'B) D RI'!U45</f>
        <v>12690.44829004329</v>
      </c>
      <c r="D43" s="147">
        <f>'E) Fact soc'!G49/C43</f>
        <v>14.942818669545806</v>
      </c>
      <c r="E43" s="181">
        <f>'H) Péréquation directe'!I54/C43</f>
        <v>4.3941902843270215</v>
      </c>
      <c r="F43" s="186">
        <f>'I) Dépenses thématiques'!P43</f>
        <v>-8.7893997737521055</v>
      </c>
      <c r="G43" s="143">
        <f t="shared" si="1"/>
        <v>10.547609180120723</v>
      </c>
      <c r="H43" s="181">
        <f t="shared" si="2"/>
        <v>19.337008953872829</v>
      </c>
      <c r="I43" s="186">
        <f t="shared" si="3"/>
        <v>0</v>
      </c>
      <c r="J43" s="74">
        <f t="shared" si="0"/>
        <v>0</v>
      </c>
      <c r="K43" s="46"/>
    </row>
    <row r="44" spans="1:11" x14ac:dyDescent="0.25">
      <c r="A44" s="61">
        <f>'A) Base RI'!A46</f>
        <v>5475</v>
      </c>
      <c r="B44" s="114" t="str">
        <f>'A) Base RI'!B46</f>
        <v>Chavannes-le-Veyron</v>
      </c>
      <c r="C44" s="125">
        <f>'B) D RI'!U46</f>
        <v>2750.1545454545449</v>
      </c>
      <c r="D44" s="147">
        <f>'E) Fact soc'!G50/C44</f>
        <v>16.187927503331501</v>
      </c>
      <c r="E44" s="181">
        <f>'H) Péréquation directe'!I55/C44</f>
        <v>-7.5141040976164977</v>
      </c>
      <c r="F44" s="186">
        <f>'I) Dépenses thématiques'!P44</f>
        <v>-23.923075528146608</v>
      </c>
      <c r="G44" s="143">
        <f t="shared" si="1"/>
        <v>-15.249252122431605</v>
      </c>
      <c r="H44" s="181">
        <f t="shared" si="2"/>
        <v>8.6738234057150034</v>
      </c>
      <c r="I44" s="186">
        <f t="shared" si="3"/>
        <v>0</v>
      </c>
      <c r="J44" s="74">
        <f t="shared" si="0"/>
        <v>0</v>
      </c>
      <c r="K44" s="46"/>
    </row>
    <row r="45" spans="1:11" x14ac:dyDescent="0.25">
      <c r="A45" s="61">
        <f>'A) Base RI'!A47</f>
        <v>5476</v>
      </c>
      <c r="B45" s="114" t="str">
        <f>'A) Base RI'!B47</f>
        <v>Chevilly</v>
      </c>
      <c r="C45" s="125">
        <f>'B) D RI'!U47</f>
        <v>7887.6179729729729</v>
      </c>
      <c r="D45" s="147">
        <f>'E) Fact soc'!G51/C45</f>
        <v>20.411357147480292</v>
      </c>
      <c r="E45" s="181">
        <f>'H) Péréquation directe'!I56/C45</f>
        <v>1.9605964410207346</v>
      </c>
      <c r="F45" s="186">
        <f>'I) Dépenses thématiques'!P45</f>
        <v>-4.6729365759368591</v>
      </c>
      <c r="G45" s="143">
        <f t="shared" si="1"/>
        <v>17.699017012564166</v>
      </c>
      <c r="H45" s="181">
        <f t="shared" si="2"/>
        <v>22.371953588501025</v>
      </c>
      <c r="I45" s="186">
        <f t="shared" si="3"/>
        <v>0</v>
      </c>
      <c r="J45" s="74">
        <f t="shared" si="0"/>
        <v>0</v>
      </c>
      <c r="K45" s="46"/>
    </row>
    <row r="46" spans="1:11" x14ac:dyDescent="0.25">
      <c r="A46" s="61">
        <f>'A) Base RI'!A48</f>
        <v>5477</v>
      </c>
      <c r="B46" s="114" t="str">
        <f>'A) Base RI'!B48</f>
        <v>Cossonay</v>
      </c>
      <c r="C46" s="125">
        <f>'B) D RI'!U48</f>
        <v>120589.74256854257</v>
      </c>
      <c r="D46" s="147">
        <f>'E) Fact soc'!G52/C46</f>
        <v>18.73611916964105</v>
      </c>
      <c r="E46" s="181">
        <f>'H) Péréquation directe'!I57/C46</f>
        <v>3.0519669837201571</v>
      </c>
      <c r="F46" s="186">
        <f>'I) Dépenses thématiques'!P46</f>
        <v>-5.4608327568467239</v>
      </c>
      <c r="G46" s="143">
        <f t="shared" si="1"/>
        <v>16.327253396514482</v>
      </c>
      <c r="H46" s="181">
        <f t="shared" si="2"/>
        <v>21.788086153361206</v>
      </c>
      <c r="I46" s="186">
        <f t="shared" si="3"/>
        <v>0</v>
      </c>
      <c r="J46" s="74">
        <f t="shared" si="0"/>
        <v>0</v>
      </c>
      <c r="K46" s="46"/>
    </row>
    <row r="47" spans="1:11" x14ac:dyDescent="0.25">
      <c r="A47" s="61">
        <f>'A) Base RI'!A49</f>
        <v>5478</v>
      </c>
      <c r="B47" s="114" t="str">
        <f>'A) Base RI'!B49</f>
        <v>Cottens</v>
      </c>
      <c r="C47" s="125">
        <f>'B) D RI'!U49</f>
        <v>15464.23347222222</v>
      </c>
      <c r="D47" s="147">
        <f>'E) Fact soc'!G53/C47</f>
        <v>16.412735457067122</v>
      </c>
      <c r="E47" s="181">
        <f>'H) Péréquation directe'!I58/C47</f>
        <v>8.3733411626914513</v>
      </c>
      <c r="F47" s="186">
        <f>'I) Dépenses thématiques'!P47</f>
        <v>-0.62270965388311261</v>
      </c>
      <c r="G47" s="143">
        <f t="shared" si="1"/>
        <v>24.163366965875461</v>
      </c>
      <c r="H47" s="181">
        <f t="shared" si="2"/>
        <v>24.786076619758575</v>
      </c>
      <c r="I47" s="186">
        <f t="shared" si="3"/>
        <v>0</v>
      </c>
      <c r="J47" s="74">
        <f t="shared" si="0"/>
        <v>0</v>
      </c>
      <c r="K47" s="46"/>
    </row>
    <row r="48" spans="1:11" x14ac:dyDescent="0.25">
      <c r="A48" s="61">
        <f>'A) Base RI'!A50</f>
        <v>5479</v>
      </c>
      <c r="B48" s="114" t="str">
        <f>'A) Base RI'!B50</f>
        <v>Cuarnens</v>
      </c>
      <c r="C48" s="125">
        <f>'B) D RI'!U50</f>
        <v>11805.525064935064</v>
      </c>
      <c r="D48" s="147">
        <f>'E) Fact soc'!G54/C48</f>
        <v>16.205011817100228</v>
      </c>
      <c r="E48" s="181">
        <f>'H) Péréquation directe'!I59/C48</f>
        <v>-0.1729354425395831</v>
      </c>
      <c r="F48" s="186">
        <f>'I) Dépenses thématiques'!P48</f>
        <v>-15.789339755657236</v>
      </c>
      <c r="G48" s="143">
        <f t="shared" si="1"/>
        <v>0.24273661890340925</v>
      </c>
      <c r="H48" s="181">
        <f t="shared" si="2"/>
        <v>16.032076374560646</v>
      </c>
      <c r="I48" s="186">
        <f t="shared" si="3"/>
        <v>0</v>
      </c>
      <c r="J48" s="74">
        <f t="shared" si="0"/>
        <v>0</v>
      </c>
      <c r="K48" s="46"/>
    </row>
    <row r="49" spans="1:11" x14ac:dyDescent="0.25">
      <c r="A49" s="61">
        <f>'A) Base RI'!A51</f>
        <v>5480</v>
      </c>
      <c r="B49" s="114" t="str">
        <f>'A) Base RI'!B51</f>
        <v>Daillens</v>
      </c>
      <c r="C49" s="125">
        <f>'B) D RI'!U51</f>
        <v>42113.849718309852</v>
      </c>
      <c r="D49" s="147">
        <f>'E) Fact soc'!G55/C49</f>
        <v>19.69358471433662</v>
      </c>
      <c r="E49" s="181">
        <f>'H) Péréquation directe'!I60/C49</f>
        <v>16.378319115718259</v>
      </c>
      <c r="F49" s="186">
        <f>'I) Dépenses thématiques'!P49</f>
        <v>-4.3180938300424314</v>
      </c>
      <c r="G49" s="143">
        <f t="shared" si="1"/>
        <v>31.753810000012447</v>
      </c>
      <c r="H49" s="181">
        <f t="shared" si="2"/>
        <v>36.071903830054879</v>
      </c>
      <c r="I49" s="186">
        <f t="shared" si="3"/>
        <v>0</v>
      </c>
      <c r="J49" s="74">
        <f t="shared" si="0"/>
        <v>0</v>
      </c>
      <c r="K49" s="46"/>
    </row>
    <row r="50" spans="1:11" x14ac:dyDescent="0.25">
      <c r="A50" s="61">
        <f>'A) Base RI'!A52</f>
        <v>5481</v>
      </c>
      <c r="B50" s="114" t="str">
        <f>'A) Base RI'!B52</f>
        <v>Dizy</v>
      </c>
      <c r="C50" s="125">
        <f>'B) D RI'!U52</f>
        <v>8240.9954054054051</v>
      </c>
      <c r="D50" s="147">
        <f>'E) Fact soc'!G56/C50</f>
        <v>16.963210888882507</v>
      </c>
      <c r="E50" s="181">
        <f>'H) Péréquation directe'!I61/C50</f>
        <v>11.960898462726682</v>
      </c>
      <c r="F50" s="186">
        <f>'I) Dépenses thématiques'!P50</f>
        <v>-1.4957923324376057</v>
      </c>
      <c r="G50" s="143">
        <f t="shared" si="1"/>
        <v>27.428317019171583</v>
      </c>
      <c r="H50" s="181">
        <f t="shared" si="2"/>
        <v>28.924109351609189</v>
      </c>
      <c r="I50" s="186">
        <f t="shared" si="3"/>
        <v>0</v>
      </c>
      <c r="J50" s="74">
        <f t="shared" si="0"/>
        <v>0</v>
      </c>
      <c r="K50" s="46"/>
    </row>
    <row r="51" spans="1:11" x14ac:dyDescent="0.25">
      <c r="A51" s="61">
        <f>'A) Base RI'!A53</f>
        <v>5482</v>
      </c>
      <c r="B51" s="114" t="str">
        <f>'A) Base RI'!B53</f>
        <v>Eclépens</v>
      </c>
      <c r="C51" s="125">
        <f>'B) D RI'!U53</f>
        <v>64551.928043478263</v>
      </c>
      <c r="D51" s="147">
        <f>'E) Fact soc'!G57/C51</f>
        <v>19.147246188273286</v>
      </c>
      <c r="E51" s="181">
        <f>'H) Péréquation directe'!I62/C51</f>
        <v>16.312775982166823</v>
      </c>
      <c r="F51" s="186">
        <f>'I) Dépenses thématiques'!P51</f>
        <v>-0.15427650296038761</v>
      </c>
      <c r="G51" s="143">
        <f t="shared" si="1"/>
        <v>35.305745667479727</v>
      </c>
      <c r="H51" s="181">
        <f t="shared" si="2"/>
        <v>35.460022170440112</v>
      </c>
      <c r="I51" s="186">
        <f t="shared" si="3"/>
        <v>0</v>
      </c>
      <c r="J51" s="74">
        <f t="shared" si="0"/>
        <v>0</v>
      </c>
      <c r="K51" s="46"/>
    </row>
    <row r="52" spans="1:11" x14ac:dyDescent="0.25">
      <c r="A52" s="61">
        <f>'A) Base RI'!A54</f>
        <v>5483</v>
      </c>
      <c r="B52" s="114" t="str">
        <f>'A) Base RI'!B54</f>
        <v>Ferreyres</v>
      </c>
      <c r="C52" s="125">
        <f>'B) D RI'!U54</f>
        <v>9097.5578947368413</v>
      </c>
      <c r="D52" s="147">
        <f>'E) Fact soc'!G58/C52</f>
        <v>16.989196880042616</v>
      </c>
      <c r="E52" s="181">
        <f>'H) Péréquation directe'!I63/C52</f>
        <v>3.3080086879984587</v>
      </c>
      <c r="F52" s="186">
        <f>'I) Dépenses thématiques'!P52</f>
        <v>-1.9050793595788091</v>
      </c>
      <c r="G52" s="143">
        <f t="shared" si="1"/>
        <v>18.392126208462265</v>
      </c>
      <c r="H52" s="181">
        <f t="shared" si="2"/>
        <v>20.297205568041075</v>
      </c>
      <c r="I52" s="186">
        <f t="shared" si="3"/>
        <v>0</v>
      </c>
      <c r="J52" s="74">
        <f t="shared" si="0"/>
        <v>0</v>
      </c>
      <c r="K52" s="46"/>
    </row>
    <row r="53" spans="1:11" x14ac:dyDescent="0.25">
      <c r="A53" s="61">
        <f>'A) Base RI'!A55</f>
        <v>5484</v>
      </c>
      <c r="B53" s="114" t="str">
        <f>'A) Base RI'!B55</f>
        <v>Gollion</v>
      </c>
      <c r="C53" s="125">
        <f>'B) D RI'!U55</f>
        <v>23163.007162162161</v>
      </c>
      <c r="D53" s="147">
        <f>'E) Fact soc'!G59/C53</f>
        <v>20.825878769343394</v>
      </c>
      <c r="E53" s="181">
        <f>'H) Péréquation directe'!I64/C53</f>
        <v>1.1776127257288886</v>
      </c>
      <c r="F53" s="186">
        <f>'I) Dépenses thématiques'!P53</f>
        <v>-6.6061266418648561</v>
      </c>
      <c r="G53" s="143">
        <f t="shared" si="1"/>
        <v>15.397364853207426</v>
      </c>
      <c r="H53" s="181">
        <f t="shared" si="2"/>
        <v>22.003491495072282</v>
      </c>
      <c r="I53" s="186">
        <f t="shared" si="3"/>
        <v>0</v>
      </c>
      <c r="J53" s="74">
        <f t="shared" si="0"/>
        <v>0</v>
      </c>
      <c r="K53" s="46"/>
    </row>
    <row r="54" spans="1:11" x14ac:dyDescent="0.25">
      <c r="A54" s="61">
        <f>'A) Base RI'!A56</f>
        <v>5485</v>
      </c>
      <c r="B54" s="114" t="str">
        <f>'A) Base RI'!B56</f>
        <v>Grancy</v>
      </c>
      <c r="C54" s="125">
        <f>'B) D RI'!U56</f>
        <v>17298.355857142858</v>
      </c>
      <c r="D54" s="147">
        <f>'E) Fact soc'!G60/C54</f>
        <v>17.377157915554495</v>
      </c>
      <c r="E54" s="181">
        <f>'H) Péréquation directe'!I65/C54</f>
        <v>16.139137059398795</v>
      </c>
      <c r="F54" s="186">
        <f>'I) Dépenses thématiques'!P54</f>
        <v>-3.0088334859642725</v>
      </c>
      <c r="G54" s="143">
        <f t="shared" si="1"/>
        <v>30.507461488989016</v>
      </c>
      <c r="H54" s="181">
        <f t="shared" si="2"/>
        <v>33.51629497495329</v>
      </c>
      <c r="I54" s="186">
        <f t="shared" si="3"/>
        <v>0</v>
      </c>
      <c r="J54" s="74">
        <f t="shared" si="0"/>
        <v>0</v>
      </c>
      <c r="K54" s="46"/>
    </row>
    <row r="55" spans="1:11" x14ac:dyDescent="0.25">
      <c r="A55" s="61">
        <f>'A) Base RI'!A57</f>
        <v>5486</v>
      </c>
      <c r="B55" s="114" t="str">
        <f>'A) Base RI'!B57</f>
        <v>L'Isle</v>
      </c>
      <c r="C55" s="125">
        <f>'B) D RI'!U57</f>
        <v>27212.445657894736</v>
      </c>
      <c r="D55" s="147">
        <f>'E) Fact soc'!G61/C55</f>
        <v>25.359918697126851</v>
      </c>
      <c r="E55" s="181">
        <f>'H) Péréquation directe'!I66/C55</f>
        <v>-0.89509156453678407</v>
      </c>
      <c r="F55" s="186">
        <f>'I) Dépenses thématiques'!P55</f>
        <v>-12.80980883195013</v>
      </c>
      <c r="G55" s="143">
        <f t="shared" si="1"/>
        <v>11.655018300639936</v>
      </c>
      <c r="H55" s="181">
        <f t="shared" si="2"/>
        <v>24.464827132590067</v>
      </c>
      <c r="I55" s="186">
        <f t="shared" si="3"/>
        <v>0</v>
      </c>
      <c r="J55" s="74">
        <f t="shared" si="0"/>
        <v>0</v>
      </c>
      <c r="K55" s="46"/>
    </row>
    <row r="56" spans="1:11" x14ac:dyDescent="0.25">
      <c r="A56" s="61">
        <f>'A) Base RI'!A58</f>
        <v>5487</v>
      </c>
      <c r="B56" s="114" t="str">
        <f>'A) Base RI'!B58</f>
        <v>Lussery-Villars</v>
      </c>
      <c r="C56" s="125">
        <f>'B) D RI'!U58</f>
        <v>12274.32455882353</v>
      </c>
      <c r="D56" s="147">
        <f>'E) Fact soc'!G62/C56</f>
        <v>17.439832912546052</v>
      </c>
      <c r="E56" s="181">
        <f>'H) Péréquation directe'!I67/C56</f>
        <v>5.6240687992685912</v>
      </c>
      <c r="F56" s="186">
        <f>'I) Dépenses thématiques'!P56</f>
        <v>-3.5998732795260504</v>
      </c>
      <c r="G56" s="143">
        <f t="shared" si="1"/>
        <v>19.464028432288593</v>
      </c>
      <c r="H56" s="181">
        <f t="shared" si="2"/>
        <v>23.063901711814644</v>
      </c>
      <c r="I56" s="186">
        <f t="shared" si="3"/>
        <v>0</v>
      </c>
      <c r="J56" s="74">
        <f t="shared" si="0"/>
        <v>0</v>
      </c>
      <c r="K56" s="46"/>
    </row>
    <row r="57" spans="1:11" x14ac:dyDescent="0.25">
      <c r="A57" s="61">
        <f>'A) Base RI'!A59</f>
        <v>5488</v>
      </c>
      <c r="B57" s="114" t="str">
        <f>'A) Base RI'!B59</f>
        <v>Mauraz</v>
      </c>
      <c r="C57" s="125">
        <f>'B) D RI'!U59</f>
        <v>1417.5255405405405</v>
      </c>
      <c r="D57" s="147">
        <f>'E) Fact soc'!G63/C57</f>
        <v>15.524464788839424</v>
      </c>
      <c r="E57" s="181">
        <f>'H) Péréquation directe'!I68/C57</f>
        <v>3.7526923678311963</v>
      </c>
      <c r="F57" s="186">
        <f>'I) Dépenses thématiques'!P57</f>
        <v>-3.3443530875490342</v>
      </c>
      <c r="G57" s="143">
        <f t="shared" si="1"/>
        <v>15.932804069121584</v>
      </c>
      <c r="H57" s="181">
        <f t="shared" si="2"/>
        <v>19.277157156670619</v>
      </c>
      <c r="I57" s="186">
        <f t="shared" si="3"/>
        <v>0</v>
      </c>
      <c r="J57" s="74">
        <f t="shared" si="0"/>
        <v>0</v>
      </c>
      <c r="K57" s="46"/>
    </row>
    <row r="58" spans="1:11" x14ac:dyDescent="0.25">
      <c r="A58" s="61">
        <f>'A) Base RI'!A60</f>
        <v>5489</v>
      </c>
      <c r="B58" s="114" t="str">
        <f>'A) Base RI'!B60</f>
        <v>Mex</v>
      </c>
      <c r="C58" s="125">
        <f>'B) D RI'!U60</f>
        <v>37121.285573770496</v>
      </c>
      <c r="D58" s="147">
        <f>'E) Fact soc'!G64/C58</f>
        <v>17.481814943763226</v>
      </c>
      <c r="E58" s="181">
        <f>'H) Péréquation directe'!I69/C58</f>
        <v>16.761977149522153</v>
      </c>
      <c r="F58" s="186">
        <f>'I) Dépenses thématiques'!P58</f>
        <v>-0.18588285861102707</v>
      </c>
      <c r="G58" s="143">
        <f t="shared" si="1"/>
        <v>34.057909234674348</v>
      </c>
      <c r="H58" s="181">
        <f t="shared" si="2"/>
        <v>34.243792093285379</v>
      </c>
      <c r="I58" s="186">
        <f t="shared" si="3"/>
        <v>0</v>
      </c>
      <c r="J58" s="74">
        <f t="shared" si="0"/>
        <v>0</v>
      </c>
      <c r="K58" s="46"/>
    </row>
    <row r="59" spans="1:11" x14ac:dyDescent="0.25">
      <c r="A59" s="61">
        <f>'A) Base RI'!A61</f>
        <v>5490</v>
      </c>
      <c r="B59" s="114" t="str">
        <f>'A) Base RI'!B61</f>
        <v>Moiry</v>
      </c>
      <c r="C59" s="125">
        <f>'B) D RI'!U61</f>
        <v>7321.727037037037</v>
      </c>
      <c r="D59" s="147">
        <f>'E) Fact soc'!G65/C59</f>
        <v>17.434813252971775</v>
      </c>
      <c r="E59" s="181">
        <f>'H) Péréquation directe'!I70/C59</f>
        <v>-4.8064512399694115</v>
      </c>
      <c r="F59" s="186">
        <f>'I) Dépenses thématiques'!P59</f>
        <v>-2.4471385380991171</v>
      </c>
      <c r="G59" s="143">
        <f t="shared" si="1"/>
        <v>10.181223474903245</v>
      </c>
      <c r="H59" s="181">
        <f t="shared" si="2"/>
        <v>12.628362013002363</v>
      </c>
      <c r="I59" s="186">
        <f t="shared" si="3"/>
        <v>0</v>
      </c>
      <c r="J59" s="74">
        <f t="shared" si="0"/>
        <v>0</v>
      </c>
      <c r="K59" s="46"/>
    </row>
    <row r="60" spans="1:11" x14ac:dyDescent="0.25">
      <c r="A60" s="61">
        <f>'A) Base RI'!A62</f>
        <v>5491</v>
      </c>
      <c r="B60" s="114" t="str">
        <f>'A) Base RI'!B62</f>
        <v>Mont-la-Ville</v>
      </c>
      <c r="C60" s="125">
        <f>'B) D RI'!U62</f>
        <v>8599.6809210526335</v>
      </c>
      <c r="D60" s="147">
        <f>'E) Fact soc'!G66/C60</f>
        <v>20.015035468672636</v>
      </c>
      <c r="E60" s="181">
        <f>'H) Péréquation directe'!I71/C60</f>
        <v>-7.8261777131118802</v>
      </c>
      <c r="F60" s="186">
        <f>'I) Dépenses thématiques'!P60</f>
        <v>-13.023847845597087</v>
      </c>
      <c r="G60" s="143">
        <f t="shared" si="1"/>
        <v>-0.83499009003633162</v>
      </c>
      <c r="H60" s="181">
        <f t="shared" si="2"/>
        <v>12.188857755560756</v>
      </c>
      <c r="I60" s="186">
        <f t="shared" si="3"/>
        <v>0</v>
      </c>
      <c r="J60" s="74">
        <f t="shared" si="0"/>
        <v>0</v>
      </c>
      <c r="K60" s="46"/>
    </row>
    <row r="61" spans="1:11" x14ac:dyDescent="0.25">
      <c r="A61" s="61">
        <f>'A) Base RI'!A63</f>
        <v>5492</v>
      </c>
      <c r="B61" s="114" t="str">
        <f>'A) Base RI'!B63</f>
        <v>Montricher</v>
      </c>
      <c r="C61" s="125">
        <f>'B) D RI'!U63</f>
        <v>187025.79406249998</v>
      </c>
      <c r="D61" s="147">
        <f>'E) Fact soc'!G67/C61</f>
        <v>37.822090132590731</v>
      </c>
      <c r="E61" s="181">
        <f>'H) Péréquation directe'!I72/C61</f>
        <v>13.157267972814035</v>
      </c>
      <c r="F61" s="186">
        <f>'I) Dépenses thématiques'!P61</f>
        <v>-1.2617488529247884</v>
      </c>
      <c r="G61" s="143">
        <f t="shared" si="1"/>
        <v>49.717609252479974</v>
      </c>
      <c r="H61" s="181">
        <f t="shared" si="2"/>
        <v>50.979358105404764</v>
      </c>
      <c r="I61" s="186">
        <f t="shared" si="3"/>
        <v>0</v>
      </c>
      <c r="J61" s="74">
        <f t="shared" ref="J61:J115" si="4">-I61*C61</f>
        <v>0</v>
      </c>
      <c r="K61" s="46"/>
    </row>
    <row r="62" spans="1:11" x14ac:dyDescent="0.25">
      <c r="A62" s="61">
        <f>'A) Base RI'!A64</f>
        <v>5493</v>
      </c>
      <c r="B62" s="114" t="str">
        <f>'A) Base RI'!B64</f>
        <v>Orny</v>
      </c>
      <c r="C62" s="125">
        <f>'B) D RI'!U64</f>
        <v>10614.324773445733</v>
      </c>
      <c r="D62" s="147">
        <f>'E) Fact soc'!G68/C62</f>
        <v>18.060098526685085</v>
      </c>
      <c r="E62" s="181">
        <f>'H) Péréquation directe'!I73/C62</f>
        <v>3.271328675027918</v>
      </c>
      <c r="F62" s="186">
        <f>'I) Dépenses thématiques'!P62</f>
        <v>-5.0234828008026522</v>
      </c>
      <c r="G62" s="143">
        <f t="shared" ref="G62:G116" si="5">SUM(D62:F62)</f>
        <v>16.307944400910351</v>
      </c>
      <c r="H62" s="181">
        <f t="shared" ref="H62:H116" si="6">G62-F62</f>
        <v>21.331427201713005</v>
      </c>
      <c r="I62" s="186">
        <f t="shared" ref="I62:I116" si="7">IF(H62&lt;I$4,H62-I$4,0)</f>
        <v>0</v>
      </c>
      <c r="J62" s="74">
        <f t="shared" si="4"/>
        <v>0</v>
      </c>
      <c r="K62" s="46"/>
    </row>
    <row r="63" spans="1:11" x14ac:dyDescent="0.25">
      <c r="A63" s="61">
        <f>'A) Base RI'!A65</f>
        <v>5494</v>
      </c>
      <c r="B63" s="114" t="str">
        <f>'A) Base RI'!B65</f>
        <v>Pampigny</v>
      </c>
      <c r="C63" s="125">
        <f>'B) D RI'!U65</f>
        <v>33982.091568253971</v>
      </c>
      <c r="D63" s="147">
        <f>'E) Fact soc'!G69/C63</f>
        <v>18.026613305190118</v>
      </c>
      <c r="E63" s="181">
        <f>'H) Péréquation directe'!I74/C63</f>
        <v>4.157187508393922</v>
      </c>
      <c r="F63" s="186">
        <f>'I) Dépenses thématiques'!P63</f>
        <v>-5.7637749591236922</v>
      </c>
      <c r="G63" s="143">
        <f t="shared" si="5"/>
        <v>16.420025854460349</v>
      </c>
      <c r="H63" s="181">
        <f t="shared" si="6"/>
        <v>22.183800813584043</v>
      </c>
      <c r="I63" s="186">
        <f t="shared" si="7"/>
        <v>0</v>
      </c>
      <c r="J63" s="74">
        <f t="shared" si="4"/>
        <v>0</v>
      </c>
      <c r="K63" s="46"/>
    </row>
    <row r="64" spans="1:11" x14ac:dyDescent="0.25">
      <c r="A64" s="61">
        <f>'A) Base RI'!A66</f>
        <v>5495</v>
      </c>
      <c r="B64" s="114" t="str">
        <f>'A) Base RI'!B66</f>
        <v>Penthalaz</v>
      </c>
      <c r="C64" s="125">
        <f>'B) D RI'!U66</f>
        <v>96162.321351351362</v>
      </c>
      <c r="D64" s="147">
        <f>'E) Fact soc'!G70/C64</f>
        <v>17.887331156944285</v>
      </c>
      <c r="E64" s="181">
        <f>'H) Péréquation directe'!I75/C64</f>
        <v>-1.472019016847486</v>
      </c>
      <c r="F64" s="186">
        <f>'I) Dépenses thématiques'!P64</f>
        <v>-4.182599743713884</v>
      </c>
      <c r="G64" s="143">
        <f t="shared" si="5"/>
        <v>12.232712396382915</v>
      </c>
      <c r="H64" s="181">
        <f t="shared" si="6"/>
        <v>16.415312140096798</v>
      </c>
      <c r="I64" s="186">
        <f t="shared" si="7"/>
        <v>0</v>
      </c>
      <c r="J64" s="74">
        <f t="shared" si="4"/>
        <v>0</v>
      </c>
      <c r="K64" s="46"/>
    </row>
    <row r="65" spans="1:11" x14ac:dyDescent="0.25">
      <c r="A65" s="61">
        <f>'A) Base RI'!A67</f>
        <v>5496</v>
      </c>
      <c r="B65" s="114" t="str">
        <f>'A) Base RI'!B67</f>
        <v>Penthaz</v>
      </c>
      <c r="C65" s="125">
        <f>'B) D RI'!U67</f>
        <v>55211.289014084505</v>
      </c>
      <c r="D65" s="147">
        <f>'E) Fact soc'!G71/C65</f>
        <v>17.453352375087093</v>
      </c>
      <c r="E65" s="181">
        <f>'H) Péréquation directe'!I76/C65</f>
        <v>6.2805798874348024</v>
      </c>
      <c r="F65" s="186">
        <f>'I) Dépenses thématiques'!P65</f>
        <v>-3.4128564303000086</v>
      </c>
      <c r="G65" s="143">
        <f t="shared" si="5"/>
        <v>20.321075832221887</v>
      </c>
      <c r="H65" s="181">
        <f t="shared" si="6"/>
        <v>23.733932262521897</v>
      </c>
      <c r="I65" s="186">
        <f t="shared" si="7"/>
        <v>0</v>
      </c>
      <c r="J65" s="74">
        <f t="shared" si="4"/>
        <v>0</v>
      </c>
      <c r="K65" s="46"/>
    </row>
    <row r="66" spans="1:11" x14ac:dyDescent="0.25">
      <c r="A66" s="61">
        <f>'A) Base RI'!A68</f>
        <v>5497</v>
      </c>
      <c r="B66" s="114" t="str">
        <f>'A) Base RI'!B68</f>
        <v>Pompaples</v>
      </c>
      <c r="C66" s="125">
        <f>'B) D RI'!U68</f>
        <v>22227.212272727276</v>
      </c>
      <c r="D66" s="147">
        <f>'E) Fact soc'!G72/C66</f>
        <v>20.682253520657447</v>
      </c>
      <c r="E66" s="181">
        <f>'H) Péréquation directe'!I77/C66</f>
        <v>3.5382593339521731</v>
      </c>
      <c r="F66" s="186">
        <f>'I) Dépenses thématiques'!P66</f>
        <v>-7.7541296894997078</v>
      </c>
      <c r="G66" s="143">
        <f t="shared" si="5"/>
        <v>16.46638316510991</v>
      </c>
      <c r="H66" s="181">
        <f t="shared" si="6"/>
        <v>24.220512854609616</v>
      </c>
      <c r="I66" s="186">
        <f t="shared" si="7"/>
        <v>0</v>
      </c>
      <c r="J66" s="74">
        <f t="shared" si="4"/>
        <v>0</v>
      </c>
      <c r="K66" s="46"/>
    </row>
    <row r="67" spans="1:11" x14ac:dyDescent="0.25">
      <c r="A67" s="61">
        <f>'A) Base RI'!A69</f>
        <v>5498</v>
      </c>
      <c r="B67" s="114" t="str">
        <f>'A) Base RI'!B69</f>
        <v>La Sarraz</v>
      </c>
      <c r="C67" s="125">
        <f>'B) D RI'!U69</f>
        <v>72104.13</v>
      </c>
      <c r="D67" s="147">
        <f>'E) Fact soc'!G73/C67</f>
        <v>17.478168480985769</v>
      </c>
      <c r="E67" s="181">
        <f>'H) Péréquation directe'!I78/C67</f>
        <v>0.52366025246364989</v>
      </c>
      <c r="F67" s="186">
        <f>'I) Dépenses thématiques'!P67</f>
        <v>-7.3642381281586049</v>
      </c>
      <c r="G67" s="143">
        <f t="shared" si="5"/>
        <v>10.637590605290814</v>
      </c>
      <c r="H67" s="181">
        <f t="shared" si="6"/>
        <v>18.001828733449418</v>
      </c>
      <c r="I67" s="186">
        <f t="shared" si="7"/>
        <v>0</v>
      </c>
      <c r="J67" s="74">
        <f t="shared" si="4"/>
        <v>0</v>
      </c>
      <c r="K67" s="46"/>
    </row>
    <row r="68" spans="1:11" x14ac:dyDescent="0.25">
      <c r="A68" s="61">
        <f>'A) Base RI'!A70</f>
        <v>5499</v>
      </c>
      <c r="B68" s="114" t="str">
        <f>'A) Base RI'!B70</f>
        <v>Senarclens</v>
      </c>
      <c r="C68" s="125">
        <f>'B) D RI'!U70</f>
        <v>21697.695620437953</v>
      </c>
      <c r="D68" s="147">
        <f>'E) Fact soc'!G74/C68</f>
        <v>18.290047182919889</v>
      </c>
      <c r="E68" s="181">
        <f>'H) Péréquation directe'!I79/C68</f>
        <v>16.530258095969167</v>
      </c>
      <c r="F68" s="186">
        <f>'I) Dépenses thématiques'!P68</f>
        <v>0</v>
      </c>
      <c r="G68" s="143">
        <f t="shared" si="5"/>
        <v>34.820305278889052</v>
      </c>
      <c r="H68" s="181">
        <f t="shared" si="6"/>
        <v>34.820305278889052</v>
      </c>
      <c r="I68" s="186">
        <f t="shared" si="7"/>
        <v>0</v>
      </c>
      <c r="J68" s="74">
        <f t="shared" si="4"/>
        <v>0</v>
      </c>
      <c r="K68" s="46"/>
    </row>
    <row r="69" spans="1:11" x14ac:dyDescent="0.25">
      <c r="A69" s="61">
        <f>'A) Base RI'!A71</f>
        <v>5500</v>
      </c>
      <c r="B69" s="114" t="str">
        <f>'A) Base RI'!B71</f>
        <v>Sévery</v>
      </c>
      <c r="C69" s="125">
        <f>'B) D RI'!U71</f>
        <v>6767.1525657894736</v>
      </c>
      <c r="D69" s="147">
        <f>'E) Fact soc'!G75/C69</f>
        <v>18.626747439614984</v>
      </c>
      <c r="E69" s="181">
        <f>'H) Péréquation directe'!I80/C69</f>
        <v>3.6074547938517512</v>
      </c>
      <c r="F69" s="186">
        <f>'I) Dépenses thématiques'!P69</f>
        <v>-4.0524915626782159</v>
      </c>
      <c r="G69" s="143">
        <f t="shared" si="5"/>
        <v>18.181710670788519</v>
      </c>
      <c r="H69" s="181">
        <f t="shared" si="6"/>
        <v>22.234202233466736</v>
      </c>
      <c r="I69" s="186">
        <f t="shared" si="7"/>
        <v>0</v>
      </c>
      <c r="J69" s="74">
        <f t="shared" si="4"/>
        <v>0</v>
      </c>
      <c r="K69" s="46"/>
    </row>
    <row r="70" spans="1:11" x14ac:dyDescent="0.25">
      <c r="A70" s="61">
        <f>'A) Base RI'!A72</f>
        <v>5501</v>
      </c>
      <c r="B70" s="114" t="str">
        <f>'A) Base RI'!B72</f>
        <v>Sullens</v>
      </c>
      <c r="C70" s="125">
        <f>'B) D RI'!U72</f>
        <v>35887.851857142865</v>
      </c>
      <c r="D70" s="147">
        <f>'E) Fact soc'!G76/C70</f>
        <v>18.540005268408706</v>
      </c>
      <c r="E70" s="181">
        <f>'H) Péréquation directe'!I81/C70</f>
        <v>13.377476134933389</v>
      </c>
      <c r="F70" s="186">
        <f>'I) Dépenses thématiques'!P70</f>
        <v>-0.31561450404440239</v>
      </c>
      <c r="G70" s="143">
        <f t="shared" si="5"/>
        <v>31.601866899297693</v>
      </c>
      <c r="H70" s="181">
        <f t="shared" si="6"/>
        <v>31.917481403342094</v>
      </c>
      <c r="I70" s="186">
        <f t="shared" si="7"/>
        <v>0</v>
      </c>
      <c r="J70" s="74">
        <f t="shared" si="4"/>
        <v>0</v>
      </c>
      <c r="K70" s="46"/>
    </row>
    <row r="71" spans="1:11" x14ac:dyDescent="0.25">
      <c r="A71" s="61">
        <f>'A) Base RI'!A73</f>
        <v>5503</v>
      </c>
      <c r="B71" s="114" t="str">
        <f>'A) Base RI'!B73</f>
        <v>Vufflens-la-Ville</v>
      </c>
      <c r="C71" s="125">
        <f>'B) D RI'!U73</f>
        <v>61379.446318407958</v>
      </c>
      <c r="D71" s="147">
        <f>'E) Fact soc'!G77/C71</f>
        <v>20.694271850211276</v>
      </c>
      <c r="E71" s="181">
        <f>'H) Péréquation directe'!I82/C71</f>
        <v>15.755797830170239</v>
      </c>
      <c r="F71" s="186">
        <f>'I) Dépenses thématiques'!P71</f>
        <v>0</v>
      </c>
      <c r="G71" s="143">
        <f t="shared" si="5"/>
        <v>36.450069680381517</v>
      </c>
      <c r="H71" s="181">
        <f t="shared" si="6"/>
        <v>36.450069680381517</v>
      </c>
      <c r="I71" s="186">
        <f t="shared" si="7"/>
        <v>0</v>
      </c>
      <c r="J71" s="74">
        <f t="shared" si="4"/>
        <v>0</v>
      </c>
      <c r="K71" s="46"/>
    </row>
    <row r="72" spans="1:11" x14ac:dyDescent="0.25">
      <c r="A72" s="61">
        <f>'A) Base RI'!A74</f>
        <v>5511</v>
      </c>
      <c r="B72" s="114" t="str">
        <f>'A) Base RI'!B74</f>
        <v>Assens</v>
      </c>
      <c r="C72" s="125">
        <f>'B) D RI'!U74</f>
        <v>41422.612571428566</v>
      </c>
      <c r="D72" s="147">
        <f>'E) Fact soc'!G78/C72</f>
        <v>17.371977421415043</v>
      </c>
      <c r="E72" s="181">
        <f>'H) Péréquation directe'!I83/C72</f>
        <v>14.040148068534988</v>
      </c>
      <c r="F72" s="186">
        <f>'I) Dépenses thématiques'!P72</f>
        <v>-4.2895850824661546</v>
      </c>
      <c r="G72" s="143">
        <f t="shared" si="5"/>
        <v>27.122540407483875</v>
      </c>
      <c r="H72" s="181">
        <f t="shared" si="6"/>
        <v>31.412125489950029</v>
      </c>
      <c r="I72" s="186">
        <f t="shared" si="7"/>
        <v>0</v>
      </c>
      <c r="J72" s="74">
        <f t="shared" si="4"/>
        <v>0</v>
      </c>
      <c r="K72" s="46"/>
    </row>
    <row r="73" spans="1:11" x14ac:dyDescent="0.25">
      <c r="A73" s="61">
        <f>'A) Base RI'!A75</f>
        <v>5512</v>
      </c>
      <c r="B73" s="114" t="str">
        <f>'A) Base RI'!B75</f>
        <v>Bercher</v>
      </c>
      <c r="C73" s="125">
        <f>'B) D RI'!U75</f>
        <v>32079.191772151898</v>
      </c>
      <c r="D73" s="147">
        <f>'E) Fact soc'!G79/C73</f>
        <v>18.00343902749324</v>
      </c>
      <c r="E73" s="181">
        <f>'H) Péréquation directe'!I84/C73</f>
        <v>-0.43828068323901986</v>
      </c>
      <c r="F73" s="186">
        <f>'I) Dépenses thématiques'!P73</f>
        <v>-4.8844445364282514</v>
      </c>
      <c r="G73" s="143">
        <f t="shared" si="5"/>
        <v>12.680713807825967</v>
      </c>
      <c r="H73" s="181">
        <f t="shared" si="6"/>
        <v>17.565158344254218</v>
      </c>
      <c r="I73" s="186">
        <f t="shared" si="7"/>
        <v>0</v>
      </c>
      <c r="J73" s="74">
        <f t="shared" si="4"/>
        <v>0</v>
      </c>
      <c r="K73" s="46"/>
    </row>
    <row r="74" spans="1:11" x14ac:dyDescent="0.25">
      <c r="A74" s="61">
        <f>'A) Base RI'!A76</f>
        <v>5513</v>
      </c>
      <c r="B74" s="114" t="str">
        <f>'A) Base RI'!B76</f>
        <v>Bioley-Orjulaz</v>
      </c>
      <c r="C74" s="125">
        <f>'B) D RI'!U76</f>
        <v>24024.471515151512</v>
      </c>
      <c r="D74" s="147">
        <f>'E) Fact soc'!G80/C74</f>
        <v>18.620655269162292</v>
      </c>
      <c r="E74" s="181">
        <f>'H) Péréquation directe'!I85/C74</f>
        <v>16.647131121578518</v>
      </c>
      <c r="F74" s="186">
        <f>'I) Dépenses thématiques'!P74</f>
        <v>-1.072582482031158</v>
      </c>
      <c r="G74" s="143">
        <f t="shared" si="5"/>
        <v>34.195203908709651</v>
      </c>
      <c r="H74" s="181">
        <f t="shared" si="6"/>
        <v>35.26778639074081</v>
      </c>
      <c r="I74" s="186">
        <f t="shared" si="7"/>
        <v>0</v>
      </c>
      <c r="J74" s="74">
        <f t="shared" si="4"/>
        <v>0</v>
      </c>
      <c r="K74" s="46"/>
    </row>
    <row r="75" spans="1:11" x14ac:dyDescent="0.25">
      <c r="A75" s="61">
        <f>'A) Base RI'!A77</f>
        <v>5514</v>
      </c>
      <c r="B75" s="114" t="str">
        <f>'A) Base RI'!B77</f>
        <v>Bottens</v>
      </c>
      <c r="C75" s="125">
        <f>'B) D RI'!U77</f>
        <v>38346.680434782604</v>
      </c>
      <c r="D75" s="147">
        <f>'E) Fact soc'!G81/C75</f>
        <v>19.458570773751788</v>
      </c>
      <c r="E75" s="181">
        <f>'H) Péréquation directe'!I86/C75</f>
        <v>6.3929806687940189</v>
      </c>
      <c r="F75" s="186">
        <f>'I) Dépenses thématiques'!P75</f>
        <v>-0.89104766087974308</v>
      </c>
      <c r="G75" s="143">
        <f t="shared" si="5"/>
        <v>24.960503781666063</v>
      </c>
      <c r="H75" s="181">
        <f t="shared" si="6"/>
        <v>25.851551442545805</v>
      </c>
      <c r="I75" s="186">
        <f t="shared" si="7"/>
        <v>0</v>
      </c>
      <c r="J75" s="74">
        <f t="shared" si="4"/>
        <v>0</v>
      </c>
      <c r="K75" s="46"/>
    </row>
    <row r="76" spans="1:11" x14ac:dyDescent="0.25">
      <c r="A76" s="61">
        <f>'A) Base RI'!A78</f>
        <v>5515</v>
      </c>
      <c r="B76" s="114" t="str">
        <f>'A) Base RI'!B78</f>
        <v>Bretigny-sur-Morrens</v>
      </c>
      <c r="C76" s="125">
        <f>'B) D RI'!U78</f>
        <v>24345.34643835617</v>
      </c>
      <c r="D76" s="147">
        <f>'E) Fact soc'!G82/C76</f>
        <v>18.222516762193685</v>
      </c>
      <c r="E76" s="181">
        <f>'H) Péréquation directe'!I87/C76</f>
        <v>5.9500886444305277</v>
      </c>
      <c r="F76" s="186">
        <f>'I) Dépenses thématiques'!P76</f>
        <v>-3.3351336891287011</v>
      </c>
      <c r="G76" s="143">
        <f t="shared" si="5"/>
        <v>20.837471717495514</v>
      </c>
      <c r="H76" s="181">
        <f t="shared" si="6"/>
        <v>24.172605406624214</v>
      </c>
      <c r="I76" s="186">
        <f t="shared" si="7"/>
        <v>0</v>
      </c>
      <c r="J76" s="74">
        <f t="shared" si="4"/>
        <v>0</v>
      </c>
      <c r="K76" s="46"/>
    </row>
    <row r="77" spans="1:11" x14ac:dyDescent="0.25">
      <c r="A77" s="61">
        <f>'A) Base RI'!A79</f>
        <v>5516</v>
      </c>
      <c r="B77" s="114" t="str">
        <f>'A) Base RI'!B79</f>
        <v>Cugy</v>
      </c>
      <c r="C77" s="125">
        <f>'B) D RI'!U79</f>
        <v>104935.17701492537</v>
      </c>
      <c r="D77" s="147">
        <f>'E) Fact soc'!G83/C77</f>
        <v>18.593262347109107</v>
      </c>
      <c r="E77" s="181">
        <f>'H) Péréquation directe'!I88/C77</f>
        <v>9.0364878467340635</v>
      </c>
      <c r="F77" s="186">
        <f>'I) Dépenses thématiques'!P77</f>
        <v>-2.1620612977593563</v>
      </c>
      <c r="G77" s="143">
        <f t="shared" si="5"/>
        <v>25.467688896083814</v>
      </c>
      <c r="H77" s="181">
        <f t="shared" si="6"/>
        <v>27.629750193843172</v>
      </c>
      <c r="I77" s="186">
        <f t="shared" si="7"/>
        <v>0</v>
      </c>
      <c r="J77" s="74">
        <f t="shared" si="4"/>
        <v>0</v>
      </c>
      <c r="K77" s="46"/>
    </row>
    <row r="78" spans="1:11" x14ac:dyDescent="0.25">
      <c r="A78" s="61">
        <f>'A) Base RI'!A80</f>
        <v>5518</v>
      </c>
      <c r="B78" s="114" t="str">
        <f>'A) Base RI'!B80</f>
        <v>Echallens</v>
      </c>
      <c r="C78" s="125">
        <f>'B) D RI'!U80</f>
        <v>181423.1631081081</v>
      </c>
      <c r="D78" s="147">
        <f>'E) Fact soc'!G84/C78</f>
        <v>17.436431563408892</v>
      </c>
      <c r="E78" s="181">
        <f>'H) Péréquation directe'!I89/C78</f>
        <v>-1.1102201159568217</v>
      </c>
      <c r="F78" s="186">
        <f>'I) Dépenses thématiques'!P78</f>
        <v>-4.5599311398371132</v>
      </c>
      <c r="G78" s="143">
        <f t="shared" si="5"/>
        <v>11.766280307614958</v>
      </c>
      <c r="H78" s="181">
        <f t="shared" si="6"/>
        <v>16.326211447452071</v>
      </c>
      <c r="I78" s="186">
        <f t="shared" si="7"/>
        <v>0</v>
      </c>
      <c r="J78" s="74">
        <f t="shared" si="4"/>
        <v>0</v>
      </c>
      <c r="K78" s="46"/>
    </row>
    <row r="79" spans="1:11" x14ac:dyDescent="0.25">
      <c r="A79" s="61">
        <f>'A) Base RI'!A81</f>
        <v>5520</v>
      </c>
      <c r="B79" s="114" t="str">
        <f>'A) Base RI'!B81</f>
        <v>Essertines-sur-Yverdon</v>
      </c>
      <c r="C79" s="125">
        <f>'B) D RI'!U81</f>
        <v>28021.579589041095</v>
      </c>
      <c r="D79" s="147">
        <f>'E) Fact soc'!G85/C79</f>
        <v>17.110929601029596</v>
      </c>
      <c r="E79" s="181">
        <f>'H) Péréquation directe'!I90/C79</f>
        <v>4.9304520991816805</v>
      </c>
      <c r="F79" s="186">
        <f>'I) Dépenses thématiques'!P79</f>
        <v>-4.1746700969909165</v>
      </c>
      <c r="G79" s="143">
        <f t="shared" si="5"/>
        <v>17.866711603220359</v>
      </c>
      <c r="H79" s="181">
        <f t="shared" si="6"/>
        <v>22.041381700211275</v>
      </c>
      <c r="I79" s="186">
        <f t="shared" si="7"/>
        <v>0</v>
      </c>
      <c r="J79" s="74">
        <f t="shared" si="4"/>
        <v>0</v>
      </c>
      <c r="K79" s="46"/>
    </row>
    <row r="80" spans="1:11" x14ac:dyDescent="0.25">
      <c r="A80" s="61">
        <f>'A) Base RI'!A82</f>
        <v>5521</v>
      </c>
      <c r="B80" s="114" t="str">
        <f>'A) Base RI'!B82</f>
        <v>Etagnières</v>
      </c>
      <c r="C80" s="125">
        <f>'B) D RI'!U82</f>
        <v>40532.749863013705</v>
      </c>
      <c r="D80" s="147">
        <f>'E) Fact soc'!G86/C80</f>
        <v>16.54509403654189</v>
      </c>
      <c r="E80" s="181">
        <f>'H) Péréquation directe'!I91/C80</f>
        <v>9.6712594515658417</v>
      </c>
      <c r="F80" s="186">
        <f>'I) Dépenses thématiques'!P80</f>
        <v>-0.21766340447434104</v>
      </c>
      <c r="G80" s="143">
        <f t="shared" si="5"/>
        <v>25.998690083633392</v>
      </c>
      <c r="H80" s="181">
        <f t="shared" si="6"/>
        <v>26.216353488107732</v>
      </c>
      <c r="I80" s="186">
        <f t="shared" si="7"/>
        <v>0</v>
      </c>
      <c r="J80" s="74">
        <f t="shared" si="4"/>
        <v>0</v>
      </c>
      <c r="K80" s="46"/>
    </row>
    <row r="81" spans="1:11" x14ac:dyDescent="0.25">
      <c r="A81" s="61">
        <f>'A) Base RI'!A83</f>
        <v>5522</v>
      </c>
      <c r="B81" s="114" t="str">
        <f>'A) Base RI'!B83</f>
        <v>Fey</v>
      </c>
      <c r="C81" s="125">
        <f>'B) D RI'!U83</f>
        <v>18218.5124</v>
      </c>
      <c r="D81" s="147">
        <f>'E) Fact soc'!G87/C81</f>
        <v>17.536419672707989</v>
      </c>
      <c r="E81" s="181">
        <f>'H) Péréquation directe'!I92/C81</f>
        <v>3.1302697081151036</v>
      </c>
      <c r="F81" s="186">
        <f>'I) Dépenses thématiques'!P81</f>
        <v>-6.7783738122001358</v>
      </c>
      <c r="G81" s="143">
        <f t="shared" si="5"/>
        <v>13.888315568622957</v>
      </c>
      <c r="H81" s="181">
        <f t="shared" si="6"/>
        <v>20.666689380823094</v>
      </c>
      <c r="I81" s="186">
        <f t="shared" si="7"/>
        <v>0</v>
      </c>
      <c r="J81" s="74">
        <f t="shared" si="4"/>
        <v>0</v>
      </c>
      <c r="K81" s="46"/>
    </row>
    <row r="82" spans="1:11" x14ac:dyDescent="0.25">
      <c r="A82" s="61">
        <f>'A) Base RI'!A84</f>
        <v>5523</v>
      </c>
      <c r="B82" s="114" t="str">
        <f>'A) Base RI'!B84</f>
        <v>Froideville</v>
      </c>
      <c r="C82" s="125">
        <f>'B) D RI'!U84</f>
        <v>77819.657763157898</v>
      </c>
      <c r="D82" s="147">
        <f>'E) Fact soc'!G88/C82</f>
        <v>18.892248489426141</v>
      </c>
      <c r="E82" s="181">
        <f>'H) Péréquation directe'!I93/C82</f>
        <v>2.4338787886965187</v>
      </c>
      <c r="F82" s="186">
        <f>'I) Dépenses thématiques'!P82</f>
        <v>-2.5243625972793615</v>
      </c>
      <c r="G82" s="143">
        <f t="shared" si="5"/>
        <v>18.801764680843299</v>
      </c>
      <c r="H82" s="181">
        <f t="shared" si="6"/>
        <v>21.326127278122659</v>
      </c>
      <c r="I82" s="186">
        <f t="shared" si="7"/>
        <v>0</v>
      </c>
      <c r="J82" s="74">
        <f t="shared" si="4"/>
        <v>0</v>
      </c>
      <c r="K82" s="46"/>
    </row>
    <row r="83" spans="1:11" x14ac:dyDescent="0.25">
      <c r="A83" s="61">
        <f>'A) Base RI'!A85</f>
        <v>5527</v>
      </c>
      <c r="B83" s="114" t="str">
        <f>'A) Base RI'!B85</f>
        <v>Morrens</v>
      </c>
      <c r="C83" s="125">
        <f>'B) D RI'!U85</f>
        <v>36998.677183098589</v>
      </c>
      <c r="D83" s="147">
        <f>'E) Fact soc'!G89/C83</f>
        <v>18.973085380558487</v>
      </c>
      <c r="E83" s="181">
        <f>'H) Péréquation directe'!I94/C83</f>
        <v>10.2402985502946</v>
      </c>
      <c r="F83" s="186">
        <f>'I) Dépenses thématiques'!P83</f>
        <v>-0.36299138638041006</v>
      </c>
      <c r="G83" s="143">
        <f t="shared" si="5"/>
        <v>28.850392544472676</v>
      </c>
      <c r="H83" s="181">
        <f t="shared" si="6"/>
        <v>29.213383930853087</v>
      </c>
      <c r="I83" s="186">
        <f t="shared" si="7"/>
        <v>0</v>
      </c>
      <c r="J83" s="74">
        <f t="shared" si="4"/>
        <v>0</v>
      </c>
      <c r="K83" s="46"/>
    </row>
    <row r="84" spans="1:11" x14ac:dyDescent="0.25">
      <c r="A84" s="61">
        <f>'A) Base RI'!A86</f>
        <v>5529</v>
      </c>
      <c r="B84" s="114" t="str">
        <f>'A) Base RI'!B86</f>
        <v>Oulens-sous-Echallens</v>
      </c>
      <c r="C84" s="125">
        <f>'B) D RI'!U86</f>
        <v>16830.940140845072</v>
      </c>
      <c r="D84" s="147">
        <f>'E) Fact soc'!G90/C84</f>
        <v>20.487462357661261</v>
      </c>
      <c r="E84" s="181">
        <f>'H) Péréquation directe'!I95/C84</f>
        <v>7.5673752485940433</v>
      </c>
      <c r="F84" s="186">
        <f>'I) Dépenses thématiques'!P84</f>
        <v>-7.3459684103965497</v>
      </c>
      <c r="G84" s="143">
        <f t="shared" si="5"/>
        <v>20.708869195858753</v>
      </c>
      <c r="H84" s="181">
        <f t="shared" si="6"/>
        <v>28.054837606255305</v>
      </c>
      <c r="I84" s="186">
        <f t="shared" si="7"/>
        <v>0</v>
      </c>
      <c r="J84" s="74">
        <f t="shared" si="4"/>
        <v>0</v>
      </c>
      <c r="K84" s="46"/>
    </row>
    <row r="85" spans="1:11" x14ac:dyDescent="0.25">
      <c r="A85" s="61">
        <f>'A) Base RI'!A87</f>
        <v>5530</v>
      </c>
      <c r="B85" s="114" t="str">
        <f>'A) Base RI'!B87</f>
        <v>Pailly</v>
      </c>
      <c r="C85" s="125">
        <f>'B) D RI'!U87</f>
        <v>15988.116172043008</v>
      </c>
      <c r="D85" s="147">
        <f>'E) Fact soc'!G91/C85</f>
        <v>17.087895385103717</v>
      </c>
      <c r="E85" s="181">
        <f>'H) Péréquation directe'!I96/C85</f>
        <v>4.0645995943085058</v>
      </c>
      <c r="F85" s="186">
        <f>'I) Dépenses thématiques'!P85</f>
        <v>-18.619627538078717</v>
      </c>
      <c r="G85" s="143">
        <f t="shared" si="5"/>
        <v>2.5328674413335079</v>
      </c>
      <c r="H85" s="181">
        <f t="shared" si="6"/>
        <v>21.152494979412225</v>
      </c>
      <c r="I85" s="186">
        <f t="shared" si="7"/>
        <v>0</v>
      </c>
      <c r="J85" s="74">
        <f t="shared" si="4"/>
        <v>0</v>
      </c>
      <c r="K85" s="46"/>
    </row>
    <row r="86" spans="1:11" x14ac:dyDescent="0.25">
      <c r="A86" s="61">
        <f>'A) Base RI'!A88</f>
        <v>5531</v>
      </c>
      <c r="B86" s="114" t="str">
        <f>'A) Base RI'!B88</f>
        <v>Penthéréaz</v>
      </c>
      <c r="C86" s="125">
        <f>'B) D RI'!U88</f>
        <v>11628.696923076923</v>
      </c>
      <c r="D86" s="147">
        <f>'E) Fact soc'!G92/C86</f>
        <v>18.494179300141901</v>
      </c>
      <c r="E86" s="181">
        <f>'H) Péréquation directe'!I97/C86</f>
        <v>3.7858835402527777</v>
      </c>
      <c r="F86" s="186">
        <f>'I) Dépenses thématiques'!P86</f>
        <v>-3.9162847165260195</v>
      </c>
      <c r="G86" s="143">
        <f t="shared" si="5"/>
        <v>18.363778123868659</v>
      </c>
      <c r="H86" s="181">
        <f t="shared" si="6"/>
        <v>22.280062840394677</v>
      </c>
      <c r="I86" s="186">
        <f t="shared" si="7"/>
        <v>0</v>
      </c>
      <c r="J86" s="74">
        <f t="shared" si="4"/>
        <v>0</v>
      </c>
      <c r="K86" s="46"/>
    </row>
    <row r="87" spans="1:11" x14ac:dyDescent="0.25">
      <c r="A87" s="61">
        <f>'A) Base RI'!A89</f>
        <v>5533</v>
      </c>
      <c r="B87" s="114" t="str">
        <f>'A) Base RI'!B89</f>
        <v>Poliez-Pittet</v>
      </c>
      <c r="C87" s="125">
        <f>'B) D RI'!U89</f>
        <v>21286.915727699528</v>
      </c>
      <c r="D87" s="147">
        <f>'E) Fact soc'!G93/C87</f>
        <v>17.434857563452752</v>
      </c>
      <c r="E87" s="181">
        <f>'H) Péréquation directe'!I98/C87</f>
        <v>1.0040156687305819</v>
      </c>
      <c r="F87" s="186">
        <f>'I) Dépenses thématiques'!P87</f>
        <v>-5.3398185457945884</v>
      </c>
      <c r="G87" s="143">
        <f t="shared" si="5"/>
        <v>13.099054686388744</v>
      </c>
      <c r="H87" s="181">
        <f t="shared" si="6"/>
        <v>18.438873232183333</v>
      </c>
      <c r="I87" s="186">
        <f t="shared" si="7"/>
        <v>0</v>
      </c>
      <c r="J87" s="74">
        <f t="shared" si="4"/>
        <v>0</v>
      </c>
      <c r="K87" s="46"/>
    </row>
    <row r="88" spans="1:11" x14ac:dyDescent="0.25">
      <c r="A88" s="61">
        <f>'A) Base RI'!A90</f>
        <v>5534</v>
      </c>
      <c r="B88" s="114" t="str">
        <f>'A) Base RI'!B90</f>
        <v>Rueyres</v>
      </c>
      <c r="C88" s="125">
        <f>'B) D RI'!U90</f>
        <v>8123.1504109589041</v>
      </c>
      <c r="D88" s="147">
        <f>'E) Fact soc'!G94/C88</f>
        <v>21.914458494972536</v>
      </c>
      <c r="E88" s="181">
        <f>'H) Péréquation directe'!I99/C88</f>
        <v>6.0683552453096876</v>
      </c>
      <c r="F88" s="186">
        <f>'I) Dépenses thématiques'!P88</f>
        <v>-3.5067420578182635</v>
      </c>
      <c r="G88" s="143">
        <f t="shared" si="5"/>
        <v>24.47607168246396</v>
      </c>
      <c r="H88" s="181">
        <f t="shared" si="6"/>
        <v>27.982813740282225</v>
      </c>
      <c r="I88" s="186">
        <f t="shared" si="7"/>
        <v>0</v>
      </c>
      <c r="J88" s="74">
        <f t="shared" si="4"/>
        <v>0</v>
      </c>
      <c r="K88" s="46"/>
    </row>
    <row r="89" spans="1:11" x14ac:dyDescent="0.25">
      <c r="A89" s="61">
        <f>'A) Base RI'!A91</f>
        <v>5535</v>
      </c>
      <c r="B89" s="114" t="str">
        <f>'A) Base RI'!B91</f>
        <v>Saint-Barthélemy</v>
      </c>
      <c r="C89" s="125">
        <f>'B) D RI'!U91</f>
        <v>21652.779733333333</v>
      </c>
      <c r="D89" s="147">
        <f>'E) Fact soc'!G95/C89</f>
        <v>16.198482405964707</v>
      </c>
      <c r="E89" s="181">
        <f>'H) Péréquation directe'!I100/C89</f>
        <v>1.76201351517733</v>
      </c>
      <c r="F89" s="186">
        <f>'I) Dépenses thématiques'!P89</f>
        <v>-2.364786321486684</v>
      </c>
      <c r="G89" s="143">
        <f t="shared" si="5"/>
        <v>15.595709599655354</v>
      </c>
      <c r="H89" s="181">
        <f t="shared" si="6"/>
        <v>17.960495921142037</v>
      </c>
      <c r="I89" s="186">
        <f t="shared" si="7"/>
        <v>0</v>
      </c>
      <c r="J89" s="74">
        <f t="shared" si="4"/>
        <v>0</v>
      </c>
      <c r="K89" s="46"/>
    </row>
    <row r="90" spans="1:11" x14ac:dyDescent="0.25">
      <c r="A90" s="61">
        <f>'A) Base RI'!A92</f>
        <v>5537</v>
      </c>
      <c r="B90" s="114" t="str">
        <f>'A) Base RI'!B92</f>
        <v>Villars-le-Terroir</v>
      </c>
      <c r="C90" s="125">
        <f>'B) D RI'!U92</f>
        <v>28181.728767123288</v>
      </c>
      <c r="D90" s="147">
        <f>'E) Fact soc'!G96/C90</f>
        <v>17.536012783940883</v>
      </c>
      <c r="E90" s="181">
        <f>'H) Péréquation directe'!I101/C90</f>
        <v>1.6120138880444996</v>
      </c>
      <c r="F90" s="186">
        <f>'I) Dépenses thématiques'!P90</f>
        <v>-0.37032391625960248</v>
      </c>
      <c r="G90" s="143">
        <f t="shared" si="5"/>
        <v>18.77770275572578</v>
      </c>
      <c r="H90" s="181">
        <f t="shared" si="6"/>
        <v>19.148026671985384</v>
      </c>
      <c r="I90" s="186">
        <f t="shared" si="7"/>
        <v>0</v>
      </c>
      <c r="J90" s="74">
        <f t="shared" si="4"/>
        <v>0</v>
      </c>
      <c r="K90" s="46"/>
    </row>
    <row r="91" spans="1:11" x14ac:dyDescent="0.25">
      <c r="A91" s="61">
        <f>'A) Base RI'!A93</f>
        <v>5539</v>
      </c>
      <c r="B91" s="114" t="str">
        <f>'A) Base RI'!B93</f>
        <v>Vuarrens</v>
      </c>
      <c r="C91" s="125">
        <f>'B) D RI'!U93</f>
        <v>22756.172933333331</v>
      </c>
      <c r="D91" s="147">
        <f>'E) Fact soc'!G97/C91</f>
        <v>18.003946077951557</v>
      </c>
      <c r="E91" s="181">
        <f>'H) Péréquation directe'!I102/C91</f>
        <v>-3.6340721953656216</v>
      </c>
      <c r="F91" s="186">
        <f>'I) Dépenses thématiques'!P91</f>
        <v>-4.1720935999337154</v>
      </c>
      <c r="G91" s="143">
        <f t="shared" si="5"/>
        <v>10.19778028265222</v>
      </c>
      <c r="H91" s="181">
        <f t="shared" si="6"/>
        <v>14.369873882585935</v>
      </c>
      <c r="I91" s="186">
        <f t="shared" si="7"/>
        <v>0</v>
      </c>
      <c r="J91" s="74">
        <f t="shared" si="4"/>
        <v>0</v>
      </c>
      <c r="K91" s="46"/>
    </row>
    <row r="92" spans="1:11" x14ac:dyDescent="0.25">
      <c r="A92" s="61">
        <f>'A) Base RI'!A94</f>
        <v>5540</v>
      </c>
      <c r="B92" s="114" t="str">
        <f>'A) Base RI'!B94</f>
        <v>Montilliez</v>
      </c>
      <c r="C92" s="125">
        <f>'B) D RI'!U94</f>
        <v>47199.265101351346</v>
      </c>
      <c r="D92" s="147">
        <f>'E) Fact soc'!G98/C92</f>
        <v>17.730267035472693</v>
      </c>
      <c r="E92" s="181">
        <f>'H) Péréquation directe'!I103/C92</f>
        <v>-0.23561313438986389</v>
      </c>
      <c r="F92" s="186">
        <f>'I) Dépenses thématiques'!P92</f>
        <v>-23.662300846836413</v>
      </c>
      <c r="G92" s="143">
        <f>SUM(D92:F92)</f>
        <v>-6.1676469457535852</v>
      </c>
      <c r="H92" s="181">
        <f>G92-F92</f>
        <v>17.494653901082827</v>
      </c>
      <c r="I92" s="186">
        <f t="shared" si="7"/>
        <v>0</v>
      </c>
      <c r="J92" s="74">
        <f>-I92*C92</f>
        <v>0</v>
      </c>
      <c r="K92" s="46"/>
    </row>
    <row r="93" spans="1:11" x14ac:dyDescent="0.25">
      <c r="A93" s="61">
        <f>'A) Base RI'!A95</f>
        <v>5541</v>
      </c>
      <c r="B93" s="114" t="str">
        <f>'A) Base RI'!B95</f>
        <v>Goumoëns</v>
      </c>
      <c r="C93" s="125">
        <f>'B) D RI'!U95</f>
        <v>35607.690389610398</v>
      </c>
      <c r="D93" s="147">
        <f>'E) Fact soc'!G99/C93</f>
        <v>17.337004841109469</v>
      </c>
      <c r="E93" s="181">
        <f>'H) Péréquation directe'!I104/C93</f>
        <v>8.0492951988879948</v>
      </c>
      <c r="F93" s="186">
        <f>'I) Dépenses thématiques'!P93</f>
        <v>-0.90138520093985064</v>
      </c>
      <c r="G93" s="143">
        <f>SUM(D93:F93)</f>
        <v>24.484914839057616</v>
      </c>
      <c r="H93" s="181">
        <f>G93-F93</f>
        <v>25.386300039997465</v>
      </c>
      <c r="I93" s="186">
        <f t="shared" si="7"/>
        <v>0</v>
      </c>
      <c r="J93" s="74">
        <f>-I93*C93</f>
        <v>0</v>
      </c>
      <c r="K93" s="46"/>
    </row>
    <row r="94" spans="1:11" x14ac:dyDescent="0.25">
      <c r="A94" s="61">
        <f>'A) Base RI'!A96</f>
        <v>5551</v>
      </c>
      <c r="B94" s="114" t="str">
        <f>'A) Base RI'!B96</f>
        <v>Bonvillars</v>
      </c>
      <c r="C94" s="125">
        <f>'B) D RI'!U96</f>
        <v>15988.430935064936</v>
      </c>
      <c r="D94" s="147">
        <f>'E) Fact soc'!G100/C94</f>
        <v>16.831802893803697</v>
      </c>
      <c r="E94" s="181">
        <f>'H) Péréquation directe'!I105/C94</f>
        <v>10.698528352142137</v>
      </c>
      <c r="F94" s="186">
        <f>'I) Dépenses thématiques'!P94</f>
        <v>-9.0274915390547097</v>
      </c>
      <c r="G94" s="143">
        <f t="shared" si="5"/>
        <v>18.502839706891123</v>
      </c>
      <c r="H94" s="181">
        <f t="shared" si="6"/>
        <v>27.530331245945831</v>
      </c>
      <c r="I94" s="186">
        <f t="shared" si="7"/>
        <v>0</v>
      </c>
      <c r="J94" s="74">
        <f t="shared" si="4"/>
        <v>0</v>
      </c>
      <c r="K94" s="46"/>
    </row>
    <row r="95" spans="1:11" x14ac:dyDescent="0.25">
      <c r="A95" s="61">
        <f>'A) Base RI'!A97</f>
        <v>5552</v>
      </c>
      <c r="B95" s="114" t="str">
        <f>'A) Base RI'!B97</f>
        <v>Bullet</v>
      </c>
      <c r="C95" s="125">
        <f>'B) D RI'!U97</f>
        <v>15525.607571428574</v>
      </c>
      <c r="D95" s="147">
        <f>'E) Fact soc'!G101/C95</f>
        <v>22.91946781669424</v>
      </c>
      <c r="E95" s="181">
        <f>'H) Péréquation directe'!I106/C95</f>
        <v>0.67521712430955105</v>
      </c>
      <c r="F95" s="186">
        <f>'I) Dépenses thématiques'!P95</f>
        <v>-11.848957728528612</v>
      </c>
      <c r="G95" s="143">
        <f t="shared" si="5"/>
        <v>11.745727212475179</v>
      </c>
      <c r="H95" s="181">
        <f t="shared" si="6"/>
        <v>23.594684941003791</v>
      </c>
      <c r="I95" s="186">
        <f t="shared" si="7"/>
        <v>0</v>
      </c>
      <c r="J95" s="74">
        <f t="shared" si="4"/>
        <v>0</v>
      </c>
      <c r="K95" s="46"/>
    </row>
    <row r="96" spans="1:11" x14ac:dyDescent="0.25">
      <c r="A96" s="61">
        <f>'A) Base RI'!A98</f>
        <v>5553</v>
      </c>
      <c r="B96" s="114" t="str">
        <f>'A) Base RI'!B98</f>
        <v>Champagne</v>
      </c>
      <c r="C96" s="125">
        <f>'B) D RI'!U98</f>
        <v>43429.608412698406</v>
      </c>
      <c r="D96" s="147">
        <f>'E) Fact soc'!G102/C96</f>
        <v>19.004946435452741</v>
      </c>
      <c r="E96" s="181">
        <f>'H) Péréquation directe'!I107/C96</f>
        <v>14.9157117930298</v>
      </c>
      <c r="F96" s="186">
        <f>'I) Dépenses thématiques'!P96</f>
        <v>-4.9379267944367591</v>
      </c>
      <c r="G96" s="143">
        <f t="shared" si="5"/>
        <v>28.982731434045778</v>
      </c>
      <c r="H96" s="181">
        <f t="shared" si="6"/>
        <v>33.920658228482537</v>
      </c>
      <c r="I96" s="186">
        <f t="shared" si="7"/>
        <v>0</v>
      </c>
      <c r="J96" s="74">
        <f t="shared" si="4"/>
        <v>0</v>
      </c>
      <c r="K96" s="46"/>
    </row>
    <row r="97" spans="1:11" x14ac:dyDescent="0.25">
      <c r="A97" s="61">
        <f>'A) Base RI'!A99</f>
        <v>5554</v>
      </c>
      <c r="B97" s="114" t="str">
        <f>'A) Base RI'!B99</f>
        <v>Concise</v>
      </c>
      <c r="C97" s="125">
        <f>'B) D RI'!U99</f>
        <v>29691.100933333331</v>
      </c>
      <c r="D97" s="147">
        <f>'E) Fact soc'!G103/C97</f>
        <v>20.28542162629039</v>
      </c>
      <c r="E97" s="181">
        <f>'H) Péréquation directe'!I108/C97</f>
        <v>6.0862379458418223</v>
      </c>
      <c r="F97" s="186">
        <f>'I) Dépenses thématiques'!P97</f>
        <v>-3.6024796439808067</v>
      </c>
      <c r="G97" s="143">
        <f t="shared" si="5"/>
        <v>22.769179928151406</v>
      </c>
      <c r="H97" s="181">
        <f t="shared" si="6"/>
        <v>26.371659572132213</v>
      </c>
      <c r="I97" s="186">
        <f t="shared" si="7"/>
        <v>0</v>
      </c>
      <c r="J97" s="74">
        <f t="shared" si="4"/>
        <v>0</v>
      </c>
      <c r="K97" s="46"/>
    </row>
    <row r="98" spans="1:11" x14ac:dyDescent="0.25">
      <c r="A98" s="61">
        <f>'A) Base RI'!A100</f>
        <v>5555</v>
      </c>
      <c r="B98" s="114" t="str">
        <f>'A) Base RI'!B100</f>
        <v>Corcelles-près-Concise</v>
      </c>
      <c r="C98" s="125">
        <f>'B) D RI'!U100</f>
        <v>9762.6867605633779</v>
      </c>
      <c r="D98" s="147">
        <f>'E) Fact soc'!G104/C98</f>
        <v>19.271886569059358</v>
      </c>
      <c r="E98" s="181">
        <f>'H) Péréquation directe'!I109/C98</f>
        <v>4.7066010791632147</v>
      </c>
      <c r="F98" s="186">
        <f>'I) Dépenses thématiques'!P98</f>
        <v>-11.240645794621058</v>
      </c>
      <c r="G98" s="143">
        <f t="shared" si="5"/>
        <v>12.737841853601514</v>
      </c>
      <c r="H98" s="181">
        <f t="shared" si="6"/>
        <v>23.978487648222572</v>
      </c>
      <c r="I98" s="186">
        <f t="shared" si="7"/>
        <v>0</v>
      </c>
      <c r="J98" s="74">
        <f t="shared" si="4"/>
        <v>0</v>
      </c>
      <c r="K98" s="46"/>
    </row>
    <row r="99" spans="1:11" x14ac:dyDescent="0.25">
      <c r="A99" s="61">
        <f>'A) Base RI'!A101</f>
        <v>5556</v>
      </c>
      <c r="B99" s="114" t="str">
        <f>'A) Base RI'!B101</f>
        <v>Fiez</v>
      </c>
      <c r="C99" s="125">
        <f>'B) D RI'!U101</f>
        <v>10799.932053140095</v>
      </c>
      <c r="D99" s="147">
        <f>'E) Fact soc'!G105/C99</f>
        <v>17.737645842423035</v>
      </c>
      <c r="E99" s="181">
        <f>'H) Péréquation directe'!I110/C99</f>
        <v>1.1209544636556483</v>
      </c>
      <c r="F99" s="186">
        <f>'I) Dépenses thématiques'!P99</f>
        <v>-5.4813219792253225</v>
      </c>
      <c r="G99" s="143">
        <f t="shared" si="5"/>
        <v>13.377278326853363</v>
      </c>
      <c r="H99" s="181">
        <f t="shared" si="6"/>
        <v>18.858600306078685</v>
      </c>
      <c r="I99" s="186">
        <f t="shared" si="7"/>
        <v>0</v>
      </c>
      <c r="J99" s="74">
        <f t="shared" si="4"/>
        <v>0</v>
      </c>
      <c r="K99" s="46"/>
    </row>
    <row r="100" spans="1:11" x14ac:dyDescent="0.25">
      <c r="A100" s="61">
        <f>'A) Base RI'!A102</f>
        <v>5557</v>
      </c>
      <c r="B100" s="114" t="str">
        <f>'A) Base RI'!B102</f>
        <v>Fontaines-sur-Grandson</v>
      </c>
      <c r="C100" s="125">
        <f>'B) D RI'!U102</f>
        <v>4200.6523188405799</v>
      </c>
      <c r="D100" s="147">
        <f>'E) Fact soc'!G106/C100</f>
        <v>17.593644606701393</v>
      </c>
      <c r="E100" s="181">
        <f>'H) Péréquation directe'!I111/C100</f>
        <v>-4.9366186680565152</v>
      </c>
      <c r="F100" s="186">
        <f>'I) Dépenses thématiques'!P100</f>
        <v>-6.1305617240238508</v>
      </c>
      <c r="G100" s="143">
        <f t="shared" si="5"/>
        <v>6.5264642146210274</v>
      </c>
      <c r="H100" s="181">
        <f t="shared" si="6"/>
        <v>12.657025938644878</v>
      </c>
      <c r="I100" s="186">
        <f t="shared" si="7"/>
        <v>0</v>
      </c>
      <c r="J100" s="74">
        <f t="shared" si="4"/>
        <v>0</v>
      </c>
      <c r="K100" s="46"/>
    </row>
    <row r="101" spans="1:11" x14ac:dyDescent="0.25">
      <c r="A101" s="61">
        <f>'A) Base RI'!A103</f>
        <v>5559</v>
      </c>
      <c r="B101" s="114" t="str">
        <f>'A) Base RI'!B103</f>
        <v>Giez</v>
      </c>
      <c r="C101" s="125">
        <f>'B) D RI'!U103</f>
        <v>17998.483636363639</v>
      </c>
      <c r="D101" s="147">
        <f>'E) Fact soc'!G107/C101</f>
        <v>16.047668031415615</v>
      </c>
      <c r="E101" s="181">
        <f>'H) Péréquation directe'!I112/C101</f>
        <v>16.44835896226423</v>
      </c>
      <c r="F101" s="186">
        <f>'I) Dépenses thématiques'!P101</f>
        <v>0</v>
      </c>
      <c r="G101" s="143">
        <f t="shared" si="5"/>
        <v>32.496026993679848</v>
      </c>
      <c r="H101" s="181">
        <f t="shared" si="6"/>
        <v>32.496026993679848</v>
      </c>
      <c r="I101" s="186">
        <f t="shared" si="7"/>
        <v>0</v>
      </c>
      <c r="J101" s="74">
        <f t="shared" si="4"/>
        <v>0</v>
      </c>
      <c r="K101" s="46"/>
    </row>
    <row r="102" spans="1:11" x14ac:dyDescent="0.25">
      <c r="A102" s="61">
        <f>'A) Base RI'!A104</f>
        <v>5560</v>
      </c>
      <c r="B102" s="114" t="str">
        <f>'A) Base RI'!B104</f>
        <v>Grandevent</v>
      </c>
      <c r="C102" s="125">
        <f>'B) D RI'!U104</f>
        <v>6396.1444117647052</v>
      </c>
      <c r="D102" s="147">
        <f>'E) Fact soc'!G108/C102</f>
        <v>17.965017095833559</v>
      </c>
      <c r="E102" s="181">
        <f>'H) Péréquation directe'!I113/C102</f>
        <v>3.9777689551142448</v>
      </c>
      <c r="F102" s="186">
        <f>'I) Dépenses thématiques'!P102</f>
        <v>-2.0298030596840095</v>
      </c>
      <c r="G102" s="143">
        <f t="shared" si="5"/>
        <v>19.912982991263792</v>
      </c>
      <c r="H102" s="181">
        <f t="shared" si="6"/>
        <v>21.942786050947802</v>
      </c>
      <c r="I102" s="186">
        <f t="shared" si="7"/>
        <v>0</v>
      </c>
      <c r="J102" s="74">
        <f t="shared" si="4"/>
        <v>0</v>
      </c>
      <c r="K102" s="46"/>
    </row>
    <row r="103" spans="1:11" x14ac:dyDescent="0.25">
      <c r="A103" s="61">
        <f>'A) Base RI'!A105</f>
        <v>5561</v>
      </c>
      <c r="B103" s="114" t="str">
        <f>'A) Base RI'!B105</f>
        <v>Grandson</v>
      </c>
      <c r="C103" s="125">
        <f>'B) D RI'!U105</f>
        <v>106507.86840579711</v>
      </c>
      <c r="D103" s="147">
        <f>'E) Fact soc'!G109/C103</f>
        <v>19.74278083182152</v>
      </c>
      <c r="E103" s="181">
        <f>'H) Péréquation directe'!I114/C103</f>
        <v>2.7890762530165878</v>
      </c>
      <c r="F103" s="186">
        <f>'I) Dépenses thématiques'!P103</f>
        <v>-6.9040021666064604</v>
      </c>
      <c r="G103" s="143">
        <f t="shared" si="5"/>
        <v>15.627854918231648</v>
      </c>
      <c r="H103" s="181">
        <f t="shared" si="6"/>
        <v>22.531857084838109</v>
      </c>
      <c r="I103" s="186">
        <f t="shared" si="7"/>
        <v>0</v>
      </c>
      <c r="J103" s="74">
        <f t="shared" si="4"/>
        <v>0</v>
      </c>
      <c r="K103" s="46"/>
    </row>
    <row r="104" spans="1:11" x14ac:dyDescent="0.25">
      <c r="A104" s="61">
        <f>'A) Base RI'!A106</f>
        <v>5562</v>
      </c>
      <c r="B104" s="114" t="str">
        <f>'A) Base RI'!B106</f>
        <v>Mauborget</v>
      </c>
      <c r="C104" s="125">
        <f>'B) D RI'!U106</f>
        <v>3916.9319285714282</v>
      </c>
      <c r="D104" s="147">
        <f>'E) Fact soc'!G110/C104</f>
        <v>16.750360486687633</v>
      </c>
      <c r="E104" s="181">
        <f>'H) Péréquation directe'!I115/C104</f>
        <v>8.964223129049488</v>
      </c>
      <c r="F104" s="186">
        <f>'I) Dépenses thématiques'!P104</f>
        <v>-3.7552601069311922</v>
      </c>
      <c r="G104" s="143">
        <f t="shared" si="5"/>
        <v>21.959323508805927</v>
      </c>
      <c r="H104" s="181">
        <f t="shared" si="6"/>
        <v>25.714583615737119</v>
      </c>
      <c r="I104" s="186">
        <f t="shared" si="7"/>
        <v>0</v>
      </c>
      <c r="J104" s="74">
        <f t="shared" si="4"/>
        <v>0</v>
      </c>
      <c r="K104" s="46"/>
    </row>
    <row r="105" spans="1:11" x14ac:dyDescent="0.25">
      <c r="A105" s="61">
        <f>'A) Base RI'!A107</f>
        <v>5563</v>
      </c>
      <c r="B105" s="114" t="str">
        <f>'A) Base RI'!B107</f>
        <v>Mutrux</v>
      </c>
      <c r="C105" s="125">
        <f>'B) D RI'!U107</f>
        <v>4102.2142675159239</v>
      </c>
      <c r="D105" s="147">
        <f>'E) Fact soc'!G111/C105</f>
        <v>17.056771389636843</v>
      </c>
      <c r="E105" s="181">
        <f>'H) Péréquation directe'!I116/C105</f>
        <v>-0.89703685052115789</v>
      </c>
      <c r="F105" s="186">
        <f>'I) Dépenses thématiques'!P105</f>
        <v>-4.8323106382288561</v>
      </c>
      <c r="G105" s="143">
        <f t="shared" si="5"/>
        <v>11.32742390088683</v>
      </c>
      <c r="H105" s="181">
        <f t="shared" si="6"/>
        <v>16.159734539115686</v>
      </c>
      <c r="I105" s="186">
        <f t="shared" si="7"/>
        <v>0</v>
      </c>
      <c r="J105" s="74">
        <f t="shared" si="4"/>
        <v>0</v>
      </c>
      <c r="K105" s="46"/>
    </row>
    <row r="106" spans="1:11" x14ac:dyDescent="0.25">
      <c r="A106" s="61">
        <f>'A) Base RI'!A108</f>
        <v>5564</v>
      </c>
      <c r="B106" s="114" t="str">
        <f>'A) Base RI'!B108</f>
        <v>Novalles</v>
      </c>
      <c r="C106" s="125">
        <f>'B) D RI'!U108</f>
        <v>2120.1975328947365</v>
      </c>
      <c r="D106" s="147">
        <f>'E) Fact soc'!G112/C106</f>
        <v>15.524464788839424</v>
      </c>
      <c r="E106" s="181">
        <f>'H) Péréquation directe'!I117/C106</f>
        <v>-11.926670397408991</v>
      </c>
      <c r="F106" s="186">
        <f>'I) Dépenses thématiques'!P106</f>
        <v>-3.1786972861850482</v>
      </c>
      <c r="G106" s="143">
        <f t="shared" si="5"/>
        <v>0.41909710524538513</v>
      </c>
      <c r="H106" s="181">
        <f t="shared" si="6"/>
        <v>3.5977943914304333</v>
      </c>
      <c r="I106" s="186">
        <f t="shared" si="7"/>
        <v>0</v>
      </c>
      <c r="J106" s="74">
        <f t="shared" si="4"/>
        <v>0</v>
      </c>
      <c r="K106" s="46"/>
    </row>
    <row r="107" spans="1:11" x14ac:dyDescent="0.25">
      <c r="A107" s="61">
        <f>'A) Base RI'!A109</f>
        <v>5565</v>
      </c>
      <c r="B107" s="114" t="str">
        <f>'A) Base RI'!B109</f>
        <v>Onnens</v>
      </c>
      <c r="C107" s="125">
        <f>'B) D RI'!U109</f>
        <v>19222.665538461537</v>
      </c>
      <c r="D107" s="147">
        <f>'E) Fact soc'!G113/C107</f>
        <v>17.721046991006759</v>
      </c>
      <c r="E107" s="181">
        <f>'H) Péréquation directe'!I118/C107</f>
        <v>13.851184063980035</v>
      </c>
      <c r="F107" s="186">
        <f>'I) Dépenses thématiques'!P107</f>
        <v>-1.5948282906987301</v>
      </c>
      <c r="G107" s="143">
        <f t="shared" si="5"/>
        <v>29.977402764288065</v>
      </c>
      <c r="H107" s="181">
        <f t="shared" si="6"/>
        <v>31.572231054986794</v>
      </c>
      <c r="I107" s="186">
        <f t="shared" si="7"/>
        <v>0</v>
      </c>
      <c r="J107" s="74">
        <f t="shared" si="4"/>
        <v>0</v>
      </c>
      <c r="K107" s="46"/>
    </row>
    <row r="108" spans="1:11" x14ac:dyDescent="0.25">
      <c r="A108" s="61">
        <f>'A) Base RI'!A110</f>
        <v>5566</v>
      </c>
      <c r="B108" s="114" t="str">
        <f>'A) Base RI'!B110</f>
        <v>Provence</v>
      </c>
      <c r="C108" s="125">
        <f>'B) D RI'!U110</f>
        <v>7814.1319753086409</v>
      </c>
      <c r="D108" s="147">
        <f>'E) Fact soc'!G114/C108</f>
        <v>18.132874150801211</v>
      </c>
      <c r="E108" s="181">
        <f>'H) Péréquation directe'!I119/C108</f>
        <v>-16.87702902446015</v>
      </c>
      <c r="F108" s="186">
        <f>'I) Dépenses thématiques'!P108</f>
        <v>-25.479565941039475</v>
      </c>
      <c r="G108" s="143">
        <f t="shared" si="5"/>
        <v>-24.223720814698414</v>
      </c>
      <c r="H108" s="181">
        <f t="shared" si="6"/>
        <v>1.255845126341061</v>
      </c>
      <c r="I108" s="186">
        <f t="shared" si="7"/>
        <v>0</v>
      </c>
      <c r="J108" s="74">
        <f t="shared" si="4"/>
        <v>0</v>
      </c>
      <c r="K108" s="46"/>
    </row>
    <row r="109" spans="1:11" x14ac:dyDescent="0.25">
      <c r="A109" s="61">
        <f>'A) Base RI'!A111</f>
        <v>5568</v>
      </c>
      <c r="B109" s="114" t="str">
        <f>'A) Base RI'!B111</f>
        <v>Sainte-Croix</v>
      </c>
      <c r="C109" s="125">
        <f>'B) D RI'!U111</f>
        <v>93435.029714285716</v>
      </c>
      <c r="D109" s="147">
        <f>'E) Fact soc'!G115/C109</f>
        <v>25.385136560629238</v>
      </c>
      <c r="E109" s="181">
        <f>'H) Péréquation directe'!I120/C109</f>
        <v>-23.537842124727433</v>
      </c>
      <c r="F109" s="186">
        <f>'I) Dépenses thématiques'!P109</f>
        <v>-12.298163013352527</v>
      </c>
      <c r="G109" s="143">
        <f t="shared" si="5"/>
        <v>-10.450868577450722</v>
      </c>
      <c r="H109" s="181">
        <f t="shared" si="6"/>
        <v>1.8472944359018051</v>
      </c>
      <c r="I109" s="186">
        <f t="shared" si="7"/>
        <v>0</v>
      </c>
      <c r="J109" s="74">
        <f t="shared" si="4"/>
        <v>0</v>
      </c>
      <c r="K109" s="46"/>
    </row>
    <row r="110" spans="1:11" x14ac:dyDescent="0.25">
      <c r="A110" s="61">
        <f>'A) Base RI'!A112</f>
        <v>5571</v>
      </c>
      <c r="B110" s="114" t="str">
        <f>'A) Base RI'!B112</f>
        <v>Tévenon</v>
      </c>
      <c r="C110" s="125">
        <f>'B) D RI'!U112</f>
        <v>20766.182465753427</v>
      </c>
      <c r="D110" s="147">
        <f>'E) Fact soc'!G116/C110</f>
        <v>18.709607513511145</v>
      </c>
      <c r="E110" s="181">
        <f>'H) Péréquation directe'!I121/C110</f>
        <v>-0.57707445415555636</v>
      </c>
      <c r="F110" s="186">
        <f>'I) Dépenses thématiques'!P110</f>
        <v>-2.9397633618757952</v>
      </c>
      <c r="G110" s="143">
        <f t="shared" si="5"/>
        <v>15.192769697479793</v>
      </c>
      <c r="H110" s="181">
        <f t="shared" si="6"/>
        <v>18.132533059355588</v>
      </c>
      <c r="I110" s="186">
        <f t="shared" si="7"/>
        <v>0</v>
      </c>
      <c r="J110" s="74">
        <f t="shared" si="4"/>
        <v>0</v>
      </c>
      <c r="K110" s="46"/>
    </row>
    <row r="111" spans="1:11" x14ac:dyDescent="0.25">
      <c r="A111" s="61">
        <f>'A) Base RI'!A113</f>
        <v>5581</v>
      </c>
      <c r="B111" s="114" t="str">
        <f>'A) Base RI'!B113</f>
        <v>Belmont-sur-Lausanne</v>
      </c>
      <c r="C111" s="125">
        <f>'B) D RI'!U113</f>
        <v>173034.35179856114</v>
      </c>
      <c r="D111" s="147">
        <f>'E) Fact soc'!G117/C111</f>
        <v>17.864787509679456</v>
      </c>
      <c r="E111" s="181">
        <f>'H) Péréquation directe'!I122/C111</f>
        <v>12.289023417304533</v>
      </c>
      <c r="F111" s="186">
        <f>'I) Dépenses thématiques'!P111</f>
        <v>-3.662305366351907</v>
      </c>
      <c r="G111" s="143">
        <f t="shared" si="5"/>
        <v>26.491505560632078</v>
      </c>
      <c r="H111" s="181">
        <f t="shared" si="6"/>
        <v>30.153810926983986</v>
      </c>
      <c r="I111" s="186">
        <f t="shared" si="7"/>
        <v>0</v>
      </c>
      <c r="J111" s="74">
        <f t="shared" si="4"/>
        <v>0</v>
      </c>
      <c r="K111" s="46"/>
    </row>
    <row r="112" spans="1:11" x14ac:dyDescent="0.25">
      <c r="A112" s="61">
        <f>'A) Base RI'!A114</f>
        <v>5582</v>
      </c>
      <c r="B112" s="114" t="str">
        <f>'A) Base RI'!B114</f>
        <v>Cheseaux-sur-Lausanne</v>
      </c>
      <c r="C112" s="125">
        <f>'B) D RI'!U114</f>
        <v>165346.44872483221</v>
      </c>
      <c r="D112" s="147">
        <f>'E) Fact soc'!G118/C112</f>
        <v>18.921022950996409</v>
      </c>
      <c r="E112" s="181">
        <f>'H) Péréquation directe'!I123/C112</f>
        <v>6.6965204797811895</v>
      </c>
      <c r="F112" s="186">
        <f>'I) Dépenses thématiques'!P112</f>
        <v>-1.3179953110192768</v>
      </c>
      <c r="G112" s="143">
        <f t="shared" si="5"/>
        <v>24.29954811975832</v>
      </c>
      <c r="H112" s="181">
        <f t="shared" si="6"/>
        <v>25.617543430777598</v>
      </c>
      <c r="I112" s="186">
        <f t="shared" si="7"/>
        <v>0</v>
      </c>
      <c r="J112" s="74">
        <f t="shared" si="4"/>
        <v>0</v>
      </c>
      <c r="K112" s="46"/>
    </row>
    <row r="113" spans="1:11" x14ac:dyDescent="0.25">
      <c r="A113" s="61">
        <f>'A) Base RI'!A115</f>
        <v>5583</v>
      </c>
      <c r="B113" s="114" t="str">
        <f>'A) Base RI'!B115</f>
        <v>Crissier</v>
      </c>
      <c r="C113" s="125">
        <f>'B) D RI'!U115</f>
        <v>323925.7196923077</v>
      </c>
      <c r="D113" s="147">
        <f>'E) Fact soc'!G119/C113</f>
        <v>19.079053912215361</v>
      </c>
      <c r="E113" s="181">
        <f>'H) Péréquation directe'!I124/C113</f>
        <v>7.9789781221594032</v>
      </c>
      <c r="F113" s="186">
        <f>'I) Dépenses thématiques'!P113</f>
        <v>-5.7094738416848632</v>
      </c>
      <c r="G113" s="143">
        <f t="shared" si="5"/>
        <v>21.3485581926899</v>
      </c>
      <c r="H113" s="181">
        <f t="shared" si="6"/>
        <v>27.058032034374762</v>
      </c>
      <c r="I113" s="186">
        <f t="shared" si="7"/>
        <v>0</v>
      </c>
      <c r="J113" s="74">
        <f t="shared" si="4"/>
        <v>0</v>
      </c>
      <c r="K113" s="46"/>
    </row>
    <row r="114" spans="1:11" x14ac:dyDescent="0.25">
      <c r="A114" s="61">
        <f>'A) Base RI'!A116</f>
        <v>5584</v>
      </c>
      <c r="B114" s="114" t="str">
        <f>'A) Base RI'!B116</f>
        <v>Epalinges</v>
      </c>
      <c r="C114" s="125">
        <f>'B) D RI'!U116</f>
        <v>455923.60696969699</v>
      </c>
      <c r="D114" s="147">
        <f>'E) Fact soc'!G120/C114</f>
        <v>19.188319839255854</v>
      </c>
      <c r="E114" s="181">
        <f>'H) Péréquation directe'!I125/C114</f>
        <v>9.1270814989716076</v>
      </c>
      <c r="F114" s="186">
        <f>'I) Dépenses thématiques'!P114</f>
        <v>-5.8222612040856676</v>
      </c>
      <c r="G114" s="143">
        <f t="shared" si="5"/>
        <v>22.493140134141793</v>
      </c>
      <c r="H114" s="181">
        <f t="shared" si="6"/>
        <v>28.31540133822746</v>
      </c>
      <c r="I114" s="186">
        <f t="shared" si="7"/>
        <v>0</v>
      </c>
      <c r="J114" s="74">
        <f t="shared" si="4"/>
        <v>0</v>
      </c>
      <c r="K114" s="46"/>
    </row>
    <row r="115" spans="1:11" x14ac:dyDescent="0.25">
      <c r="A115" s="61">
        <f>'A) Base RI'!A117</f>
        <v>5585</v>
      </c>
      <c r="B115" s="114" t="str">
        <f>'A) Base RI'!B117</f>
        <v>Jouxtens-Mézery</v>
      </c>
      <c r="C115" s="125">
        <f>'B) D RI'!U117</f>
        <v>159177.88018867921</v>
      </c>
      <c r="D115" s="147">
        <f>'E) Fact soc'!G121/C115</f>
        <v>27.815473526641419</v>
      </c>
      <c r="E115" s="181">
        <f>'H) Péréquation directe'!I126/C115</f>
        <v>14.107837601827704</v>
      </c>
      <c r="F115" s="186">
        <f>'I) Dépenses thématiques'!P115</f>
        <v>0</v>
      </c>
      <c r="G115" s="143">
        <f t="shared" si="5"/>
        <v>41.923311128469123</v>
      </c>
      <c r="H115" s="181">
        <f t="shared" si="6"/>
        <v>41.923311128469123</v>
      </c>
      <c r="I115" s="186">
        <f t="shared" si="7"/>
        <v>0</v>
      </c>
      <c r="J115" s="74">
        <f t="shared" si="4"/>
        <v>0</v>
      </c>
      <c r="K115" s="46"/>
    </row>
    <row r="116" spans="1:11" x14ac:dyDescent="0.25">
      <c r="A116" s="61">
        <f>'A) Base RI'!A118</f>
        <v>5586</v>
      </c>
      <c r="B116" s="114" t="str">
        <f>'A) Base RI'!B118</f>
        <v>Lausanne</v>
      </c>
      <c r="C116" s="125">
        <f>'B) D RI'!U118</f>
        <v>5897479.10464135</v>
      </c>
      <c r="D116" s="147">
        <f>'E) Fact soc'!G122/C116</f>
        <v>18.448997687383518</v>
      </c>
      <c r="E116" s="181">
        <f>'H) Péréquation directe'!I127/C116</f>
        <v>-4.4072397733052995</v>
      </c>
      <c r="F116" s="186">
        <f>'I) Dépenses thématiques'!P116</f>
        <v>-7.3079876451528714</v>
      </c>
      <c r="G116" s="143">
        <f t="shared" si="5"/>
        <v>6.7337702689253467</v>
      </c>
      <c r="H116" s="181">
        <f t="shared" si="6"/>
        <v>14.041757914078218</v>
      </c>
      <c r="I116" s="186">
        <f t="shared" si="7"/>
        <v>0</v>
      </c>
      <c r="J116" s="74">
        <f t="shared" ref="J116:J166" si="8">-I116*C116</f>
        <v>0</v>
      </c>
      <c r="K116" s="46"/>
    </row>
    <row r="117" spans="1:11" x14ac:dyDescent="0.25">
      <c r="A117" s="61">
        <f>'A) Base RI'!A119</f>
        <v>5587</v>
      </c>
      <c r="B117" s="114" t="str">
        <f>'A) Base RI'!B119</f>
        <v>Le Mont-sur-Lausanne</v>
      </c>
      <c r="C117" s="125">
        <f>'B) D RI'!U119</f>
        <v>380449.00348888891</v>
      </c>
      <c r="D117" s="147">
        <f>'E) Fact soc'!G123/C117</f>
        <v>19.804564119018266</v>
      </c>
      <c r="E117" s="181">
        <f>'H) Péréquation directe'!I128/C117</f>
        <v>10.358729363408431</v>
      </c>
      <c r="F117" s="186">
        <f>'I) Dépenses thématiques'!P117</f>
        <v>-5.7906093268920102</v>
      </c>
      <c r="G117" s="143">
        <f t="shared" ref="G117:G166" si="9">SUM(D117:F117)</f>
        <v>24.372684155534685</v>
      </c>
      <c r="H117" s="181">
        <f t="shared" ref="H117:H166" si="10">G117-F117</f>
        <v>30.163293482426695</v>
      </c>
      <c r="I117" s="186">
        <f t="shared" ref="I117:I166" si="11">IF(H117&lt;I$4,H117-I$4,0)</f>
        <v>0</v>
      </c>
      <c r="J117" s="74">
        <f t="shared" si="8"/>
        <v>0</v>
      </c>
      <c r="K117" s="46"/>
    </row>
    <row r="118" spans="1:11" x14ac:dyDescent="0.25">
      <c r="A118" s="61">
        <f>'A) Base RI'!A120</f>
        <v>5588</v>
      </c>
      <c r="B118" s="114" t="str">
        <f>'A) Base RI'!B120</f>
        <v>Paudex</v>
      </c>
      <c r="C118" s="125">
        <f>'B) D RI'!U120</f>
        <v>152789.79231126595</v>
      </c>
      <c r="D118" s="147">
        <f>'E) Fact soc'!G124/C118</f>
        <v>26.719166363052132</v>
      </c>
      <c r="E118" s="181">
        <f>'H) Péréquation directe'!I129/C118</f>
        <v>14.246783829675435</v>
      </c>
      <c r="F118" s="186">
        <f>'I) Dépenses thématiques'!P118</f>
        <v>0</v>
      </c>
      <c r="G118" s="143">
        <f t="shared" si="9"/>
        <v>40.965950192727568</v>
      </c>
      <c r="H118" s="181">
        <f t="shared" si="10"/>
        <v>40.965950192727568</v>
      </c>
      <c r="I118" s="186">
        <f t="shared" si="11"/>
        <v>0</v>
      </c>
      <c r="J118" s="74">
        <f t="shared" si="8"/>
        <v>0</v>
      </c>
      <c r="K118" s="46"/>
    </row>
    <row r="119" spans="1:11" x14ac:dyDescent="0.25">
      <c r="A119" s="61">
        <f>'A) Base RI'!A121</f>
        <v>5589</v>
      </c>
      <c r="B119" s="114" t="str">
        <f>'A) Base RI'!B121</f>
        <v>Prilly</v>
      </c>
      <c r="C119" s="125">
        <f>'B) D RI'!U121</f>
        <v>462414.97306122456</v>
      </c>
      <c r="D119" s="147">
        <f>'E) Fact soc'!G125/C119</f>
        <v>19.292164109789667</v>
      </c>
      <c r="E119" s="181">
        <f>'H) Péréquation directe'!I130/C119</f>
        <v>1.8826041141331677</v>
      </c>
      <c r="F119" s="186">
        <f>'I) Dépenses thématiques'!P119</f>
        <v>-5.7418377160767413</v>
      </c>
      <c r="G119" s="143">
        <f t="shared" si="9"/>
        <v>15.432930507846095</v>
      </c>
      <c r="H119" s="181">
        <f t="shared" si="10"/>
        <v>21.174768223922836</v>
      </c>
      <c r="I119" s="186">
        <f t="shared" si="11"/>
        <v>0</v>
      </c>
      <c r="J119" s="74">
        <f t="shared" si="8"/>
        <v>0</v>
      </c>
      <c r="K119" s="46"/>
    </row>
    <row r="120" spans="1:11" x14ac:dyDescent="0.25">
      <c r="A120" s="61">
        <f>'A) Base RI'!A122</f>
        <v>5590</v>
      </c>
      <c r="B120" s="114" t="str">
        <f>'A) Base RI'!B122</f>
        <v>Pully</v>
      </c>
      <c r="C120" s="125">
        <f>'B) D RI'!U122</f>
        <v>1366683.426371882</v>
      </c>
      <c r="D120" s="147">
        <f>'E) Fact soc'!G126/C120</f>
        <v>25.76226870558769</v>
      </c>
      <c r="E120" s="181">
        <f>'H) Péréquation directe'!I131/C120</f>
        <v>7.9939338291913726</v>
      </c>
      <c r="F120" s="186">
        <f>'I) Dépenses thématiques'!P120</f>
        <v>-1.4298399615294335</v>
      </c>
      <c r="G120" s="143">
        <f t="shared" si="9"/>
        <v>32.326362573249632</v>
      </c>
      <c r="H120" s="181">
        <f t="shared" si="10"/>
        <v>33.756202534779064</v>
      </c>
      <c r="I120" s="186">
        <f t="shared" si="11"/>
        <v>0</v>
      </c>
      <c r="J120" s="74">
        <f t="shared" si="8"/>
        <v>0</v>
      </c>
      <c r="K120" s="46"/>
    </row>
    <row r="121" spans="1:11" x14ac:dyDescent="0.25">
      <c r="A121" s="61">
        <f>'A) Base RI'!A123</f>
        <v>5591</v>
      </c>
      <c r="B121" s="114" t="str">
        <f>'A) Base RI'!B123</f>
        <v>Renens</v>
      </c>
      <c r="C121" s="125">
        <f>'B) D RI'!U123</f>
        <v>546895.28569608741</v>
      </c>
      <c r="D121" s="147">
        <f>'E) Fact soc'!G127/C121</f>
        <v>17.664493630942815</v>
      </c>
      <c r="E121" s="181">
        <f>'H) Péréquation directe'!I132/C121</f>
        <v>-24.974347573587774</v>
      </c>
      <c r="F121" s="186">
        <f>'I) Dépenses thématiques'!P121</f>
        <v>-9.2868052057006043</v>
      </c>
      <c r="G121" s="143">
        <f t="shared" si="9"/>
        <v>-16.596659148345566</v>
      </c>
      <c r="H121" s="181">
        <f t="shared" si="10"/>
        <v>-7.3098539426449616</v>
      </c>
      <c r="I121" s="186">
        <f t="shared" si="11"/>
        <v>-0.80985394264496158</v>
      </c>
      <c r="J121" s="74">
        <f t="shared" si="8"/>
        <v>442905.30333491904</v>
      </c>
      <c r="K121" s="46"/>
    </row>
    <row r="122" spans="1:11" x14ac:dyDescent="0.25">
      <c r="A122" s="61">
        <f>'A) Base RI'!A124</f>
        <v>5592</v>
      </c>
      <c r="B122" s="114" t="str">
        <f>'A) Base RI'!B124</f>
        <v>Romanel-sur-Lausanne</v>
      </c>
      <c r="C122" s="125">
        <f>'B) D RI'!U124</f>
        <v>110273.83828571429</v>
      </c>
      <c r="D122" s="147">
        <f>'E) Fact soc'!G128/C122</f>
        <v>20.03128651306686</v>
      </c>
      <c r="E122" s="181">
        <f>'H) Péréquation directe'!I133/C122</f>
        <v>3.2085159487299566</v>
      </c>
      <c r="F122" s="186">
        <f>'I) Dépenses thématiques'!P122</f>
        <v>-1.731193408061118</v>
      </c>
      <c r="G122" s="143">
        <f t="shared" si="9"/>
        <v>21.5086090537357</v>
      </c>
      <c r="H122" s="181">
        <f t="shared" si="10"/>
        <v>23.239802461796817</v>
      </c>
      <c r="I122" s="186">
        <f t="shared" si="11"/>
        <v>0</v>
      </c>
      <c r="J122" s="74">
        <f t="shared" si="8"/>
        <v>0</v>
      </c>
      <c r="K122" s="46"/>
    </row>
    <row r="123" spans="1:11" x14ac:dyDescent="0.25">
      <c r="A123" s="61">
        <f>'A) Base RI'!A125</f>
        <v>5601</v>
      </c>
      <c r="B123" s="114" t="str">
        <f>'A) Base RI'!B125</f>
        <v>Chexbres</v>
      </c>
      <c r="C123" s="125">
        <f>'B) D RI'!U125</f>
        <v>104474.96078125002</v>
      </c>
      <c r="D123" s="147">
        <f>'E) Fact soc'!G129/C123</f>
        <v>18.644708123340916</v>
      </c>
      <c r="E123" s="181">
        <f>'H) Péréquation directe'!I134/C123</f>
        <v>13.601017851939613</v>
      </c>
      <c r="F123" s="186">
        <f>'I) Dépenses thématiques'!P123</f>
        <v>-1.4587753419339302</v>
      </c>
      <c r="G123" s="143">
        <f t="shared" si="9"/>
        <v>30.786950633346599</v>
      </c>
      <c r="H123" s="181">
        <f t="shared" si="10"/>
        <v>32.245725975280529</v>
      </c>
      <c r="I123" s="186">
        <f t="shared" si="11"/>
        <v>0</v>
      </c>
      <c r="J123" s="74">
        <f t="shared" si="8"/>
        <v>0</v>
      </c>
      <c r="K123" s="46"/>
    </row>
    <row r="124" spans="1:11" x14ac:dyDescent="0.25">
      <c r="A124" s="61">
        <f>'A) Base RI'!A126</f>
        <v>5604</v>
      </c>
      <c r="B124" s="114" t="str">
        <f>'A) Base RI'!B126</f>
        <v>Forel (Lavaux)</v>
      </c>
      <c r="C124" s="125">
        <f>'B) D RI'!U126</f>
        <v>65514.699852941172</v>
      </c>
      <c r="D124" s="147">
        <f>'E) Fact soc'!G130/C124</f>
        <v>17.678761691928479</v>
      </c>
      <c r="E124" s="181">
        <f>'H) Péréquation directe'!I135/C124</f>
        <v>3.9246100239943678</v>
      </c>
      <c r="F124" s="186">
        <f>'I) Dépenses thématiques'!P124</f>
        <v>-4.5050519251158692</v>
      </c>
      <c r="G124" s="143">
        <f t="shared" si="9"/>
        <v>17.098319790806979</v>
      </c>
      <c r="H124" s="181">
        <f t="shared" si="10"/>
        <v>21.603371715922847</v>
      </c>
      <c r="I124" s="186">
        <f t="shared" si="11"/>
        <v>0</v>
      </c>
      <c r="J124" s="74">
        <f t="shared" si="8"/>
        <v>0</v>
      </c>
      <c r="K124" s="46"/>
    </row>
    <row r="125" spans="1:11" x14ac:dyDescent="0.25">
      <c r="A125" s="61">
        <f>'A) Base RI'!A127</f>
        <v>5606</v>
      </c>
      <c r="B125" s="114" t="str">
        <f>'A) Base RI'!B127</f>
        <v>Lutry</v>
      </c>
      <c r="C125" s="125">
        <f>'B) D RI'!U127</f>
        <v>742470.65823979594</v>
      </c>
      <c r="D125" s="147">
        <f>'E) Fact soc'!G131/C125</f>
        <v>25.818323169852459</v>
      </c>
      <c r="E125" s="181">
        <f>'H) Péréquation directe'!I136/C125</f>
        <v>10.783818628278294</v>
      </c>
      <c r="F125" s="186">
        <f>'I) Dépenses thématiques'!P125</f>
        <v>-2.2375572319896562</v>
      </c>
      <c r="G125" s="143">
        <f t="shared" si="9"/>
        <v>34.364584566141097</v>
      </c>
      <c r="H125" s="181">
        <f t="shared" si="10"/>
        <v>36.602141798130752</v>
      </c>
      <c r="I125" s="186">
        <f t="shared" si="11"/>
        <v>0</v>
      </c>
      <c r="J125" s="74">
        <f t="shared" si="8"/>
        <v>0</v>
      </c>
      <c r="K125" s="46"/>
    </row>
    <row r="126" spans="1:11" x14ac:dyDescent="0.25">
      <c r="A126" s="61">
        <f>'A) Base RI'!A128</f>
        <v>5607</v>
      </c>
      <c r="B126" s="114" t="str">
        <f>'A) Base RI'!B128</f>
        <v>Puidoux</v>
      </c>
      <c r="C126" s="125">
        <f>'B) D RI'!U128</f>
        <v>100862.46201406649</v>
      </c>
      <c r="D126" s="147">
        <f>'E) Fact soc'!G132/C126</f>
        <v>18.082390947374194</v>
      </c>
      <c r="E126" s="181">
        <f>'H) Péréquation directe'!I137/C126</f>
        <v>6.6386005855692352</v>
      </c>
      <c r="F126" s="186">
        <f>'I) Dépenses thématiques'!P126</f>
        <v>-5.7143440297165222</v>
      </c>
      <c r="G126" s="143">
        <f t="shared" si="9"/>
        <v>19.006647503226908</v>
      </c>
      <c r="H126" s="181">
        <f t="shared" si="10"/>
        <v>24.72099153294343</v>
      </c>
      <c r="I126" s="186">
        <f t="shared" si="11"/>
        <v>0</v>
      </c>
      <c r="J126" s="74">
        <f t="shared" si="8"/>
        <v>0</v>
      </c>
      <c r="K126" s="46"/>
    </row>
    <row r="127" spans="1:11" x14ac:dyDescent="0.25">
      <c r="A127" s="61">
        <f>'A) Base RI'!A129</f>
        <v>5609</v>
      </c>
      <c r="B127" s="114" t="str">
        <f>'A) Base RI'!B129</f>
        <v>Rivaz</v>
      </c>
      <c r="C127" s="125">
        <f>'B) D RI'!U129</f>
        <v>16122.244409448818</v>
      </c>
      <c r="D127" s="147">
        <f>'E) Fact soc'!G133/C127</f>
        <v>18.708849276269184</v>
      </c>
      <c r="E127" s="181">
        <f>'H) Péréquation directe'!I138/C127</f>
        <v>16.377433210984936</v>
      </c>
      <c r="F127" s="186">
        <f>'I) Dépenses thématiques'!P127</f>
        <v>-1.7128419459411448</v>
      </c>
      <c r="G127" s="143">
        <f t="shared" si="9"/>
        <v>33.373440541312981</v>
      </c>
      <c r="H127" s="181">
        <f t="shared" si="10"/>
        <v>35.086282487254124</v>
      </c>
      <c r="I127" s="186">
        <f t="shared" si="11"/>
        <v>0</v>
      </c>
      <c r="J127" s="74">
        <f t="shared" si="8"/>
        <v>0</v>
      </c>
      <c r="K127" s="46"/>
    </row>
    <row r="128" spans="1:11" x14ac:dyDescent="0.25">
      <c r="A128" s="61">
        <f>'A) Base RI'!A130</f>
        <v>5610</v>
      </c>
      <c r="B128" s="114" t="str">
        <f>'A) Base RI'!B130</f>
        <v>St-Saphorin (Lavaux)</v>
      </c>
      <c r="C128" s="125">
        <f>'B) D RI'!U130</f>
        <v>20974.487096774192</v>
      </c>
      <c r="D128" s="147">
        <f>'E) Fact soc'!G134/C128</f>
        <v>16.84322396445058</v>
      </c>
      <c r="E128" s="181">
        <f>'H) Péréquation directe'!I139/C128</f>
        <v>16.761400418782387</v>
      </c>
      <c r="F128" s="186">
        <f>'I) Dépenses thématiques'!P128</f>
        <v>-2.1010359730051116</v>
      </c>
      <c r="G128" s="143">
        <f t="shared" si="9"/>
        <v>31.503588410227856</v>
      </c>
      <c r="H128" s="181">
        <f t="shared" si="10"/>
        <v>33.604624383232967</v>
      </c>
      <c r="I128" s="186">
        <f t="shared" si="11"/>
        <v>0</v>
      </c>
      <c r="J128" s="74">
        <f t="shared" si="8"/>
        <v>0</v>
      </c>
      <c r="K128" s="46"/>
    </row>
    <row r="129" spans="1:11" x14ac:dyDescent="0.25">
      <c r="A129" s="61">
        <f>'A) Base RI'!A131</f>
        <v>5611</v>
      </c>
      <c r="B129" s="114" t="str">
        <f>'A) Base RI'!B131</f>
        <v>Savigny</v>
      </c>
      <c r="C129" s="125">
        <f>'B) D RI'!U131</f>
        <v>130312.40671641791</v>
      </c>
      <c r="D129" s="147">
        <f>'E) Fact soc'!G135/C129</f>
        <v>18.880484188831836</v>
      </c>
      <c r="E129" s="181">
        <f>'H) Péréquation directe'!I140/C129</f>
        <v>9.2508049215493369</v>
      </c>
      <c r="F129" s="186">
        <f>'I) Dépenses thématiques'!P129</f>
        <v>-4.2019273920834985</v>
      </c>
      <c r="G129" s="143">
        <f t="shared" si="9"/>
        <v>23.929361718297677</v>
      </c>
      <c r="H129" s="181">
        <f t="shared" si="10"/>
        <v>28.131289110381175</v>
      </c>
      <c r="I129" s="186">
        <f t="shared" si="11"/>
        <v>0</v>
      </c>
      <c r="J129" s="74">
        <f t="shared" si="8"/>
        <v>0</v>
      </c>
      <c r="K129" s="46"/>
    </row>
    <row r="130" spans="1:11" x14ac:dyDescent="0.25">
      <c r="A130" s="61">
        <f>'A) Base RI'!A132</f>
        <v>5613</v>
      </c>
      <c r="B130" s="114" t="str">
        <f>'A) Base RI'!B132</f>
        <v>Bourg-en-Lavaux</v>
      </c>
      <c r="C130" s="125">
        <f>'B) D RI'!U132</f>
        <v>295658.88923497271</v>
      </c>
      <c r="D130" s="147">
        <f>'E) Fact soc'!G136/C130</f>
        <v>19.759704040742342</v>
      </c>
      <c r="E130" s="181">
        <f>'H) Péréquation directe'!I141/C130</f>
        <v>11.924219481384544</v>
      </c>
      <c r="F130" s="186">
        <f>'I) Dépenses thématiques'!P130</f>
        <v>-0.82315286790965603</v>
      </c>
      <c r="G130" s="143">
        <f t="shared" si="9"/>
        <v>30.86077065421723</v>
      </c>
      <c r="H130" s="181">
        <f t="shared" si="10"/>
        <v>31.683923522126886</v>
      </c>
      <c r="I130" s="186">
        <f t="shared" si="11"/>
        <v>0</v>
      </c>
      <c r="J130" s="74">
        <f t="shared" si="8"/>
        <v>0</v>
      </c>
      <c r="K130" s="46"/>
    </row>
    <row r="131" spans="1:11" x14ac:dyDescent="0.25">
      <c r="A131" s="61">
        <f>'A) Base RI'!A133</f>
        <v>5621</v>
      </c>
      <c r="B131" s="114" t="str">
        <f>'A) Base RI'!B133</f>
        <v>Aclens</v>
      </c>
      <c r="C131" s="125">
        <f>'B) D RI'!U133</f>
        <v>33759.339076246331</v>
      </c>
      <c r="D131" s="147">
        <f>'E) Fact soc'!G137/C131</f>
        <v>21.952960064272133</v>
      </c>
      <c r="E131" s="181">
        <f>'H) Péréquation directe'!I142/C131</f>
        <v>16.399366827557277</v>
      </c>
      <c r="F131" s="186">
        <f>'I) Dépenses thématiques'!P131</f>
        <v>0</v>
      </c>
      <c r="G131" s="143">
        <f t="shared" si="9"/>
        <v>38.352326891829406</v>
      </c>
      <c r="H131" s="181">
        <f t="shared" si="10"/>
        <v>38.352326891829406</v>
      </c>
      <c r="I131" s="186">
        <f t="shared" si="11"/>
        <v>0</v>
      </c>
      <c r="J131" s="74">
        <f t="shared" si="8"/>
        <v>0</v>
      </c>
      <c r="K131" s="46"/>
    </row>
    <row r="132" spans="1:11" x14ac:dyDescent="0.25">
      <c r="A132" s="61">
        <f>'A) Base RI'!A134</f>
        <v>5622</v>
      </c>
      <c r="B132" s="114" t="str">
        <f>'A) Base RI'!B134</f>
        <v>Bremblens</v>
      </c>
      <c r="C132" s="125">
        <f>'B) D RI'!U134</f>
        <v>28126.288636363635</v>
      </c>
      <c r="D132" s="147">
        <f>'E) Fact soc'!G138/C132</f>
        <v>17.047708907415807</v>
      </c>
      <c r="E132" s="181">
        <f>'H) Péréquation directe'!I143/C132</f>
        <v>16.74865774083456</v>
      </c>
      <c r="F132" s="186">
        <f>'I) Dépenses thématiques'!P132</f>
        <v>-0.41123692588191141</v>
      </c>
      <c r="G132" s="143">
        <f t="shared" si="9"/>
        <v>33.385129722368461</v>
      </c>
      <c r="H132" s="181">
        <f t="shared" si="10"/>
        <v>33.79636664825037</v>
      </c>
      <c r="I132" s="186">
        <f t="shared" si="11"/>
        <v>0</v>
      </c>
      <c r="J132" s="74">
        <f t="shared" si="8"/>
        <v>0</v>
      </c>
      <c r="K132" s="46"/>
    </row>
    <row r="133" spans="1:11" x14ac:dyDescent="0.25">
      <c r="A133" s="61">
        <f>'A) Base RI'!A135</f>
        <v>5623</v>
      </c>
      <c r="B133" s="114" t="str">
        <f>'A) Base RI'!B135</f>
        <v>Buchillon</v>
      </c>
      <c r="C133" s="125">
        <f>'B) D RI'!U135</f>
        <v>86045.549622641513</v>
      </c>
      <c r="D133" s="147">
        <f>'E) Fact soc'!G139/C133</f>
        <v>32.11163199563709</v>
      </c>
      <c r="E133" s="181">
        <f>'H) Péréquation directe'!I144/C133</f>
        <v>14.203562780708305</v>
      </c>
      <c r="F133" s="186">
        <f>'I) Dépenses thématiques'!P133</f>
        <v>0</v>
      </c>
      <c r="G133" s="143">
        <f t="shared" si="9"/>
        <v>46.315194776345393</v>
      </c>
      <c r="H133" s="181">
        <f t="shared" si="10"/>
        <v>46.315194776345393</v>
      </c>
      <c r="I133" s="186">
        <f t="shared" si="11"/>
        <v>0</v>
      </c>
      <c r="J133" s="74">
        <f t="shared" si="8"/>
        <v>0</v>
      </c>
      <c r="K133" s="46"/>
    </row>
    <row r="134" spans="1:11" x14ac:dyDescent="0.25">
      <c r="A134" s="61">
        <f>'A) Base RI'!A136</f>
        <v>5624</v>
      </c>
      <c r="B134" s="114" t="str">
        <f>'A) Base RI'!B136</f>
        <v>Bussigny</v>
      </c>
      <c r="C134" s="125">
        <f>'B) D RI'!U136</f>
        <v>312174.83774193545</v>
      </c>
      <c r="D134" s="147">
        <f>'E) Fact soc'!G140/C134</f>
        <v>23.916317184597339</v>
      </c>
      <c r="E134" s="181">
        <f>'H) Péréquation directe'!I145/C134</f>
        <v>4.3126033295927382</v>
      </c>
      <c r="F134" s="186">
        <f>'I) Dépenses thématiques'!P134</f>
        <v>-3.1410867432406095</v>
      </c>
      <c r="G134" s="143">
        <f t="shared" si="9"/>
        <v>25.087833770949469</v>
      </c>
      <c r="H134" s="181">
        <f t="shared" si="10"/>
        <v>28.228920514190079</v>
      </c>
      <c r="I134" s="186">
        <f t="shared" si="11"/>
        <v>0</v>
      </c>
      <c r="J134" s="74">
        <f t="shared" si="8"/>
        <v>0</v>
      </c>
      <c r="K134" s="46"/>
    </row>
    <row r="135" spans="1:11" x14ac:dyDescent="0.25">
      <c r="A135" s="61">
        <f>'A) Base RI'!A137</f>
        <v>5625</v>
      </c>
      <c r="B135" s="114" t="str">
        <f>'A) Base RI'!B137</f>
        <v>Bussy-Chardonney</v>
      </c>
      <c r="C135" s="125">
        <f>'B) D RI'!U137</f>
        <v>16172.617200854704</v>
      </c>
      <c r="D135" s="147">
        <f>'E) Fact soc'!G141/C135</f>
        <v>18.715528384734871</v>
      </c>
      <c r="E135" s="181">
        <f>'H) Péréquation directe'!I146/C135</f>
        <v>15.606989871540621</v>
      </c>
      <c r="F135" s="186">
        <f>'I) Dépenses thématiques'!P135</f>
        <v>-0.47909825100989534</v>
      </c>
      <c r="G135" s="143">
        <f t="shared" si="9"/>
        <v>33.8434200052656</v>
      </c>
      <c r="H135" s="181">
        <f t="shared" si="10"/>
        <v>34.322518256275494</v>
      </c>
      <c r="I135" s="186">
        <f t="shared" si="11"/>
        <v>0</v>
      </c>
      <c r="J135" s="74">
        <f t="shared" si="8"/>
        <v>0</v>
      </c>
      <c r="K135" s="46"/>
    </row>
    <row r="136" spans="1:11" x14ac:dyDescent="0.25">
      <c r="A136" s="61">
        <f>'A) Base RI'!A138</f>
        <v>5627</v>
      </c>
      <c r="B136" s="114" t="str">
        <f>'A) Base RI'!B138</f>
        <v>Chavannes-près-Renens</v>
      </c>
      <c r="C136" s="125">
        <f>'B) D RI'!U138</f>
        <v>162511.92244725736</v>
      </c>
      <c r="D136" s="147">
        <f>'E) Fact soc'!G142/C136</f>
        <v>17.491934591578172</v>
      </c>
      <c r="E136" s="181">
        <f>'H) Péréquation directe'!I147/C136</f>
        <v>-25.887576590561121</v>
      </c>
      <c r="F136" s="186">
        <f>'I) Dépenses thématiques'!P136</f>
        <v>-7.4589964894743472</v>
      </c>
      <c r="G136" s="143">
        <f t="shared" si="9"/>
        <v>-15.854638488457297</v>
      </c>
      <c r="H136" s="181">
        <f t="shared" si="10"/>
        <v>-8.3956419989829492</v>
      </c>
      <c r="I136" s="186">
        <f t="shared" si="11"/>
        <v>-1.8956419989829492</v>
      </c>
      <c r="J136" s="74">
        <f t="shared" si="8"/>
        <v>308064.42552648095</v>
      </c>
      <c r="K136" s="46"/>
    </row>
    <row r="137" spans="1:11" x14ac:dyDescent="0.25">
      <c r="A137" s="61">
        <f>'A) Base RI'!A139</f>
        <v>5628</v>
      </c>
      <c r="B137" s="114" t="str">
        <f>'A) Base RI'!B139</f>
        <v>Chigny</v>
      </c>
      <c r="C137" s="125">
        <f>'B) D RI'!U139</f>
        <v>19064.278346774194</v>
      </c>
      <c r="D137" s="147">
        <f>'E) Fact soc'!G143/C137</f>
        <v>16.593395087691125</v>
      </c>
      <c r="E137" s="181">
        <f>'H) Péréquation directe'!I148/C137</f>
        <v>16.637326658512428</v>
      </c>
      <c r="F137" s="186">
        <f>'I) Dépenses thématiques'!P137</f>
        <v>0</v>
      </c>
      <c r="G137" s="143">
        <f t="shared" si="9"/>
        <v>33.230721746203557</v>
      </c>
      <c r="H137" s="181">
        <f t="shared" si="10"/>
        <v>33.230721746203557</v>
      </c>
      <c r="I137" s="186">
        <f t="shared" si="11"/>
        <v>0</v>
      </c>
      <c r="J137" s="74">
        <f t="shared" si="8"/>
        <v>0</v>
      </c>
      <c r="K137" s="46"/>
    </row>
    <row r="138" spans="1:11" x14ac:dyDescent="0.25">
      <c r="A138" s="61">
        <f>'A) Base RI'!A140</f>
        <v>5629</v>
      </c>
      <c r="B138" s="114" t="str">
        <f>'A) Base RI'!B140</f>
        <v>Clarmont</v>
      </c>
      <c r="C138" s="125">
        <f>'B) D RI'!U140</f>
        <v>7581.8990666666659</v>
      </c>
      <c r="D138" s="147">
        <f>'E) Fact soc'!G144/C138</f>
        <v>16.924905484058034</v>
      </c>
      <c r="E138" s="181">
        <f>'H) Péréquation directe'!I149/C138</f>
        <v>16.49884979030757</v>
      </c>
      <c r="F138" s="186">
        <f>'I) Dépenses thématiques'!P138</f>
        <v>-6.5588512205303822</v>
      </c>
      <c r="G138" s="143">
        <f t="shared" si="9"/>
        <v>26.864904053835222</v>
      </c>
      <c r="H138" s="181">
        <f t="shared" si="10"/>
        <v>33.423755274365604</v>
      </c>
      <c r="I138" s="186">
        <f t="shared" si="11"/>
        <v>0</v>
      </c>
      <c r="J138" s="74">
        <f t="shared" si="8"/>
        <v>0</v>
      </c>
      <c r="K138" s="46"/>
    </row>
    <row r="139" spans="1:11" x14ac:dyDescent="0.25">
      <c r="A139" s="61">
        <f>'A) Base RI'!A141</f>
        <v>5631</v>
      </c>
      <c r="B139" s="114" t="str">
        <f>'A) Base RI'!B141</f>
        <v>Denens</v>
      </c>
      <c r="C139" s="125">
        <f>'B) D RI'!U141</f>
        <v>34218.35955882354</v>
      </c>
      <c r="D139" s="147">
        <f>'E) Fact soc'!G145/C139</f>
        <v>23.534060471789893</v>
      </c>
      <c r="E139" s="181">
        <f>'H) Péréquation directe'!I150/C139</f>
        <v>16.522301546048904</v>
      </c>
      <c r="F139" s="186">
        <f>'I) Dépenses thématiques'!P139</f>
        <v>0</v>
      </c>
      <c r="G139" s="143">
        <f t="shared" si="9"/>
        <v>40.056362017838794</v>
      </c>
      <c r="H139" s="181">
        <f t="shared" si="10"/>
        <v>40.056362017838794</v>
      </c>
      <c r="I139" s="186">
        <f t="shared" si="11"/>
        <v>0</v>
      </c>
      <c r="J139" s="74">
        <f t="shared" si="8"/>
        <v>0</v>
      </c>
      <c r="K139" s="46"/>
    </row>
    <row r="140" spans="1:11" x14ac:dyDescent="0.25">
      <c r="A140" s="61">
        <f>'A) Base RI'!A142</f>
        <v>5632</v>
      </c>
      <c r="B140" s="114" t="str">
        <f>'A) Base RI'!B142</f>
        <v>Denges</v>
      </c>
      <c r="C140" s="125">
        <f>'B) D RI'!U142</f>
        <v>70599.599193548376</v>
      </c>
      <c r="D140" s="147">
        <f>'E) Fact soc'!G146/C140</f>
        <v>17.576766241752498</v>
      </c>
      <c r="E140" s="181">
        <f>'H) Péréquation directe'!I151/C140</f>
        <v>13.515307037384842</v>
      </c>
      <c r="F140" s="186">
        <f>'I) Dépenses thématiques'!P140</f>
        <v>-0.29601896863535648</v>
      </c>
      <c r="G140" s="143">
        <f t="shared" si="9"/>
        <v>30.796054310501983</v>
      </c>
      <c r="H140" s="181">
        <f t="shared" si="10"/>
        <v>31.092073279137338</v>
      </c>
      <c r="I140" s="186">
        <f t="shared" si="11"/>
        <v>0</v>
      </c>
      <c r="J140" s="74">
        <f t="shared" si="8"/>
        <v>0</v>
      </c>
      <c r="K140" s="46"/>
    </row>
    <row r="141" spans="1:11" x14ac:dyDescent="0.25">
      <c r="A141" s="61">
        <f>'A) Base RI'!A143</f>
        <v>5633</v>
      </c>
      <c r="B141" s="114" t="str">
        <f>'A) Base RI'!B143</f>
        <v>Echandens</v>
      </c>
      <c r="C141" s="125">
        <f>'B) D RI'!U143</f>
        <v>123013.45645161292</v>
      </c>
      <c r="D141" s="147">
        <f>'E) Fact soc'!G147/C141</f>
        <v>18.26387244976107</v>
      </c>
      <c r="E141" s="181">
        <f>'H) Péréquation directe'!I152/C141</f>
        <v>13.189304201118077</v>
      </c>
      <c r="F141" s="186">
        <f>'I) Dépenses thématiques'!P141</f>
        <v>-3.2915630693437699</v>
      </c>
      <c r="G141" s="143">
        <f t="shared" si="9"/>
        <v>28.161613581535377</v>
      </c>
      <c r="H141" s="181">
        <f t="shared" si="10"/>
        <v>31.453176650879147</v>
      </c>
      <c r="I141" s="186">
        <f t="shared" si="11"/>
        <v>0</v>
      </c>
      <c r="J141" s="74">
        <f t="shared" si="8"/>
        <v>0</v>
      </c>
      <c r="K141" s="46"/>
    </row>
    <row r="142" spans="1:11" x14ac:dyDescent="0.25">
      <c r="A142" s="61">
        <f>'A) Base RI'!A144</f>
        <v>5634</v>
      </c>
      <c r="B142" s="114" t="str">
        <f>'A) Base RI'!B144</f>
        <v>Echichens</v>
      </c>
      <c r="C142" s="125">
        <f>'B) D RI'!U144</f>
        <v>121660.2017647059</v>
      </c>
      <c r="D142" s="147">
        <f>'E) Fact soc'!G148/C142</f>
        <v>17.599135686460961</v>
      </c>
      <c r="E142" s="181">
        <f>'H) Péréquation directe'!I153/C142</f>
        <v>13.26025872141458</v>
      </c>
      <c r="F142" s="186">
        <f>'I) Dépenses thématiques'!P142</f>
        <v>0</v>
      </c>
      <c r="G142" s="143">
        <f t="shared" si="9"/>
        <v>30.859394407875541</v>
      </c>
      <c r="H142" s="181">
        <f t="shared" si="10"/>
        <v>30.859394407875541</v>
      </c>
      <c r="I142" s="186">
        <f t="shared" si="11"/>
        <v>0</v>
      </c>
      <c r="J142" s="74">
        <f t="shared" si="8"/>
        <v>0</v>
      </c>
      <c r="K142" s="46"/>
    </row>
    <row r="143" spans="1:11" x14ac:dyDescent="0.25">
      <c r="A143" s="61">
        <f>'A) Base RI'!A145</f>
        <v>5635</v>
      </c>
      <c r="B143" s="114" t="str">
        <f>'A) Base RI'!B145</f>
        <v>Ecublens</v>
      </c>
      <c r="C143" s="125">
        <f>'B) D RI'!U145</f>
        <v>470087.75038200343</v>
      </c>
      <c r="D143" s="147">
        <f>'E) Fact soc'!G149/C143</f>
        <v>17.759942120775939</v>
      </c>
      <c r="E143" s="181">
        <f>'H) Péréquation directe'!I154/C143</f>
        <v>1.4349436202949286</v>
      </c>
      <c r="F143" s="186">
        <f>'I) Dépenses thématiques'!P143</f>
        <v>-5.1865261711580413</v>
      </c>
      <c r="G143" s="143">
        <f t="shared" si="9"/>
        <v>14.008359569912825</v>
      </c>
      <c r="H143" s="181">
        <f t="shared" si="10"/>
        <v>19.194885741070866</v>
      </c>
      <c r="I143" s="186">
        <f t="shared" si="11"/>
        <v>0</v>
      </c>
      <c r="J143" s="74">
        <f t="shared" si="8"/>
        <v>0</v>
      </c>
      <c r="K143" s="46"/>
    </row>
    <row r="144" spans="1:11" x14ac:dyDescent="0.25">
      <c r="A144" s="61">
        <f>'A) Base RI'!A146</f>
        <v>5636</v>
      </c>
      <c r="B144" s="114" t="str">
        <f>'A) Base RI'!B146</f>
        <v>Etoy</v>
      </c>
      <c r="C144" s="125">
        <f>'B) D RI'!U146</f>
        <v>158779.04229508198</v>
      </c>
      <c r="D144" s="147">
        <f>'E) Fact soc'!G150/C144</f>
        <v>18.409825529009289</v>
      </c>
      <c r="E144" s="181">
        <f>'H) Péréquation directe'!I155/C144</f>
        <v>13.748534893242176</v>
      </c>
      <c r="F144" s="186">
        <f>'I) Dépenses thématiques'!P144</f>
        <v>0</v>
      </c>
      <c r="G144" s="143">
        <f t="shared" si="9"/>
        <v>32.158360422251462</v>
      </c>
      <c r="H144" s="181">
        <f t="shared" si="10"/>
        <v>32.158360422251462</v>
      </c>
      <c r="I144" s="186">
        <f t="shared" si="11"/>
        <v>0</v>
      </c>
      <c r="J144" s="74">
        <f t="shared" si="8"/>
        <v>0</v>
      </c>
      <c r="K144" s="46"/>
    </row>
    <row r="145" spans="1:11" x14ac:dyDescent="0.25">
      <c r="A145" s="61">
        <f>'A) Base RI'!A147</f>
        <v>5637</v>
      </c>
      <c r="B145" s="114" t="str">
        <f>'A) Base RI'!B147</f>
        <v>Lavigny</v>
      </c>
      <c r="C145" s="125">
        <f>'B) D RI'!U147</f>
        <v>31075.388277404931</v>
      </c>
      <c r="D145" s="147">
        <f>'E) Fact soc'!G151/C145</f>
        <v>21.877427887406579</v>
      </c>
      <c r="E145" s="181">
        <f>'H) Péréquation directe'!I156/C145</f>
        <v>6.813117334825141</v>
      </c>
      <c r="F145" s="186">
        <f>'I) Dépenses thématiques'!P145</f>
        <v>-7.4602419688042323</v>
      </c>
      <c r="G145" s="143">
        <f t="shared" si="9"/>
        <v>21.230303253427486</v>
      </c>
      <c r="H145" s="181">
        <f t="shared" si="10"/>
        <v>28.690545222231719</v>
      </c>
      <c r="I145" s="186">
        <f t="shared" si="11"/>
        <v>0</v>
      </c>
      <c r="J145" s="74">
        <f t="shared" si="8"/>
        <v>0</v>
      </c>
      <c r="K145" s="46"/>
    </row>
    <row r="146" spans="1:11" x14ac:dyDescent="0.25">
      <c r="A146" s="61">
        <f>'A) Base RI'!A148</f>
        <v>5638</v>
      </c>
      <c r="B146" s="114" t="str">
        <f>'A) Base RI'!B148</f>
        <v>Lonay</v>
      </c>
      <c r="C146" s="125">
        <f>'B) D RI'!U148</f>
        <v>152475.57054545457</v>
      </c>
      <c r="D146" s="147">
        <f>'E) Fact soc'!G152/C146</f>
        <v>23.135581718077116</v>
      </c>
      <c r="E146" s="181">
        <f>'H) Péréquation directe'!I157/C146</f>
        <v>14.043341498972056</v>
      </c>
      <c r="F146" s="186">
        <f>'I) Dépenses thématiques'!P146</f>
        <v>-1.2956331686204923</v>
      </c>
      <c r="G146" s="143">
        <f t="shared" si="9"/>
        <v>35.883290048428684</v>
      </c>
      <c r="H146" s="181">
        <f t="shared" si="10"/>
        <v>37.178923217049174</v>
      </c>
      <c r="I146" s="186">
        <f t="shared" si="11"/>
        <v>0</v>
      </c>
      <c r="J146" s="74">
        <f t="shared" si="8"/>
        <v>0</v>
      </c>
      <c r="K146" s="46"/>
    </row>
    <row r="147" spans="1:11" x14ac:dyDescent="0.25">
      <c r="A147" s="61">
        <f>'A) Base RI'!A149</f>
        <v>5639</v>
      </c>
      <c r="B147" s="114" t="str">
        <f>'A) Base RI'!B149</f>
        <v>Lully</v>
      </c>
      <c r="C147" s="125">
        <f>'B) D RI'!U149</f>
        <v>42318.428360655736</v>
      </c>
      <c r="D147" s="147">
        <f>'E) Fact soc'!G153/C147</f>
        <v>19.152396596908694</v>
      </c>
      <c r="E147" s="181">
        <f>'H) Péréquation directe'!I158/C147</f>
        <v>16.719782879472174</v>
      </c>
      <c r="F147" s="186">
        <f>'I) Dépenses thématiques'!P147</f>
        <v>-2.3958598271457401</v>
      </c>
      <c r="G147" s="143">
        <f t="shared" si="9"/>
        <v>33.476319649235123</v>
      </c>
      <c r="H147" s="181">
        <f t="shared" si="10"/>
        <v>35.872179476380865</v>
      </c>
      <c r="I147" s="186">
        <f t="shared" si="11"/>
        <v>0</v>
      </c>
      <c r="J147" s="74">
        <f t="shared" si="8"/>
        <v>0</v>
      </c>
      <c r="K147" s="46"/>
    </row>
    <row r="148" spans="1:11" x14ac:dyDescent="0.25">
      <c r="A148" s="61">
        <f>'A) Base RI'!A150</f>
        <v>5640</v>
      </c>
      <c r="B148" s="114" t="str">
        <f>'A) Base RI'!B150</f>
        <v>Lussy-sur-Morges</v>
      </c>
      <c r="C148" s="125">
        <f>'B) D RI'!U150</f>
        <v>45310.844393939391</v>
      </c>
      <c r="D148" s="147">
        <f>'E) Fact soc'!G154/C148</f>
        <v>23.239064477646249</v>
      </c>
      <c r="E148" s="181">
        <f>'H) Péréquation directe'!I159/C148</f>
        <v>16.174115235666456</v>
      </c>
      <c r="F148" s="186">
        <f>'I) Dépenses thématiques'!P148</f>
        <v>0</v>
      </c>
      <c r="G148" s="143">
        <f t="shared" si="9"/>
        <v>39.413179713312701</v>
      </c>
      <c r="H148" s="181">
        <f t="shared" si="10"/>
        <v>39.413179713312701</v>
      </c>
      <c r="I148" s="186">
        <f t="shared" si="11"/>
        <v>0</v>
      </c>
      <c r="J148" s="74">
        <f t="shared" si="8"/>
        <v>0</v>
      </c>
      <c r="K148" s="46"/>
    </row>
    <row r="149" spans="1:11" x14ac:dyDescent="0.25">
      <c r="A149" s="61">
        <f>'A) Base RI'!A151</f>
        <v>5642</v>
      </c>
      <c r="B149" s="114" t="str">
        <f>'A) Base RI'!B151</f>
        <v>Morges</v>
      </c>
      <c r="C149" s="125">
        <f>'B) D RI'!U151</f>
        <v>715380.13065693423</v>
      </c>
      <c r="D149" s="147">
        <f>'E) Fact soc'!G155/C149</f>
        <v>18.957420199195557</v>
      </c>
      <c r="E149" s="181">
        <f>'H) Péréquation directe'!I160/C149</f>
        <v>4.19069524233986</v>
      </c>
      <c r="F149" s="186">
        <f>'I) Dépenses thématiques'!P149</f>
        <v>-1.7262595199545629</v>
      </c>
      <c r="G149" s="143">
        <f t="shared" si="9"/>
        <v>21.421855921580853</v>
      </c>
      <c r="H149" s="181">
        <f t="shared" si="10"/>
        <v>23.148115441535417</v>
      </c>
      <c r="I149" s="186">
        <f t="shared" si="11"/>
        <v>0</v>
      </c>
      <c r="J149" s="74">
        <f t="shared" si="8"/>
        <v>0</v>
      </c>
      <c r="K149" s="46"/>
    </row>
    <row r="150" spans="1:11" x14ac:dyDescent="0.25">
      <c r="A150" s="61">
        <f>'A) Base RI'!A152</f>
        <v>5643</v>
      </c>
      <c r="B150" s="114" t="str">
        <f>'A) Base RI'!B152</f>
        <v>Préverenges</v>
      </c>
      <c r="C150" s="125">
        <f>'B) D RI'!U152</f>
        <v>249793.53640625</v>
      </c>
      <c r="D150" s="147">
        <f>'E) Fact soc'!G156/C150</f>
        <v>17.363475443834524</v>
      </c>
      <c r="E150" s="181">
        <f>'H) Péréquation directe'!I161/C150</f>
        <v>10.829085804134303</v>
      </c>
      <c r="F150" s="186">
        <f>'I) Dépenses thématiques'!P150</f>
        <v>0</v>
      </c>
      <c r="G150" s="143">
        <f t="shared" si="9"/>
        <v>28.192561247968825</v>
      </c>
      <c r="H150" s="181">
        <f t="shared" si="10"/>
        <v>28.192561247968825</v>
      </c>
      <c r="I150" s="186">
        <f t="shared" si="11"/>
        <v>0</v>
      </c>
      <c r="J150" s="74">
        <f t="shared" si="8"/>
        <v>0</v>
      </c>
      <c r="K150" s="46"/>
    </row>
    <row r="151" spans="1:11" x14ac:dyDescent="0.25">
      <c r="A151" s="61">
        <f>'A) Base RI'!A153</f>
        <v>5644</v>
      </c>
      <c r="B151" s="114" t="str">
        <f>'A) Base RI'!B153</f>
        <v>Reverolle</v>
      </c>
      <c r="C151" s="125">
        <f>'B) D RI'!U153</f>
        <v>15594.857631578949</v>
      </c>
      <c r="D151" s="147">
        <f>'E) Fact soc'!G157/C151</f>
        <v>18.794175946493468</v>
      </c>
      <c r="E151" s="181">
        <f>'H) Péréquation directe'!I162/C151</f>
        <v>15.892847036184859</v>
      </c>
      <c r="F151" s="186">
        <f>'I) Dépenses thématiques'!P151</f>
        <v>-4.6684619437799677</v>
      </c>
      <c r="G151" s="143">
        <f t="shared" si="9"/>
        <v>30.018561038898362</v>
      </c>
      <c r="H151" s="181">
        <f t="shared" si="10"/>
        <v>34.687022982678329</v>
      </c>
      <c r="I151" s="186">
        <f t="shared" si="11"/>
        <v>0</v>
      </c>
      <c r="J151" s="74">
        <f t="shared" si="8"/>
        <v>0</v>
      </c>
      <c r="K151" s="46"/>
    </row>
    <row r="152" spans="1:11" x14ac:dyDescent="0.25">
      <c r="A152" s="61">
        <f>'A) Base RI'!A154</f>
        <v>5645</v>
      </c>
      <c r="B152" s="114" t="str">
        <f>'A) Base RI'!B154</f>
        <v>Romanel-sur-Morges</v>
      </c>
      <c r="C152" s="125">
        <f>'B) D RI'!U154</f>
        <v>25378.60526785714</v>
      </c>
      <c r="D152" s="147">
        <f>'E) Fact soc'!G158/C152</f>
        <v>17.197117942216305</v>
      </c>
      <c r="E152" s="181">
        <f>'H) Péréquation directe'!I163/C152</f>
        <v>16.737333678926163</v>
      </c>
      <c r="F152" s="186">
        <f>'I) Dépenses thématiques'!P152</f>
        <v>0</v>
      </c>
      <c r="G152" s="143">
        <f t="shared" si="9"/>
        <v>33.934451621142472</v>
      </c>
      <c r="H152" s="181">
        <f t="shared" si="10"/>
        <v>33.934451621142472</v>
      </c>
      <c r="I152" s="186">
        <f t="shared" si="11"/>
        <v>0</v>
      </c>
      <c r="J152" s="74">
        <f t="shared" si="8"/>
        <v>0</v>
      </c>
      <c r="K152" s="46"/>
    </row>
    <row r="153" spans="1:11" x14ac:dyDescent="0.25">
      <c r="A153" s="61">
        <f>'A) Base RI'!A155</f>
        <v>5646</v>
      </c>
      <c r="B153" s="114" t="str">
        <f>'A) Base RI'!B155</f>
        <v>Saint-Prex</v>
      </c>
      <c r="C153" s="125">
        <f>'B) D RI'!U155</f>
        <v>307317.64145454549</v>
      </c>
      <c r="D153" s="147">
        <f>'E) Fact soc'!G159/C153</f>
        <v>20.879074560712823</v>
      </c>
      <c r="E153" s="181">
        <f>'H) Péréquation directe'!I164/C153</f>
        <v>11.597531343662094</v>
      </c>
      <c r="F153" s="186">
        <f>'I) Dépenses thématiques'!P153</f>
        <v>0</v>
      </c>
      <c r="G153" s="143">
        <f t="shared" si="9"/>
        <v>32.476605904374921</v>
      </c>
      <c r="H153" s="181">
        <f t="shared" si="10"/>
        <v>32.476605904374921</v>
      </c>
      <c r="I153" s="186">
        <f t="shared" si="11"/>
        <v>0</v>
      </c>
      <c r="J153" s="74">
        <f t="shared" si="8"/>
        <v>0</v>
      </c>
      <c r="K153" s="46"/>
    </row>
    <row r="154" spans="1:11" x14ac:dyDescent="0.25">
      <c r="A154" s="61">
        <f>'A) Base RI'!A156</f>
        <v>5648</v>
      </c>
      <c r="B154" s="114" t="str">
        <f>'A) Base RI'!B156</f>
        <v>Saint-Sulpice</v>
      </c>
      <c r="C154" s="125">
        <f>'B) D RI'!U156</f>
        <v>307335.61263636366</v>
      </c>
      <c r="D154" s="147">
        <f>'E) Fact soc'!G160/C154</f>
        <v>25.388844855236826</v>
      </c>
      <c r="E154" s="181">
        <f>'H) Péréquation directe'!I165/C154</f>
        <v>13.059527438026612</v>
      </c>
      <c r="F154" s="186">
        <f>'I) Dépenses thématiques'!P154</f>
        <v>-0.18907251975468664</v>
      </c>
      <c r="G154" s="143">
        <f t="shared" si="9"/>
        <v>38.259299773508751</v>
      </c>
      <c r="H154" s="181">
        <f t="shared" si="10"/>
        <v>38.448372293263439</v>
      </c>
      <c r="I154" s="186">
        <f t="shared" si="11"/>
        <v>0</v>
      </c>
      <c r="J154" s="74">
        <f t="shared" si="8"/>
        <v>0</v>
      </c>
      <c r="K154" s="46"/>
    </row>
    <row r="155" spans="1:11" x14ac:dyDescent="0.25">
      <c r="A155" s="61">
        <f>'A) Base RI'!A157</f>
        <v>5649</v>
      </c>
      <c r="B155" s="114" t="str">
        <f>'A) Base RI'!B157</f>
        <v>Tolochenaz</v>
      </c>
      <c r="C155" s="125">
        <f>'B) D RI'!U157</f>
        <v>109360.12415384616</v>
      </c>
      <c r="D155" s="147">
        <f>'E) Fact soc'!G161/C155</f>
        <v>19.988361572638976</v>
      </c>
      <c r="E155" s="181">
        <f>'H) Péréquation directe'!I166/C155</f>
        <v>14.647168679975813</v>
      </c>
      <c r="F155" s="186">
        <f>'I) Dépenses thématiques'!P155</f>
        <v>-0.63604778996434441</v>
      </c>
      <c r="G155" s="143">
        <f t="shared" si="9"/>
        <v>33.999482462650441</v>
      </c>
      <c r="H155" s="181">
        <f t="shared" si="10"/>
        <v>34.635530252614785</v>
      </c>
      <c r="I155" s="186">
        <f t="shared" si="11"/>
        <v>0</v>
      </c>
      <c r="J155" s="74">
        <f t="shared" si="8"/>
        <v>0</v>
      </c>
      <c r="K155" s="46"/>
    </row>
    <row r="156" spans="1:11" x14ac:dyDescent="0.25">
      <c r="A156" s="61">
        <f>'A) Base RI'!A158</f>
        <v>5650</v>
      </c>
      <c r="B156" s="114" t="str">
        <f>'A) Base RI'!B158</f>
        <v>Vaux-sur-Morges</v>
      </c>
      <c r="C156" s="125">
        <f>'B) D RI'!U158</f>
        <v>185061.46846153846</v>
      </c>
      <c r="D156" s="147">
        <f>'E) Fact soc'!G162/C156</f>
        <v>33.237639975714089</v>
      </c>
      <c r="E156" s="181">
        <f>'H) Péréquation directe'!I167/C156</f>
        <v>11.156698864471281</v>
      </c>
      <c r="F156" s="186">
        <f>'I) Dépenses thématiques'!P156</f>
        <v>0</v>
      </c>
      <c r="G156" s="143">
        <f t="shared" si="9"/>
        <v>44.39433884018537</v>
      </c>
      <c r="H156" s="181">
        <f t="shared" si="10"/>
        <v>44.39433884018537</v>
      </c>
      <c r="I156" s="186">
        <f t="shared" si="11"/>
        <v>0</v>
      </c>
      <c r="J156" s="74">
        <f t="shared" si="8"/>
        <v>0</v>
      </c>
      <c r="K156" s="46"/>
    </row>
    <row r="157" spans="1:11" x14ac:dyDescent="0.25">
      <c r="A157" s="61">
        <f>'A) Base RI'!A159</f>
        <v>5651</v>
      </c>
      <c r="B157" s="114" t="str">
        <f>'A) Base RI'!B159</f>
        <v>Villars-Sainte-Croix</v>
      </c>
      <c r="C157" s="125">
        <f>'B) D RI'!U159</f>
        <v>37823.297796610175</v>
      </c>
      <c r="D157" s="147">
        <f>'E) Fact soc'!G163/C157</f>
        <v>22.486780486853494</v>
      </c>
      <c r="E157" s="181">
        <f>'H) Péréquation directe'!I168/C157</f>
        <v>16.732260927934426</v>
      </c>
      <c r="F157" s="186">
        <f>'I) Dépenses thématiques'!P157</f>
        <v>0</v>
      </c>
      <c r="G157" s="143">
        <f t="shared" si="9"/>
        <v>39.219041414787924</v>
      </c>
      <c r="H157" s="181">
        <f t="shared" si="10"/>
        <v>39.219041414787924</v>
      </c>
      <c r="I157" s="186">
        <f t="shared" si="11"/>
        <v>0</v>
      </c>
      <c r="J157" s="74">
        <f t="shared" si="8"/>
        <v>0</v>
      </c>
      <c r="K157" s="46"/>
    </row>
    <row r="158" spans="1:11" x14ac:dyDescent="0.25">
      <c r="A158" s="61">
        <f>'A) Base RI'!A160</f>
        <v>5652</v>
      </c>
      <c r="B158" s="114" t="str">
        <f>'A) Base RI'!B160</f>
        <v>Villars-sous-Yens</v>
      </c>
      <c r="C158" s="125">
        <f>'B) D RI'!U160</f>
        <v>23640.281403508772</v>
      </c>
      <c r="D158" s="147">
        <f>'E) Fact soc'!G164/C158</f>
        <v>16.721907387631774</v>
      </c>
      <c r="E158" s="181">
        <f>'H) Péréquation directe'!I169/C158</f>
        <v>15.033442014635527</v>
      </c>
      <c r="F158" s="186">
        <f>'I) Dépenses thématiques'!P158</f>
        <v>-5.4481118797548458</v>
      </c>
      <c r="G158" s="143">
        <f t="shared" si="9"/>
        <v>26.307237522512452</v>
      </c>
      <c r="H158" s="181">
        <f t="shared" si="10"/>
        <v>31.755349402267299</v>
      </c>
      <c r="I158" s="186">
        <f t="shared" si="11"/>
        <v>0</v>
      </c>
      <c r="J158" s="74">
        <f t="shared" si="8"/>
        <v>0</v>
      </c>
      <c r="K158" s="46"/>
    </row>
    <row r="159" spans="1:11" x14ac:dyDescent="0.25">
      <c r="A159" s="61">
        <f>'A) Base RI'!A161</f>
        <v>5653</v>
      </c>
      <c r="B159" s="114" t="str">
        <f>'A) Base RI'!B161</f>
        <v>Vufflens-le-Château</v>
      </c>
      <c r="C159" s="125">
        <f>'B) D RI'!U161</f>
        <v>59809.956818181818</v>
      </c>
      <c r="D159" s="147">
        <f>'E) Fact soc'!G165/C159</f>
        <v>21.274052384066657</v>
      </c>
      <c r="E159" s="181">
        <f>'H) Péréquation directe'!I170/C159</f>
        <v>16.057181236158574</v>
      </c>
      <c r="F159" s="186">
        <f>'I) Dépenses thématiques'!P159</f>
        <v>0</v>
      </c>
      <c r="G159" s="143">
        <f t="shared" si="9"/>
        <v>37.331233620225234</v>
      </c>
      <c r="H159" s="181">
        <f t="shared" si="10"/>
        <v>37.331233620225234</v>
      </c>
      <c r="I159" s="186">
        <f t="shared" si="11"/>
        <v>0</v>
      </c>
      <c r="J159" s="74">
        <f t="shared" si="8"/>
        <v>0</v>
      </c>
      <c r="K159" s="46"/>
    </row>
    <row r="160" spans="1:11" x14ac:dyDescent="0.25">
      <c r="A160" s="61">
        <f>'A) Base RI'!A162</f>
        <v>5654</v>
      </c>
      <c r="B160" s="114" t="str">
        <f>'A) Base RI'!B162</f>
        <v>Vullierens</v>
      </c>
      <c r="C160" s="125">
        <f>'B) D RI'!U162</f>
        <v>16948.890394736845</v>
      </c>
      <c r="D160" s="147">
        <f>'E) Fact soc'!G166/C160</f>
        <v>19.509038317084755</v>
      </c>
      <c r="E160" s="181">
        <f>'H) Péréquation directe'!I171/C160</f>
        <v>11.383897403791869</v>
      </c>
      <c r="F160" s="186">
        <f>'I) Dépenses thématiques'!P160</f>
        <v>-6.9971821387424011</v>
      </c>
      <c r="G160" s="143">
        <f t="shared" si="9"/>
        <v>23.895753582134219</v>
      </c>
      <c r="H160" s="181">
        <f t="shared" si="10"/>
        <v>30.892935720876622</v>
      </c>
      <c r="I160" s="186">
        <f t="shared" si="11"/>
        <v>0</v>
      </c>
      <c r="J160" s="74">
        <f t="shared" si="8"/>
        <v>0</v>
      </c>
      <c r="K160" s="46"/>
    </row>
    <row r="161" spans="1:11" x14ac:dyDescent="0.25">
      <c r="A161" s="61">
        <f>'A) Base RI'!A163</f>
        <v>5655</v>
      </c>
      <c r="B161" s="114" t="str">
        <f>'A) Base RI'!B163</f>
        <v>Yens</v>
      </c>
      <c r="C161" s="125">
        <f>'B) D RI'!U163</f>
        <v>68107.282191780832</v>
      </c>
      <c r="D161" s="147">
        <f>'E) Fact soc'!G167/C161</f>
        <v>21.636591078474815</v>
      </c>
      <c r="E161" s="181">
        <f>'H) Péréquation directe'!I172/C161</f>
        <v>15.074071470243037</v>
      </c>
      <c r="F161" s="186">
        <f>'I) Dépenses thématiques'!P161</f>
        <v>0</v>
      </c>
      <c r="G161" s="143">
        <f t="shared" si="9"/>
        <v>36.710662548717849</v>
      </c>
      <c r="H161" s="181">
        <f t="shared" si="10"/>
        <v>36.710662548717849</v>
      </c>
      <c r="I161" s="186">
        <f t="shared" si="11"/>
        <v>0</v>
      </c>
      <c r="J161" s="74">
        <f t="shared" si="8"/>
        <v>0</v>
      </c>
      <c r="K161" s="46"/>
    </row>
    <row r="162" spans="1:11" x14ac:dyDescent="0.25">
      <c r="A162" s="61">
        <f>'A) Base RI'!A164</f>
        <v>5661</v>
      </c>
      <c r="B162" s="114" t="str">
        <f>'A) Base RI'!B164</f>
        <v>Boulens</v>
      </c>
      <c r="C162" s="125">
        <f>'B) D RI'!U164</f>
        <v>7277.4751898734185</v>
      </c>
      <c r="D162" s="147">
        <f>'E) Fact soc'!G168/C162</f>
        <v>18.122531358177856</v>
      </c>
      <c r="E162" s="181">
        <f>'H) Péréquation directe'!I173/C162</f>
        <v>-9.8827481176060843</v>
      </c>
      <c r="F162" s="186">
        <f>'I) Dépenses thématiques'!P162</f>
        <v>-6.2741224246876115</v>
      </c>
      <c r="G162" s="143">
        <f t="shared" si="9"/>
        <v>1.96566081588416</v>
      </c>
      <c r="H162" s="181">
        <f t="shared" si="10"/>
        <v>8.2397832405717715</v>
      </c>
      <c r="I162" s="186">
        <f t="shared" si="11"/>
        <v>0</v>
      </c>
      <c r="J162" s="74">
        <f t="shared" si="8"/>
        <v>0</v>
      </c>
      <c r="K162" s="46"/>
    </row>
    <row r="163" spans="1:11" x14ac:dyDescent="0.25">
      <c r="A163" s="61">
        <f>'A) Base RI'!A165</f>
        <v>5663</v>
      </c>
      <c r="B163" s="114" t="str">
        <f>'A) Base RI'!B165</f>
        <v>Bussy-sur-Moudon</v>
      </c>
      <c r="C163" s="125">
        <f>'B) D RI'!U165</f>
        <v>4999.1039999999994</v>
      </c>
      <c r="D163" s="147">
        <f>'E) Fact soc'!G169/C163</f>
        <v>21.678297555671243</v>
      </c>
      <c r="E163" s="181">
        <f>'H) Péréquation directe'!I174/C163</f>
        <v>-4.3273201287497871</v>
      </c>
      <c r="F163" s="186">
        <f>'I) Dépenses thématiques'!P163</f>
        <v>-6.8662125430899303</v>
      </c>
      <c r="G163" s="143">
        <f t="shared" si="9"/>
        <v>10.484764883831527</v>
      </c>
      <c r="H163" s="181">
        <f t="shared" si="10"/>
        <v>17.350977426921457</v>
      </c>
      <c r="I163" s="186">
        <f t="shared" si="11"/>
        <v>0</v>
      </c>
      <c r="J163" s="74">
        <f t="shared" si="8"/>
        <v>0</v>
      </c>
      <c r="K163" s="46"/>
    </row>
    <row r="164" spans="1:11" x14ac:dyDescent="0.25">
      <c r="A164" s="61">
        <f>'A) Base RI'!A166</f>
        <v>5665</v>
      </c>
      <c r="B164" s="114" t="str">
        <f>'A) Base RI'!B166</f>
        <v>Chavannes-sur-Moudon</v>
      </c>
      <c r="C164" s="125">
        <f>'B) D RI'!U166</f>
        <v>4834.5158333333329</v>
      </c>
      <c r="D164" s="147">
        <f>'E) Fact soc'!G170/C164</f>
        <v>15.524464788839424</v>
      </c>
      <c r="E164" s="181">
        <f>'H) Péréquation directe'!I175/C164</f>
        <v>-7.4979843720691761</v>
      </c>
      <c r="F164" s="186">
        <f>'I) Dépenses thématiques'!P164</f>
        <v>-3.9290932228758408</v>
      </c>
      <c r="G164" s="143">
        <f t="shared" si="9"/>
        <v>4.0973871938944075</v>
      </c>
      <c r="H164" s="181">
        <f t="shared" si="10"/>
        <v>8.0264804167702479</v>
      </c>
      <c r="I164" s="186">
        <f t="shared" si="11"/>
        <v>0</v>
      </c>
      <c r="J164" s="74">
        <f t="shared" si="8"/>
        <v>0</v>
      </c>
      <c r="K164" s="46"/>
    </row>
    <row r="165" spans="1:11" x14ac:dyDescent="0.25">
      <c r="A165" s="61">
        <f>'A) Base RI'!A167</f>
        <v>5669</v>
      </c>
      <c r="B165" s="114" t="str">
        <f>'A) Base RI'!B167</f>
        <v>Curtilles</v>
      </c>
      <c r="C165" s="125">
        <f>'B) D RI'!U167</f>
        <v>8707.7998611111107</v>
      </c>
      <c r="D165" s="147">
        <f>'E) Fact soc'!G171/C165</f>
        <v>20.468024090454694</v>
      </c>
      <c r="E165" s="181">
        <f>'H) Péréquation directe'!I176/C165</f>
        <v>3.2043822521815604</v>
      </c>
      <c r="F165" s="186">
        <f>'I) Dépenses thématiques'!P165</f>
        <v>-1.1128395437916396</v>
      </c>
      <c r="G165" s="143">
        <f t="shared" si="9"/>
        <v>22.559566798844614</v>
      </c>
      <c r="H165" s="181">
        <f t="shared" si="10"/>
        <v>23.672406342636254</v>
      </c>
      <c r="I165" s="186">
        <f t="shared" si="11"/>
        <v>0</v>
      </c>
      <c r="J165" s="74">
        <f t="shared" si="8"/>
        <v>0</v>
      </c>
      <c r="K165" s="46"/>
    </row>
    <row r="166" spans="1:11" x14ac:dyDescent="0.25">
      <c r="A166" s="61">
        <f>'A) Base RI'!A168</f>
        <v>5671</v>
      </c>
      <c r="B166" s="114" t="str">
        <f>'A) Base RI'!B168</f>
        <v>Dompierre</v>
      </c>
      <c r="C166" s="125">
        <f>'B) D RI'!U168</f>
        <v>6226.6947500000006</v>
      </c>
      <c r="D166" s="147">
        <f>'E) Fact soc'!G172/C166</f>
        <v>20.479605716536255</v>
      </c>
      <c r="E166" s="181">
        <f>'H) Péréquation directe'!I177/C166</f>
        <v>-4.4015853339924451</v>
      </c>
      <c r="F166" s="186">
        <f>'I) Dépenses thématiques'!P166</f>
        <v>-10.763215354771511</v>
      </c>
      <c r="G166" s="143">
        <f t="shared" si="9"/>
        <v>5.3148050277723016</v>
      </c>
      <c r="H166" s="181">
        <f t="shared" si="10"/>
        <v>16.078020382543812</v>
      </c>
      <c r="I166" s="186">
        <f t="shared" si="11"/>
        <v>0</v>
      </c>
      <c r="J166" s="74">
        <f t="shared" si="8"/>
        <v>0</v>
      </c>
      <c r="K166" s="46"/>
    </row>
    <row r="167" spans="1:11" x14ac:dyDescent="0.25">
      <c r="A167" s="61">
        <f>'A) Base RI'!A169</f>
        <v>5673</v>
      </c>
      <c r="B167" s="114" t="str">
        <f>'A) Base RI'!B169</f>
        <v>Hermenches</v>
      </c>
      <c r="C167" s="125">
        <f>'B) D RI'!U169</f>
        <v>8854.2944888888887</v>
      </c>
      <c r="D167" s="147">
        <f>'E) Fact soc'!G173/C167</f>
        <v>18.988453369577137</v>
      </c>
      <c r="E167" s="181">
        <f>'H) Péréquation directe'!I178/C167</f>
        <v>-5.8643870239882405</v>
      </c>
      <c r="F167" s="186">
        <f>'I) Dépenses thématiques'!P167</f>
        <v>-6.8441776828244443</v>
      </c>
      <c r="G167" s="143">
        <f t="shared" ref="G167:G220" si="12">SUM(D167:F167)</f>
        <v>6.2798886627644528</v>
      </c>
      <c r="H167" s="181">
        <f t="shared" ref="H167:H220" si="13">G167-F167</f>
        <v>13.124066345588897</v>
      </c>
      <c r="I167" s="186">
        <f t="shared" ref="I167:I220" si="14">IF(H167&lt;I$4,H167-I$4,0)</f>
        <v>0</v>
      </c>
      <c r="J167" s="74">
        <f t="shared" ref="J167:J219" si="15">-I167*C167</f>
        <v>0</v>
      </c>
      <c r="K167" s="46"/>
    </row>
    <row r="168" spans="1:11" x14ac:dyDescent="0.25">
      <c r="A168" s="61">
        <f>'A) Base RI'!A170</f>
        <v>5674</v>
      </c>
      <c r="B168" s="114" t="str">
        <f>'A) Base RI'!B170</f>
        <v>Lovatens</v>
      </c>
      <c r="C168" s="125">
        <f>'B) D RI'!U170</f>
        <v>3347.4317333333333</v>
      </c>
      <c r="D168" s="147">
        <f>'E) Fact soc'!G174/C168</f>
        <v>15.852626820961323</v>
      </c>
      <c r="E168" s="181">
        <f>'H) Péréquation directe'!I179/C168</f>
        <v>-7.9982780528169659</v>
      </c>
      <c r="F168" s="186">
        <f>'I) Dépenses thématiques'!P168</f>
        <v>-3.6697082699416681</v>
      </c>
      <c r="G168" s="143">
        <f t="shared" si="12"/>
        <v>4.1846404982026888</v>
      </c>
      <c r="H168" s="181">
        <f t="shared" si="13"/>
        <v>7.8543487681443569</v>
      </c>
      <c r="I168" s="186">
        <f t="shared" si="14"/>
        <v>0</v>
      </c>
      <c r="J168" s="74">
        <f t="shared" si="15"/>
        <v>0</v>
      </c>
      <c r="K168" s="46"/>
    </row>
    <row r="169" spans="1:11" x14ac:dyDescent="0.25">
      <c r="A169" s="61">
        <f>'A) Base RI'!A171</f>
        <v>5675</v>
      </c>
      <c r="B169" s="114" t="str">
        <f>'A) Base RI'!B171</f>
        <v>Lucens</v>
      </c>
      <c r="C169" s="125">
        <f>'B) D RI'!U171</f>
        <v>91702.321238938035</v>
      </c>
      <c r="D169" s="147">
        <f>'E) Fact soc'!G175/C169</f>
        <v>20.533778934803998</v>
      </c>
      <c r="E169" s="181">
        <f>'H) Péréquation directe'!I180/C169</f>
        <v>-10.761864691609272</v>
      </c>
      <c r="F169" s="186">
        <f>'I) Dépenses thématiques'!P169</f>
        <v>-3.3112150261143602</v>
      </c>
      <c r="G169" s="143">
        <f t="shared" ref="G169" si="16">SUM(D169:F169)</f>
        <v>6.4606992170803652</v>
      </c>
      <c r="H169" s="181">
        <f t="shared" ref="H169" si="17">G169-F169</f>
        <v>9.7719142431947255</v>
      </c>
      <c r="I169" s="186">
        <f t="shared" ref="I169" si="18">IF(H169&lt;I$4,H169-I$4,0)</f>
        <v>0</v>
      </c>
      <c r="J169" s="74">
        <f t="shared" ref="J169" si="19">-I169*C169</f>
        <v>0</v>
      </c>
      <c r="K169" s="46"/>
    </row>
    <row r="170" spans="1:11" x14ac:dyDescent="0.25">
      <c r="A170" s="61">
        <f>'A) Base RI'!A172</f>
        <v>5678</v>
      </c>
      <c r="B170" s="114" t="str">
        <f>'A) Base RI'!B172</f>
        <v>Moudon</v>
      </c>
      <c r="C170" s="125">
        <f>'B) D RI'!U172</f>
        <v>122060.45639999998</v>
      </c>
      <c r="D170" s="147">
        <f>'E) Fact soc'!G176/C170</f>
        <v>18.746923286872697</v>
      </c>
      <c r="E170" s="181">
        <f>'H) Péréquation directe'!I181/C170</f>
        <v>-24.010785362414271</v>
      </c>
      <c r="F170" s="186">
        <f>'I) Dépenses thématiques'!P170</f>
        <v>-9.6974832855015354</v>
      </c>
      <c r="G170" s="143">
        <f t="shared" si="12"/>
        <v>-14.96134536104311</v>
      </c>
      <c r="H170" s="181">
        <f t="shared" si="13"/>
        <v>-5.2638620755415744</v>
      </c>
      <c r="I170" s="186">
        <f t="shared" si="14"/>
        <v>0</v>
      </c>
      <c r="J170" s="74">
        <f t="shared" si="15"/>
        <v>0</v>
      </c>
      <c r="K170" s="46"/>
    </row>
    <row r="171" spans="1:11" x14ac:dyDescent="0.25">
      <c r="A171" s="61">
        <f>'A) Base RI'!A173</f>
        <v>5680</v>
      </c>
      <c r="B171" s="114" t="str">
        <f>'A) Base RI'!B173</f>
        <v>Ogens</v>
      </c>
      <c r="C171" s="125">
        <f>'B) D RI'!U173</f>
        <v>8163.3689316239324</v>
      </c>
      <c r="D171" s="147">
        <f>'E) Fact soc'!G177/C171</f>
        <v>16.339177446775977</v>
      </c>
      <c r="E171" s="181">
        <f>'H) Péréquation directe'!I182/C171</f>
        <v>2.3691621859188619</v>
      </c>
      <c r="F171" s="186">
        <f>'I) Dépenses thématiques'!P171</f>
        <v>0</v>
      </c>
      <c r="G171" s="143">
        <f t="shared" si="12"/>
        <v>18.708339632694837</v>
      </c>
      <c r="H171" s="181">
        <f t="shared" si="13"/>
        <v>18.708339632694837</v>
      </c>
      <c r="I171" s="186">
        <f t="shared" si="14"/>
        <v>0</v>
      </c>
      <c r="J171" s="74">
        <f t="shared" si="15"/>
        <v>0</v>
      </c>
      <c r="K171" s="46"/>
    </row>
    <row r="172" spans="1:11" x14ac:dyDescent="0.25">
      <c r="A172" s="61">
        <f>'A) Base RI'!A174</f>
        <v>5683</v>
      </c>
      <c r="B172" s="114" t="str">
        <f>'A) Base RI'!B174</f>
        <v>Prévonloup</v>
      </c>
      <c r="C172" s="125">
        <f>'B) D RI'!U174</f>
        <v>3618.5018918918922</v>
      </c>
      <c r="D172" s="147">
        <f>'E) Fact soc'!G178/C172</f>
        <v>17.640962231375184</v>
      </c>
      <c r="E172" s="181">
        <f>'H) Péréquation directe'!I183/C172</f>
        <v>-9.9798887875665034</v>
      </c>
      <c r="F172" s="186">
        <f>'I) Dépenses thématiques'!P172</f>
        <v>-4.7915836024559608</v>
      </c>
      <c r="G172" s="143">
        <f t="shared" si="12"/>
        <v>2.8694898413527197</v>
      </c>
      <c r="H172" s="181">
        <f t="shared" si="13"/>
        <v>7.6610734438086805</v>
      </c>
      <c r="I172" s="186">
        <f t="shared" si="14"/>
        <v>0</v>
      </c>
      <c r="J172" s="74">
        <f t="shared" si="15"/>
        <v>0</v>
      </c>
      <c r="K172" s="46"/>
    </row>
    <row r="173" spans="1:11" x14ac:dyDescent="0.25">
      <c r="A173" s="61">
        <f>'A) Base RI'!A175</f>
        <v>5684</v>
      </c>
      <c r="B173" s="114" t="str">
        <f>'A) Base RI'!B175</f>
        <v>Rossenges</v>
      </c>
      <c r="C173" s="125">
        <f>'B) D RI'!U175</f>
        <v>2611.7396666666664</v>
      </c>
      <c r="D173" s="147">
        <f>'E) Fact soc'!G179/C173</f>
        <v>15.524464788839422</v>
      </c>
      <c r="E173" s="181">
        <f>'H) Péréquation directe'!I184/C173</f>
        <v>14.730651995225115</v>
      </c>
      <c r="F173" s="186">
        <f>'I) Dépenses thématiques'!P173</f>
        <v>0</v>
      </c>
      <c r="G173" s="143">
        <f t="shared" si="12"/>
        <v>30.255116784064537</v>
      </c>
      <c r="H173" s="181">
        <f t="shared" si="13"/>
        <v>30.255116784064537</v>
      </c>
      <c r="I173" s="186">
        <f t="shared" si="14"/>
        <v>0</v>
      </c>
      <c r="J173" s="74">
        <f t="shared" si="15"/>
        <v>0</v>
      </c>
      <c r="K173" s="46"/>
    </row>
    <row r="174" spans="1:11" x14ac:dyDescent="0.25">
      <c r="A174" s="61">
        <f>'A) Base RI'!A176</f>
        <v>5688</v>
      </c>
      <c r="B174" s="114" t="str">
        <f>'A) Base RI'!B176</f>
        <v>Syens</v>
      </c>
      <c r="C174" s="125">
        <f>'B) D RI'!U176</f>
        <v>5385.636772486775</v>
      </c>
      <c r="D174" s="147">
        <f>'E) Fact soc'!G180/C174</f>
        <v>18.149340100189566</v>
      </c>
      <c r="E174" s="181">
        <f>'H) Péréquation directe'!I185/C174</f>
        <v>12.896883231183345</v>
      </c>
      <c r="F174" s="186">
        <f>'I) Dépenses thématiques'!P174</f>
        <v>-1.3988524297769811</v>
      </c>
      <c r="G174" s="143">
        <f t="shared" si="12"/>
        <v>29.647370901595931</v>
      </c>
      <c r="H174" s="181">
        <f t="shared" si="13"/>
        <v>31.046223331372911</v>
      </c>
      <c r="I174" s="186">
        <f t="shared" si="14"/>
        <v>0</v>
      </c>
      <c r="J174" s="74">
        <f t="shared" si="15"/>
        <v>0</v>
      </c>
      <c r="K174" s="46"/>
    </row>
    <row r="175" spans="1:11" x14ac:dyDescent="0.25">
      <c r="A175" s="61">
        <f>'A) Base RI'!A177</f>
        <v>5690</v>
      </c>
      <c r="B175" s="114" t="str">
        <f>'A) Base RI'!B177</f>
        <v>Villars-le-Comte</v>
      </c>
      <c r="C175" s="125">
        <f>'B) D RI'!U177</f>
        <v>3375.6488157894737</v>
      </c>
      <c r="D175" s="147">
        <f>'E) Fact soc'!G181/C175</f>
        <v>17.512712194377173</v>
      </c>
      <c r="E175" s="181">
        <f>'H) Péréquation directe'!I186/C175</f>
        <v>-7.8435750833878739</v>
      </c>
      <c r="F175" s="186">
        <f>'I) Dépenses thématiques'!P175</f>
        <v>-0.66502040512485106</v>
      </c>
      <c r="G175" s="143">
        <f t="shared" si="12"/>
        <v>9.0041167058644476</v>
      </c>
      <c r="H175" s="181">
        <f t="shared" si="13"/>
        <v>9.6691371109892987</v>
      </c>
      <c r="I175" s="186">
        <f t="shared" si="14"/>
        <v>0</v>
      </c>
      <c r="J175" s="74">
        <f t="shared" si="15"/>
        <v>0</v>
      </c>
      <c r="K175" s="46"/>
    </row>
    <row r="176" spans="1:11" x14ac:dyDescent="0.25">
      <c r="A176" s="61">
        <f>'A) Base RI'!A178</f>
        <v>5692</v>
      </c>
      <c r="B176" s="114" t="str">
        <f>'A) Base RI'!B178</f>
        <v>Vucherens</v>
      </c>
      <c r="C176" s="125">
        <f>'B) D RI'!U178</f>
        <v>15125.888354430383</v>
      </c>
      <c r="D176" s="147">
        <f>'E) Fact soc'!G182/C176</f>
        <v>18.207043428137336</v>
      </c>
      <c r="E176" s="181">
        <f>'H) Péréquation directe'!I187/C176</f>
        <v>0.56953486114823271</v>
      </c>
      <c r="F176" s="186">
        <f>'I) Dépenses thématiques'!P176</f>
        <v>-4.305126808495304</v>
      </c>
      <c r="G176" s="143">
        <f t="shared" si="12"/>
        <v>14.471451480790263</v>
      </c>
      <c r="H176" s="181">
        <f t="shared" si="13"/>
        <v>18.776578289285567</v>
      </c>
      <c r="I176" s="186">
        <f t="shared" si="14"/>
        <v>0</v>
      </c>
      <c r="J176" s="74">
        <f t="shared" si="15"/>
        <v>0</v>
      </c>
      <c r="K176" s="46"/>
    </row>
    <row r="177" spans="1:11" x14ac:dyDescent="0.25">
      <c r="A177" s="61">
        <f>'A) Base RI'!A179</f>
        <v>5693</v>
      </c>
      <c r="B177" s="114" t="str">
        <f>'A) Base RI'!B179</f>
        <v>Montanaire</v>
      </c>
      <c r="C177" s="125">
        <f>'B) D RI'!U179</f>
        <v>62987.795555555575</v>
      </c>
      <c r="D177" s="147">
        <f>'E) Fact soc'!G183/C177</f>
        <v>18.574450636185933</v>
      </c>
      <c r="E177" s="181">
        <f>'H) Péréquation directe'!I188/C177</f>
        <v>-5.1212895212427956</v>
      </c>
      <c r="F177" s="186">
        <f>'I) Dépenses thématiques'!P177</f>
        <v>-7.0072572375247306</v>
      </c>
      <c r="G177" s="143">
        <f>SUM(D177:F177)</f>
        <v>6.4459038774184068</v>
      </c>
      <c r="H177" s="181">
        <f>G177-F177</f>
        <v>13.453161114943137</v>
      </c>
      <c r="I177" s="186">
        <f t="shared" si="14"/>
        <v>0</v>
      </c>
      <c r="J177" s="74">
        <f>-I177*C177</f>
        <v>0</v>
      </c>
      <c r="K177" s="46"/>
    </row>
    <row r="178" spans="1:11" x14ac:dyDescent="0.25">
      <c r="A178" s="61">
        <f>'A) Base RI'!A180</f>
        <v>5701</v>
      </c>
      <c r="B178" s="114" t="str">
        <f>'A) Base RI'!B180</f>
        <v>Arnex-sur-Nyon</v>
      </c>
      <c r="C178" s="125">
        <f>'B) D RI'!U180</f>
        <v>14386.456307692306</v>
      </c>
      <c r="D178" s="147">
        <f>'E) Fact soc'!G184/C178</f>
        <v>21.442412928922675</v>
      </c>
      <c r="E178" s="181">
        <f>'H) Péréquation directe'!I189/C178</f>
        <v>16.218433462623292</v>
      </c>
      <c r="F178" s="186">
        <f>'I) Dépenses thématiques'!P178</f>
        <v>0</v>
      </c>
      <c r="G178" s="143">
        <f>SUM(D178:F178)</f>
        <v>37.660846391545967</v>
      </c>
      <c r="H178" s="181">
        <f>G178-F178</f>
        <v>37.660846391545967</v>
      </c>
      <c r="I178" s="186">
        <f t="shared" si="14"/>
        <v>0</v>
      </c>
      <c r="J178" s="74">
        <f>-I178*C178</f>
        <v>0</v>
      </c>
      <c r="K178" s="46"/>
    </row>
    <row r="179" spans="1:11" x14ac:dyDescent="0.25">
      <c r="A179" s="61">
        <f>'A) Base RI'!A181</f>
        <v>5702</v>
      </c>
      <c r="B179" s="114" t="str">
        <f>'A) Base RI'!B181</f>
        <v>Arzier-Le Muids</v>
      </c>
      <c r="C179" s="125">
        <f>'B) D RI'!U181</f>
        <v>137336.67807291666</v>
      </c>
      <c r="D179" s="147">
        <f>'E) Fact soc'!G185/C179</f>
        <v>18.824011473397299</v>
      </c>
      <c r="E179" s="181">
        <f>'H) Péréquation directe'!I190/C179</f>
        <v>14.045725055789498</v>
      </c>
      <c r="F179" s="186">
        <f>'I) Dépenses thématiques'!P179</f>
        <v>-1.9714050105042387</v>
      </c>
      <c r="G179" s="143">
        <f t="shared" si="12"/>
        <v>30.898331518682557</v>
      </c>
      <c r="H179" s="181">
        <f t="shared" si="13"/>
        <v>32.869736529186795</v>
      </c>
      <c r="I179" s="186">
        <f t="shared" si="14"/>
        <v>0</v>
      </c>
      <c r="J179" s="74">
        <f t="shared" si="15"/>
        <v>0</v>
      </c>
      <c r="K179" s="46"/>
    </row>
    <row r="180" spans="1:11" x14ac:dyDescent="0.25">
      <c r="A180" s="61">
        <f>'A) Base RI'!A182</f>
        <v>5703</v>
      </c>
      <c r="B180" s="114" t="str">
        <f>'A) Base RI'!B182</f>
        <v>Bassins</v>
      </c>
      <c r="C180" s="125">
        <f>'B) D RI'!U182</f>
        <v>51617.647746478862</v>
      </c>
      <c r="D180" s="147">
        <f>'E) Fact soc'!G186/C180</f>
        <v>17.77440148821028</v>
      </c>
      <c r="E180" s="181">
        <f>'H) Péréquation directe'!I191/C180</f>
        <v>11.96532068474335</v>
      </c>
      <c r="F180" s="186">
        <f>'I) Dépenses thématiques'!P180</f>
        <v>-6.6271295785506856</v>
      </c>
      <c r="G180" s="143">
        <f t="shared" si="12"/>
        <v>23.112592594402944</v>
      </c>
      <c r="H180" s="181">
        <f t="shared" si="13"/>
        <v>29.739722172953631</v>
      </c>
      <c r="I180" s="186">
        <f t="shared" si="14"/>
        <v>0</v>
      </c>
      <c r="J180" s="74">
        <f t="shared" si="15"/>
        <v>0</v>
      </c>
      <c r="K180" s="46"/>
    </row>
    <row r="181" spans="1:11" x14ac:dyDescent="0.25">
      <c r="A181" s="61">
        <f>'A) Base RI'!A183</f>
        <v>5704</v>
      </c>
      <c r="B181" s="114" t="str">
        <f>'A) Base RI'!B183</f>
        <v>Begnins</v>
      </c>
      <c r="C181" s="125">
        <f>'B) D RI'!U183</f>
        <v>109192.54039800997</v>
      </c>
      <c r="D181" s="147">
        <f>'E) Fact soc'!G187/C181</f>
        <v>23.047001092737499</v>
      </c>
      <c r="E181" s="181">
        <f>'H) Péréquation directe'!I192/C181</f>
        <v>14.700854480966855</v>
      </c>
      <c r="F181" s="186">
        <f>'I) Dépenses thématiques'!P181</f>
        <v>0</v>
      </c>
      <c r="G181" s="143">
        <f t="shared" si="12"/>
        <v>37.747855573704356</v>
      </c>
      <c r="H181" s="181">
        <f t="shared" si="13"/>
        <v>37.747855573704356</v>
      </c>
      <c r="I181" s="186">
        <f t="shared" si="14"/>
        <v>0</v>
      </c>
      <c r="J181" s="74">
        <f t="shared" si="15"/>
        <v>0</v>
      </c>
      <c r="K181" s="46"/>
    </row>
    <row r="182" spans="1:11" x14ac:dyDescent="0.25">
      <c r="A182" s="61">
        <f>'A) Base RI'!A184</f>
        <v>5705</v>
      </c>
      <c r="B182" s="114" t="str">
        <f>'A) Base RI'!B184</f>
        <v>Bogis-Bossey</v>
      </c>
      <c r="C182" s="125">
        <f>'B) D RI'!U184</f>
        <v>49393.857499999991</v>
      </c>
      <c r="D182" s="147">
        <f>'E) Fact soc'!G188/C182</f>
        <v>20.809495907449428</v>
      </c>
      <c r="E182" s="181">
        <f>'H) Péréquation directe'!I193/C182</f>
        <v>16.560142880870451</v>
      </c>
      <c r="F182" s="186">
        <f>'I) Dépenses thématiques'!P182</f>
        <v>0</v>
      </c>
      <c r="G182" s="143">
        <f t="shared" si="12"/>
        <v>37.369638788319875</v>
      </c>
      <c r="H182" s="181">
        <f t="shared" si="13"/>
        <v>37.369638788319875</v>
      </c>
      <c r="I182" s="186">
        <f t="shared" si="14"/>
        <v>0</v>
      </c>
      <c r="J182" s="74">
        <f t="shared" si="15"/>
        <v>0</v>
      </c>
      <c r="K182" s="46"/>
    </row>
    <row r="183" spans="1:11" x14ac:dyDescent="0.25">
      <c r="A183" s="61">
        <f>'A) Base RI'!A185</f>
        <v>5706</v>
      </c>
      <c r="B183" s="114" t="str">
        <f>'A) Base RI'!B185</f>
        <v>Borex</v>
      </c>
      <c r="C183" s="125">
        <f>'B) D RI'!U185</f>
        <v>61064.931696969696</v>
      </c>
      <c r="D183" s="147">
        <f>'E) Fact soc'!G189/C183</f>
        <v>22.752394718913955</v>
      </c>
      <c r="E183" s="181">
        <f>'H) Péréquation directe'!I194/C183</f>
        <v>16.41333172912908</v>
      </c>
      <c r="F183" s="186">
        <f>'I) Dépenses thématiques'!P183</f>
        <v>0</v>
      </c>
      <c r="G183" s="143">
        <f t="shared" si="12"/>
        <v>39.165726448043031</v>
      </c>
      <c r="H183" s="181">
        <f t="shared" si="13"/>
        <v>39.165726448043031</v>
      </c>
      <c r="I183" s="186">
        <f t="shared" si="14"/>
        <v>0</v>
      </c>
      <c r="J183" s="74">
        <f t="shared" si="15"/>
        <v>0</v>
      </c>
      <c r="K183" s="46"/>
    </row>
    <row r="184" spans="1:11" x14ac:dyDescent="0.25">
      <c r="A184" s="61">
        <f>'A) Base RI'!A186</f>
        <v>5707</v>
      </c>
      <c r="B184" s="114" t="str">
        <f>'A) Base RI'!B186</f>
        <v>Chavannes-de-Bogis</v>
      </c>
      <c r="C184" s="125">
        <f>'B) D RI'!U186</f>
        <v>90099.169661016946</v>
      </c>
      <c r="D184" s="147">
        <f>'E) Fact soc'!G190/C184</f>
        <v>23.52175203661616</v>
      </c>
      <c r="E184" s="181">
        <f>'H) Péréquation directe'!I195/C184</f>
        <v>15.431280283167114</v>
      </c>
      <c r="F184" s="186">
        <f>'I) Dépenses thématiques'!P184</f>
        <v>0</v>
      </c>
      <c r="G184" s="143">
        <f t="shared" si="12"/>
        <v>38.953032319783276</v>
      </c>
      <c r="H184" s="181">
        <f t="shared" si="13"/>
        <v>38.953032319783276</v>
      </c>
      <c r="I184" s="186">
        <f t="shared" si="14"/>
        <v>0</v>
      </c>
      <c r="J184" s="74">
        <f t="shared" si="15"/>
        <v>0</v>
      </c>
      <c r="K184" s="46"/>
    </row>
    <row r="185" spans="1:11" x14ac:dyDescent="0.25">
      <c r="A185" s="61">
        <f>'A) Base RI'!A187</f>
        <v>5708</v>
      </c>
      <c r="B185" s="114" t="str">
        <f>'A) Base RI'!B187</f>
        <v>Chavannes-des-Bois</v>
      </c>
      <c r="C185" s="125">
        <f>'B) D RI'!U187</f>
        <v>61956.418196721308</v>
      </c>
      <c r="D185" s="147">
        <f>'E) Fact soc'!G191/C185</f>
        <v>24.915550738077542</v>
      </c>
      <c r="E185" s="181">
        <f>'H) Péréquation directe'!I196/C185</f>
        <v>15.902479547443329</v>
      </c>
      <c r="F185" s="186">
        <f>'I) Dépenses thématiques'!P185</f>
        <v>0</v>
      </c>
      <c r="G185" s="143">
        <f t="shared" si="12"/>
        <v>40.818030285520869</v>
      </c>
      <c r="H185" s="181">
        <f t="shared" si="13"/>
        <v>40.818030285520869</v>
      </c>
      <c r="I185" s="186">
        <f t="shared" si="14"/>
        <v>0</v>
      </c>
      <c r="J185" s="74">
        <f t="shared" si="15"/>
        <v>0</v>
      </c>
      <c r="K185" s="46"/>
    </row>
    <row r="186" spans="1:11" x14ac:dyDescent="0.25">
      <c r="A186" s="61">
        <f>'A) Base RI'!A188</f>
        <v>5709</v>
      </c>
      <c r="B186" s="114" t="str">
        <f>'A) Base RI'!B188</f>
        <v>Chéserex</v>
      </c>
      <c r="C186" s="125">
        <f>'B) D RI'!U188</f>
        <v>115595.36230769231</v>
      </c>
      <c r="D186" s="147">
        <f>'E) Fact soc'!G192/C186</f>
        <v>24.495493800745336</v>
      </c>
      <c r="E186" s="181">
        <f>'H) Péréquation directe'!I197/C186</f>
        <v>14.804158162983745</v>
      </c>
      <c r="F186" s="186">
        <f>'I) Dépenses thématiques'!P186</f>
        <v>0</v>
      </c>
      <c r="G186" s="143">
        <f t="shared" si="12"/>
        <v>39.299651963729083</v>
      </c>
      <c r="H186" s="181">
        <f t="shared" si="13"/>
        <v>39.299651963729083</v>
      </c>
      <c r="I186" s="186">
        <f t="shared" si="14"/>
        <v>0</v>
      </c>
      <c r="J186" s="74">
        <f t="shared" si="15"/>
        <v>0</v>
      </c>
      <c r="K186" s="46"/>
    </row>
    <row r="187" spans="1:11" x14ac:dyDescent="0.25">
      <c r="A187" s="61">
        <f>'A) Base RI'!A189</f>
        <v>5710</v>
      </c>
      <c r="B187" s="114" t="str">
        <f>'A) Base RI'!B189</f>
        <v>Coinsins</v>
      </c>
      <c r="C187" s="125">
        <f>'B) D RI'!U189</f>
        <v>112738.70512195122</v>
      </c>
      <c r="D187" s="147">
        <f>'E) Fact soc'!G193/C187</f>
        <v>31.240630785175174</v>
      </c>
      <c r="E187" s="181">
        <f>'H) Péréquation directe'!I198/C187</f>
        <v>12.523717955376048</v>
      </c>
      <c r="F187" s="186">
        <f>'I) Dépenses thématiques'!P187</f>
        <v>0</v>
      </c>
      <c r="G187" s="143">
        <f t="shared" si="12"/>
        <v>43.76434874055122</v>
      </c>
      <c r="H187" s="181">
        <f t="shared" si="13"/>
        <v>43.76434874055122</v>
      </c>
      <c r="I187" s="186">
        <f t="shared" si="14"/>
        <v>0</v>
      </c>
      <c r="J187" s="74">
        <f t="shared" si="15"/>
        <v>0</v>
      </c>
      <c r="K187" s="46"/>
    </row>
    <row r="188" spans="1:11" x14ac:dyDescent="0.25">
      <c r="A188" s="61">
        <f>'A) Base RI'!A190</f>
        <v>5711</v>
      </c>
      <c r="B188" s="114" t="str">
        <f>'A) Base RI'!B190</f>
        <v>Commugny</v>
      </c>
      <c r="C188" s="125">
        <f>'B) D RI'!U190</f>
        <v>236913.245596817</v>
      </c>
      <c r="D188" s="147">
        <f>'E) Fact soc'!G194/C188</f>
        <v>25.773755130660554</v>
      </c>
      <c r="E188" s="181">
        <f>'H) Péréquation directe'!I199/C188</f>
        <v>13.77246488025451</v>
      </c>
      <c r="F188" s="186">
        <f>'I) Dépenses thématiques'!P188</f>
        <v>0</v>
      </c>
      <c r="G188" s="143">
        <f t="shared" si="12"/>
        <v>39.546220010915064</v>
      </c>
      <c r="H188" s="181">
        <f t="shared" si="13"/>
        <v>39.546220010915064</v>
      </c>
      <c r="I188" s="186">
        <f t="shared" si="14"/>
        <v>0</v>
      </c>
      <c r="J188" s="74">
        <f t="shared" si="15"/>
        <v>0</v>
      </c>
      <c r="K188" s="46"/>
    </row>
    <row r="189" spans="1:11" x14ac:dyDescent="0.25">
      <c r="A189" s="61">
        <f>'A) Base RI'!A191</f>
        <v>5712</v>
      </c>
      <c r="B189" s="114" t="str">
        <f>'A) Base RI'!B191</f>
        <v>Coppet</v>
      </c>
      <c r="C189" s="125">
        <f>'B) D RI'!U191</f>
        <v>309642.37182389939</v>
      </c>
      <c r="D189" s="147">
        <f>'E) Fact soc'!G195/C189</f>
        <v>28.970638858619907</v>
      </c>
      <c r="E189" s="181">
        <f>'H) Péréquation directe'!I200/C189</f>
        <v>13.406611118950689</v>
      </c>
      <c r="F189" s="186">
        <f>'I) Dépenses thématiques'!P189</f>
        <v>0</v>
      </c>
      <c r="G189" s="143">
        <f t="shared" si="12"/>
        <v>42.3772499775706</v>
      </c>
      <c r="H189" s="181">
        <f t="shared" si="13"/>
        <v>42.3772499775706</v>
      </c>
      <c r="I189" s="186">
        <f t="shared" si="14"/>
        <v>0</v>
      </c>
      <c r="J189" s="74">
        <f t="shared" si="15"/>
        <v>0</v>
      </c>
      <c r="K189" s="46"/>
    </row>
    <row r="190" spans="1:11" x14ac:dyDescent="0.25">
      <c r="A190" s="61">
        <f>'A) Base RI'!A192</f>
        <v>5713</v>
      </c>
      <c r="B190" s="114" t="str">
        <f>'A) Base RI'!B192</f>
        <v>Crans-près-Céligny</v>
      </c>
      <c r="C190" s="125">
        <f>'B) D RI'!U192</f>
        <v>259331.62150943396</v>
      </c>
      <c r="D190" s="147">
        <f>'E) Fact soc'!G196/C190</f>
        <v>30.033244777976563</v>
      </c>
      <c r="E190" s="181">
        <f>'H) Péréquation directe'!I201/C190</f>
        <v>13.429122949887757</v>
      </c>
      <c r="F190" s="186">
        <f>'I) Dépenses thématiques'!P190</f>
        <v>0</v>
      </c>
      <c r="G190" s="143">
        <f t="shared" si="12"/>
        <v>43.462367727864319</v>
      </c>
      <c r="H190" s="181">
        <f t="shared" si="13"/>
        <v>43.462367727864319</v>
      </c>
      <c r="I190" s="186">
        <f t="shared" si="14"/>
        <v>0</v>
      </c>
      <c r="J190" s="74">
        <f t="shared" si="15"/>
        <v>0</v>
      </c>
      <c r="K190" s="46"/>
    </row>
    <row r="191" spans="1:11" x14ac:dyDescent="0.25">
      <c r="A191" s="61">
        <f>'A) Base RI'!A193</f>
        <v>5714</v>
      </c>
      <c r="B191" s="114" t="str">
        <f>'A) Base RI'!B193</f>
        <v>Crassier</v>
      </c>
      <c r="C191" s="125">
        <f>'B) D RI'!U193</f>
        <v>74990.560937499991</v>
      </c>
      <c r="D191" s="147">
        <f>'E) Fact soc'!G197/C191</f>
        <v>21.145682652959895</v>
      </c>
      <c r="E191" s="181">
        <f>'H) Péréquation directe'!I202/C191</f>
        <v>15.875331651616655</v>
      </c>
      <c r="F191" s="186">
        <f>'I) Dépenses thématiques'!P191</f>
        <v>0</v>
      </c>
      <c r="G191" s="143">
        <f t="shared" si="12"/>
        <v>37.021014304576553</v>
      </c>
      <c r="H191" s="181">
        <f t="shared" si="13"/>
        <v>37.021014304576553</v>
      </c>
      <c r="I191" s="186">
        <f t="shared" si="14"/>
        <v>0</v>
      </c>
      <c r="J191" s="74">
        <f t="shared" si="15"/>
        <v>0</v>
      </c>
      <c r="K191" s="46"/>
    </row>
    <row r="192" spans="1:11" x14ac:dyDescent="0.25">
      <c r="A192" s="61">
        <f>'A) Base RI'!A194</f>
        <v>5715</v>
      </c>
      <c r="B192" s="114" t="str">
        <f>'A) Base RI'!B194</f>
        <v>Duillier</v>
      </c>
      <c r="C192" s="125">
        <f>'B) D RI'!U194</f>
        <v>58313.27166666666</v>
      </c>
      <c r="D192" s="147">
        <f>'E) Fact soc'!G198/C192</f>
        <v>22.140095581945033</v>
      </c>
      <c r="E192" s="181">
        <f>'H) Péréquation directe'!I203/C192</f>
        <v>16.603079671926782</v>
      </c>
      <c r="F192" s="186">
        <f>'I) Dépenses thématiques'!P192</f>
        <v>0</v>
      </c>
      <c r="G192" s="143">
        <f t="shared" si="12"/>
        <v>38.743175253871811</v>
      </c>
      <c r="H192" s="181">
        <f t="shared" si="13"/>
        <v>38.743175253871811</v>
      </c>
      <c r="I192" s="186">
        <f t="shared" si="14"/>
        <v>0</v>
      </c>
      <c r="J192" s="74">
        <f t="shared" si="15"/>
        <v>0</v>
      </c>
      <c r="K192" s="46"/>
    </row>
    <row r="193" spans="1:11" x14ac:dyDescent="0.25">
      <c r="A193" s="61">
        <f>'A) Base RI'!A195</f>
        <v>5716</v>
      </c>
      <c r="B193" s="114" t="str">
        <f>'A) Base RI'!B195</f>
        <v>Eysins</v>
      </c>
      <c r="C193" s="125">
        <f>'B) D RI'!U195</f>
        <v>124360.51655737706</v>
      </c>
      <c r="D193" s="147">
        <f>'E) Fact soc'!G199/C193</f>
        <v>26.080338653537215</v>
      </c>
      <c r="E193" s="181">
        <f>'H) Péréquation directe'!I204/C193</f>
        <v>14.701680915145648</v>
      </c>
      <c r="F193" s="186">
        <f>'I) Dépenses thématiques'!P193</f>
        <v>0</v>
      </c>
      <c r="G193" s="143">
        <f t="shared" si="12"/>
        <v>40.782019568682863</v>
      </c>
      <c r="H193" s="181">
        <f t="shared" si="13"/>
        <v>40.782019568682863</v>
      </c>
      <c r="I193" s="186">
        <f t="shared" si="14"/>
        <v>0</v>
      </c>
      <c r="J193" s="74">
        <f t="shared" si="15"/>
        <v>0</v>
      </c>
      <c r="K193" s="46"/>
    </row>
    <row r="194" spans="1:11" x14ac:dyDescent="0.25">
      <c r="A194" s="61">
        <f>'A) Base RI'!A196</f>
        <v>5717</v>
      </c>
      <c r="B194" s="114" t="str">
        <f>'A) Base RI'!B196</f>
        <v>Founex</v>
      </c>
      <c r="C194" s="125">
        <f>'B) D RI'!U196</f>
        <v>345595.68736842106</v>
      </c>
      <c r="D194" s="147">
        <f>'E) Fact soc'!G200/C194</f>
        <v>28.980001890805053</v>
      </c>
      <c r="E194" s="181">
        <f>'H) Péréquation directe'!I205/C194</f>
        <v>13.186418809602003</v>
      </c>
      <c r="F194" s="186">
        <f>'I) Dépenses thématiques'!P194</f>
        <v>0</v>
      </c>
      <c r="G194" s="143">
        <f t="shared" si="12"/>
        <v>42.166420700407059</v>
      </c>
      <c r="H194" s="181">
        <f t="shared" si="13"/>
        <v>42.166420700407059</v>
      </c>
      <c r="I194" s="186">
        <f t="shared" si="14"/>
        <v>0</v>
      </c>
      <c r="J194" s="74">
        <f t="shared" si="15"/>
        <v>0</v>
      </c>
      <c r="K194" s="46"/>
    </row>
    <row r="195" spans="1:11" x14ac:dyDescent="0.25">
      <c r="A195" s="61">
        <f>'A) Base RI'!A197</f>
        <v>5718</v>
      </c>
      <c r="B195" s="114" t="str">
        <f>'A) Base RI'!B197</f>
        <v>Genolier</v>
      </c>
      <c r="C195" s="125">
        <f>'B) D RI'!U197</f>
        <v>147563.83054545455</v>
      </c>
      <c r="D195" s="147">
        <f>'E) Fact soc'!G201/C195</f>
        <v>24.833483179985478</v>
      </c>
      <c r="E195" s="181">
        <f>'H) Péréquation directe'!I206/C195</f>
        <v>14.361914390133396</v>
      </c>
      <c r="F195" s="186">
        <f>'I) Dépenses thématiques'!P195</f>
        <v>0</v>
      </c>
      <c r="G195" s="143">
        <f t="shared" si="12"/>
        <v>39.195397570118871</v>
      </c>
      <c r="H195" s="181">
        <f t="shared" si="13"/>
        <v>39.195397570118871</v>
      </c>
      <c r="I195" s="186">
        <f t="shared" si="14"/>
        <v>0</v>
      </c>
      <c r="J195" s="74">
        <f t="shared" si="15"/>
        <v>0</v>
      </c>
      <c r="K195" s="46"/>
    </row>
    <row r="196" spans="1:11" x14ac:dyDescent="0.25">
      <c r="A196" s="61">
        <f>'A) Base RI'!A198</f>
        <v>5719</v>
      </c>
      <c r="B196" s="114" t="str">
        <f>'A) Base RI'!B198</f>
        <v>Gingins</v>
      </c>
      <c r="C196" s="125">
        <f>'B) D RI'!U198</f>
        <v>96514.726140350875</v>
      </c>
      <c r="D196" s="147">
        <f>'E) Fact soc'!G202/C196</f>
        <v>25.154069678375585</v>
      </c>
      <c r="E196" s="181">
        <f>'H) Péréquation directe'!I207/C196</f>
        <v>15.257980718243425</v>
      </c>
      <c r="F196" s="186">
        <f>'I) Dépenses thématiques'!P196</f>
        <v>0</v>
      </c>
      <c r="G196" s="143">
        <f t="shared" si="12"/>
        <v>40.412050396619009</v>
      </c>
      <c r="H196" s="181">
        <f t="shared" si="13"/>
        <v>40.412050396619009</v>
      </c>
      <c r="I196" s="186">
        <f t="shared" si="14"/>
        <v>0</v>
      </c>
      <c r="J196" s="74">
        <f t="shared" si="15"/>
        <v>0</v>
      </c>
      <c r="K196" s="46"/>
    </row>
    <row r="197" spans="1:11" x14ac:dyDescent="0.25">
      <c r="A197" s="61">
        <f>'A) Base RI'!A199</f>
        <v>5720</v>
      </c>
      <c r="B197" s="114" t="str">
        <f>'A) Base RI'!B199</f>
        <v>Givrins</v>
      </c>
      <c r="C197" s="125">
        <f>'B) D RI'!U199</f>
        <v>81037.865428051009</v>
      </c>
      <c r="D197" s="147">
        <f>'E) Fact soc'!G203/C197</f>
        <v>27.846062538973619</v>
      </c>
      <c r="E197" s="181">
        <f>'H) Péréquation directe'!I208/C197</f>
        <v>15.672424470885858</v>
      </c>
      <c r="F197" s="186">
        <f>'I) Dépenses thématiques'!P197</f>
        <v>-0.34893244150313862</v>
      </c>
      <c r="G197" s="143">
        <f t="shared" si="12"/>
        <v>43.16955456835634</v>
      </c>
      <c r="H197" s="181">
        <f t="shared" si="13"/>
        <v>43.518487009859477</v>
      </c>
      <c r="I197" s="186">
        <f t="shared" si="14"/>
        <v>0</v>
      </c>
      <c r="J197" s="74">
        <f t="shared" si="15"/>
        <v>0</v>
      </c>
      <c r="K197" s="46"/>
    </row>
    <row r="198" spans="1:11" x14ac:dyDescent="0.25">
      <c r="A198" s="61">
        <f>'A) Base RI'!A200</f>
        <v>5721</v>
      </c>
      <c r="B198" s="114" t="str">
        <f>'A) Base RI'!B200</f>
        <v>Gland</v>
      </c>
      <c r="C198" s="125">
        <f>'B) D RI'!U200</f>
        <v>556574.85335272714</v>
      </c>
      <c r="D198" s="147">
        <f>'E) Fact soc'!G204/C198</f>
        <v>19.857968782904091</v>
      </c>
      <c r="E198" s="181">
        <f>'H) Péréquation directe'!I209/C198</f>
        <v>5.3537557907117543</v>
      </c>
      <c r="F198" s="186">
        <f>'I) Dépenses thématiques'!P198</f>
        <v>0</v>
      </c>
      <c r="G198" s="143">
        <f t="shared" si="12"/>
        <v>25.211724573615847</v>
      </c>
      <c r="H198" s="181">
        <f t="shared" si="13"/>
        <v>25.211724573615847</v>
      </c>
      <c r="I198" s="186">
        <f t="shared" si="14"/>
        <v>0</v>
      </c>
      <c r="J198" s="74">
        <f t="shared" si="15"/>
        <v>0</v>
      </c>
      <c r="K198" s="46"/>
    </row>
    <row r="199" spans="1:11" x14ac:dyDescent="0.25">
      <c r="A199" s="61">
        <f>'A) Base RI'!A201</f>
        <v>5722</v>
      </c>
      <c r="B199" s="114" t="str">
        <f>'A) Base RI'!B201</f>
        <v>Grens</v>
      </c>
      <c r="C199" s="125">
        <f>'B) D RI'!U201</f>
        <v>22888.286666666663</v>
      </c>
      <c r="D199" s="147">
        <f>'E) Fact soc'!G205/C199</f>
        <v>18.027875243126978</v>
      </c>
      <c r="E199" s="181">
        <f>'H) Péréquation directe'!I210/C199</f>
        <v>16.532324641652355</v>
      </c>
      <c r="F199" s="186">
        <f>'I) Dépenses thématiques'!P199</f>
        <v>0</v>
      </c>
      <c r="G199" s="143">
        <f t="shared" si="12"/>
        <v>34.560199884779337</v>
      </c>
      <c r="H199" s="181">
        <f t="shared" si="13"/>
        <v>34.560199884779337</v>
      </c>
      <c r="I199" s="186">
        <f t="shared" si="14"/>
        <v>0</v>
      </c>
      <c r="J199" s="74">
        <f t="shared" si="15"/>
        <v>0</v>
      </c>
      <c r="K199" s="46"/>
    </row>
    <row r="200" spans="1:11" x14ac:dyDescent="0.25">
      <c r="A200" s="61">
        <f>'A) Base RI'!A202</f>
        <v>5723</v>
      </c>
      <c r="B200" s="114" t="str">
        <f>'A) Base RI'!B202</f>
        <v>Mies</v>
      </c>
      <c r="C200" s="125">
        <f>'B) D RI'!U202</f>
        <v>265838.70510204078</v>
      </c>
      <c r="D200" s="147">
        <f>'E) Fact soc'!G206/C200</f>
        <v>30.451565071936326</v>
      </c>
      <c r="E200" s="181">
        <f>'H) Péréquation directe'!I211/C200</f>
        <v>13.200230951597533</v>
      </c>
      <c r="F200" s="186">
        <f>'I) Dépenses thématiques'!P200</f>
        <v>0</v>
      </c>
      <c r="G200" s="143">
        <f t="shared" si="12"/>
        <v>43.651796023533862</v>
      </c>
      <c r="H200" s="181">
        <f t="shared" si="13"/>
        <v>43.651796023533862</v>
      </c>
      <c r="I200" s="186">
        <f t="shared" si="14"/>
        <v>0</v>
      </c>
      <c r="J200" s="74">
        <f t="shared" si="15"/>
        <v>0</v>
      </c>
      <c r="K200" s="46"/>
    </row>
    <row r="201" spans="1:11" x14ac:dyDescent="0.25">
      <c r="A201" s="61">
        <f>'A) Base RI'!A203</f>
        <v>5724</v>
      </c>
      <c r="B201" s="114" t="str">
        <f>'A) Base RI'!B203</f>
        <v>Nyon</v>
      </c>
      <c r="C201" s="125">
        <f>'B) D RI'!U203</f>
        <v>1373447.3453593946</v>
      </c>
      <c r="D201" s="147">
        <f>'E) Fact soc'!G207/C201</f>
        <v>22.534084032033732</v>
      </c>
      <c r="E201" s="181">
        <f>'H) Péréquation directe'!I212/C201</f>
        <v>6.9441855663706411</v>
      </c>
      <c r="F201" s="186">
        <f>'I) Dépenses thématiques'!P201</f>
        <v>-9.7285299902454991E-2</v>
      </c>
      <c r="G201" s="143">
        <f t="shared" si="12"/>
        <v>29.380984298501918</v>
      </c>
      <c r="H201" s="181">
        <f t="shared" si="13"/>
        <v>29.478269598404374</v>
      </c>
      <c r="I201" s="186">
        <f t="shared" si="14"/>
        <v>0</v>
      </c>
      <c r="J201" s="74">
        <f t="shared" si="15"/>
        <v>0</v>
      </c>
      <c r="K201" s="46"/>
    </row>
    <row r="202" spans="1:11" x14ac:dyDescent="0.25">
      <c r="A202" s="61">
        <f>'A) Base RI'!A204</f>
        <v>5725</v>
      </c>
      <c r="B202" s="114" t="str">
        <f>'A) Base RI'!B204</f>
        <v>Prangins</v>
      </c>
      <c r="C202" s="125">
        <f>'B) D RI'!U204</f>
        <v>279071.20818877552</v>
      </c>
      <c r="D202" s="147">
        <f>'E) Fact soc'!G208/C202</f>
        <v>23.597422579063537</v>
      </c>
      <c r="E202" s="181">
        <f>'H) Péréquation directe'!I213/C202</f>
        <v>13.013466186127538</v>
      </c>
      <c r="F202" s="186">
        <f>'I) Dépenses thématiques'!P202</f>
        <v>0</v>
      </c>
      <c r="G202" s="143">
        <f t="shared" si="12"/>
        <v>36.610888765191078</v>
      </c>
      <c r="H202" s="181">
        <f t="shared" si="13"/>
        <v>36.610888765191078</v>
      </c>
      <c r="I202" s="186">
        <f t="shared" si="14"/>
        <v>0</v>
      </c>
      <c r="J202" s="74">
        <f t="shared" si="15"/>
        <v>0</v>
      </c>
      <c r="K202" s="46"/>
    </row>
    <row r="203" spans="1:11" x14ac:dyDescent="0.25">
      <c r="A203" s="61">
        <f>'A) Base RI'!A205</f>
        <v>5726</v>
      </c>
      <c r="B203" s="114" t="str">
        <f>'A) Base RI'!B205</f>
        <v>La Rippe</v>
      </c>
      <c r="C203" s="125">
        <f>'B) D RI'!U205</f>
        <v>60430.074769230778</v>
      </c>
      <c r="D203" s="147">
        <f>'E) Fact soc'!G209/C203</f>
        <v>18.903002024636208</v>
      </c>
      <c r="E203" s="181">
        <f>'H) Péréquation directe'!I214/C203</f>
        <v>16.336691225643538</v>
      </c>
      <c r="F203" s="186">
        <f>'I) Dépenses thématiques'!P203</f>
        <v>-9.6662487062992419E-3</v>
      </c>
      <c r="G203" s="143">
        <f t="shared" si="12"/>
        <v>35.230027001573447</v>
      </c>
      <c r="H203" s="181">
        <f t="shared" si="13"/>
        <v>35.239693250279743</v>
      </c>
      <c r="I203" s="186">
        <f t="shared" si="14"/>
        <v>0</v>
      </c>
      <c r="J203" s="74">
        <f t="shared" si="15"/>
        <v>0</v>
      </c>
      <c r="K203" s="46"/>
    </row>
    <row r="204" spans="1:11" x14ac:dyDescent="0.25">
      <c r="A204" s="61">
        <f>'A) Base RI'!A206</f>
        <v>5727</v>
      </c>
      <c r="B204" s="114" t="str">
        <f>'A) Base RI'!B206</f>
        <v>Saint-Cergue</v>
      </c>
      <c r="C204" s="125">
        <f>'B) D RI'!U206</f>
        <v>92384.571565656559</v>
      </c>
      <c r="D204" s="147">
        <f>'E) Fact soc'!G210/C204</f>
        <v>19.344592046226591</v>
      </c>
      <c r="E204" s="181">
        <f>'H) Péréquation directe'!I215/C204</f>
        <v>9.6744907288731419</v>
      </c>
      <c r="F204" s="186">
        <f>'I) Dépenses thématiques'!P204</f>
        <v>-1.8647929215717607</v>
      </c>
      <c r="G204" s="143">
        <f t="shared" si="12"/>
        <v>27.15428985352797</v>
      </c>
      <c r="H204" s="181">
        <f t="shared" si="13"/>
        <v>29.019082775099733</v>
      </c>
      <c r="I204" s="186">
        <f t="shared" si="14"/>
        <v>0</v>
      </c>
      <c r="J204" s="74">
        <f t="shared" si="15"/>
        <v>0</v>
      </c>
      <c r="K204" s="46"/>
    </row>
    <row r="205" spans="1:11" x14ac:dyDescent="0.25">
      <c r="A205" s="61">
        <f>'A) Base RI'!A207</f>
        <v>5728</v>
      </c>
      <c r="B205" s="114" t="str">
        <f>'A) Base RI'!B207</f>
        <v>Signy-Avenex</v>
      </c>
      <c r="C205" s="125">
        <f>'B) D RI'!U207</f>
        <v>33632.696071428574</v>
      </c>
      <c r="D205" s="147">
        <f>'E) Fact soc'!G211/C205</f>
        <v>23.837772211658166</v>
      </c>
      <c r="E205" s="181">
        <f>'H) Péréquation directe'!I216/C205</f>
        <v>16.183925518481018</v>
      </c>
      <c r="F205" s="186">
        <f>'I) Dépenses thématiques'!P205</f>
        <v>0</v>
      </c>
      <c r="G205" s="143">
        <f t="shared" si="12"/>
        <v>40.021697730139181</v>
      </c>
      <c r="H205" s="181">
        <f t="shared" si="13"/>
        <v>40.021697730139181</v>
      </c>
      <c r="I205" s="186">
        <f t="shared" si="14"/>
        <v>0</v>
      </c>
      <c r="J205" s="74">
        <f t="shared" si="15"/>
        <v>0</v>
      </c>
      <c r="K205" s="46"/>
    </row>
    <row r="206" spans="1:11" x14ac:dyDescent="0.25">
      <c r="A206" s="61">
        <f>'A) Base RI'!A208</f>
        <v>5729</v>
      </c>
      <c r="B206" s="114" t="str">
        <f>'A) Base RI'!B208</f>
        <v>Tannay</v>
      </c>
      <c r="C206" s="125">
        <f>'B) D RI'!U208</f>
        <v>138438.0717486339</v>
      </c>
      <c r="D206" s="147">
        <f>'E) Fact soc'!G212/C206</f>
        <v>27.152744316535774</v>
      </c>
      <c r="E206" s="181">
        <f>'H) Péréquation directe'!I217/C206</f>
        <v>14.476028498633749</v>
      </c>
      <c r="F206" s="186">
        <f>'I) Dépenses thématiques'!P206</f>
        <v>0</v>
      </c>
      <c r="G206" s="143">
        <f t="shared" si="12"/>
        <v>41.628772815169526</v>
      </c>
      <c r="H206" s="181">
        <f t="shared" si="13"/>
        <v>41.628772815169526</v>
      </c>
      <c r="I206" s="186">
        <f t="shared" si="14"/>
        <v>0</v>
      </c>
      <c r="J206" s="74">
        <f t="shared" si="15"/>
        <v>0</v>
      </c>
      <c r="K206" s="46"/>
    </row>
    <row r="207" spans="1:11" x14ac:dyDescent="0.25">
      <c r="A207" s="61">
        <f>'A) Base RI'!A209</f>
        <v>5730</v>
      </c>
      <c r="B207" s="114" t="str">
        <f>'A) Base RI'!B209</f>
        <v>Trélex</v>
      </c>
      <c r="C207" s="125">
        <f>'B) D RI'!U209</f>
        <v>149022.17830188677</v>
      </c>
      <c r="D207" s="147">
        <f>'E) Fact soc'!G213/C207</f>
        <v>26.428046363715747</v>
      </c>
      <c r="E207" s="181">
        <f>'H) Péréquation directe'!I218/C207</f>
        <v>14.25750664287281</v>
      </c>
      <c r="F207" s="186">
        <f>'I) Dépenses thématiques'!P207</f>
        <v>0</v>
      </c>
      <c r="G207" s="143">
        <f t="shared" si="12"/>
        <v>40.685553006588556</v>
      </c>
      <c r="H207" s="181">
        <f t="shared" si="13"/>
        <v>40.685553006588556</v>
      </c>
      <c r="I207" s="186">
        <f t="shared" si="14"/>
        <v>0</v>
      </c>
      <c r="J207" s="74">
        <f t="shared" si="15"/>
        <v>0</v>
      </c>
      <c r="K207" s="46"/>
    </row>
    <row r="208" spans="1:11" x14ac:dyDescent="0.25">
      <c r="A208" s="61">
        <f>'A) Base RI'!A210</f>
        <v>5731</v>
      </c>
      <c r="B208" s="114" t="str">
        <f>'A) Base RI'!B210</f>
        <v>Le Vaud</v>
      </c>
      <c r="C208" s="125">
        <f>'B) D RI'!U210</f>
        <v>46449.882799999999</v>
      </c>
      <c r="D208" s="147">
        <f>'E) Fact soc'!G214/C208</f>
        <v>18.779903573283462</v>
      </c>
      <c r="E208" s="181">
        <f>'H) Péréquation directe'!I219/C208</f>
        <v>10.620103678937868</v>
      </c>
      <c r="F208" s="186">
        <f>'I) Dépenses thématiques'!P208</f>
        <v>-3.4953371525528114</v>
      </c>
      <c r="G208" s="143">
        <f t="shared" si="12"/>
        <v>25.904670099668518</v>
      </c>
      <c r="H208" s="181">
        <f t="shared" si="13"/>
        <v>29.400007252221329</v>
      </c>
      <c r="I208" s="186">
        <f t="shared" si="14"/>
        <v>0</v>
      </c>
      <c r="J208" s="74">
        <f t="shared" si="15"/>
        <v>0</v>
      </c>
      <c r="K208" s="46"/>
    </row>
    <row r="209" spans="1:11" x14ac:dyDescent="0.25">
      <c r="A209" s="61">
        <f>'A) Base RI'!A211</f>
        <v>5732</v>
      </c>
      <c r="B209" s="114" t="str">
        <f>'A) Base RI'!B211</f>
        <v>Vich</v>
      </c>
      <c r="C209" s="125">
        <f>'B) D RI'!U211</f>
        <v>57292.894852941186</v>
      </c>
      <c r="D209" s="147">
        <f>'E) Fact soc'!G215/C209</f>
        <v>25.254208496219569</v>
      </c>
      <c r="E209" s="181">
        <f>'H) Péréquation directe'!I220/C209</f>
        <v>16.365440374263269</v>
      </c>
      <c r="F209" s="186">
        <f>'I) Dépenses thématiques'!P209</f>
        <v>0</v>
      </c>
      <c r="G209" s="143">
        <f t="shared" si="12"/>
        <v>41.619648870482834</v>
      </c>
      <c r="H209" s="181">
        <f t="shared" si="13"/>
        <v>41.619648870482834</v>
      </c>
      <c r="I209" s="186">
        <f t="shared" si="14"/>
        <v>0</v>
      </c>
      <c r="J209" s="74">
        <f t="shared" si="15"/>
        <v>0</v>
      </c>
      <c r="K209" s="46"/>
    </row>
    <row r="210" spans="1:11" x14ac:dyDescent="0.25">
      <c r="A210" s="61">
        <f>'A) Base RI'!A212</f>
        <v>5741</v>
      </c>
      <c r="B210" s="114" t="str">
        <f>'A) Base RI'!B212</f>
        <v>L'Abergement</v>
      </c>
      <c r="C210" s="125">
        <f>'B) D RI'!U212</f>
        <v>6994.8889917695487</v>
      </c>
      <c r="D210" s="147">
        <f>'E) Fact soc'!G216/C210</f>
        <v>17.836484324678942</v>
      </c>
      <c r="E210" s="181">
        <f>'H) Péréquation directe'!I221/C210</f>
        <v>2.5694677286405482E-2</v>
      </c>
      <c r="F210" s="186">
        <f>'I) Dépenses thématiques'!P210</f>
        <v>-11.932550746538748</v>
      </c>
      <c r="G210" s="143">
        <f t="shared" si="12"/>
        <v>5.9296282554266</v>
      </c>
      <c r="H210" s="181">
        <f t="shared" si="13"/>
        <v>17.862179001965348</v>
      </c>
      <c r="I210" s="186">
        <f t="shared" si="14"/>
        <v>0</v>
      </c>
      <c r="J210" s="74">
        <f t="shared" si="15"/>
        <v>0</v>
      </c>
      <c r="K210" s="46"/>
    </row>
    <row r="211" spans="1:11" x14ac:dyDescent="0.25">
      <c r="A211" s="61">
        <f>'A) Base RI'!A213</f>
        <v>5742</v>
      </c>
      <c r="B211" s="114" t="str">
        <f>'A) Base RI'!B213</f>
        <v>Agiez</v>
      </c>
      <c r="C211" s="125">
        <f>'B) D RI'!U213</f>
        <v>9274.0430263157905</v>
      </c>
      <c r="D211" s="147">
        <f>'E) Fact soc'!G217/C211</f>
        <v>15.944287080902557</v>
      </c>
      <c r="E211" s="181">
        <f>'H) Péréquation directe'!I222/C211</f>
        <v>4.63523269459471</v>
      </c>
      <c r="F211" s="186">
        <f>'I) Dépenses thématiques'!P211</f>
        <v>-3.1029956346126339</v>
      </c>
      <c r="G211" s="143">
        <f t="shared" si="12"/>
        <v>17.476524140884635</v>
      </c>
      <c r="H211" s="181">
        <f t="shared" si="13"/>
        <v>20.579519775497268</v>
      </c>
      <c r="I211" s="186">
        <f t="shared" si="14"/>
        <v>0</v>
      </c>
      <c r="J211" s="74">
        <f t="shared" si="15"/>
        <v>0</v>
      </c>
      <c r="K211" s="46"/>
    </row>
    <row r="212" spans="1:11" x14ac:dyDescent="0.25">
      <c r="A212" s="61">
        <f>'A) Base RI'!A214</f>
        <v>5743</v>
      </c>
      <c r="B212" s="114" t="str">
        <f>'A) Base RI'!B214</f>
        <v>Arnex-sur-Orbe</v>
      </c>
      <c r="C212" s="125">
        <f>'B) D RI'!U214</f>
        <v>17348.834349315071</v>
      </c>
      <c r="D212" s="147">
        <f>'E) Fact soc'!G218/C212</f>
        <v>17.948889055802386</v>
      </c>
      <c r="E212" s="181">
        <f>'H) Péréquation directe'!I223/C212</f>
        <v>2.5522733906203712</v>
      </c>
      <c r="F212" s="186">
        <f>'I) Dépenses thématiques'!P212</f>
        <v>-3.0573928842995852</v>
      </c>
      <c r="G212" s="143">
        <f t="shared" si="12"/>
        <v>17.443769562123173</v>
      </c>
      <c r="H212" s="181">
        <f t="shared" si="13"/>
        <v>20.501162446422757</v>
      </c>
      <c r="I212" s="186">
        <f t="shared" si="14"/>
        <v>0</v>
      </c>
      <c r="J212" s="74">
        <f t="shared" si="15"/>
        <v>0</v>
      </c>
      <c r="K212" s="46"/>
    </row>
    <row r="213" spans="1:11" x14ac:dyDescent="0.25">
      <c r="A213" s="61">
        <f>'A) Base RI'!A215</f>
        <v>5744</v>
      </c>
      <c r="B213" s="114" t="str">
        <f>'A) Base RI'!B215</f>
        <v>Ballaigues</v>
      </c>
      <c r="C213" s="125">
        <f>'B) D RI'!U215</f>
        <v>53212.458333333336</v>
      </c>
      <c r="D213" s="147">
        <f>'E) Fact soc'!G219/C213</f>
        <v>20.65258917073934</v>
      </c>
      <c r="E213" s="181">
        <f>'H) Péréquation directe'!I224/C213</f>
        <v>16.278280334298483</v>
      </c>
      <c r="F213" s="186">
        <f>'I) Dépenses thématiques'!P213</f>
        <v>-7.7594210972228312</v>
      </c>
      <c r="G213" s="143">
        <f t="shared" si="12"/>
        <v>29.171448407814989</v>
      </c>
      <c r="H213" s="181">
        <f t="shared" si="13"/>
        <v>36.930869505037819</v>
      </c>
      <c r="I213" s="186">
        <f t="shared" si="14"/>
        <v>0</v>
      </c>
      <c r="J213" s="74">
        <f t="shared" si="15"/>
        <v>0</v>
      </c>
      <c r="K213" s="46"/>
    </row>
    <row r="214" spans="1:11" x14ac:dyDescent="0.25">
      <c r="A214" s="61">
        <f>'A) Base RI'!A216</f>
        <v>5745</v>
      </c>
      <c r="B214" s="114" t="str">
        <f>'A) Base RI'!B216</f>
        <v>Baulmes</v>
      </c>
      <c r="C214" s="125">
        <f>'B) D RI'!U216</f>
        <v>27522.151666666668</v>
      </c>
      <c r="D214" s="147">
        <f>'E) Fact soc'!G220/C214</f>
        <v>18.893448839323366</v>
      </c>
      <c r="E214" s="181">
        <f>'H) Péréquation directe'!I225/C214</f>
        <v>-1.3202433086369261</v>
      </c>
      <c r="F214" s="186">
        <f>'I) Dépenses thématiques'!P214</f>
        <v>-11.12630660655573</v>
      </c>
      <c r="G214" s="143">
        <f t="shared" si="12"/>
        <v>6.4468989241307106</v>
      </c>
      <c r="H214" s="181">
        <f t="shared" si="13"/>
        <v>17.57320553068644</v>
      </c>
      <c r="I214" s="186">
        <f t="shared" si="14"/>
        <v>0</v>
      </c>
      <c r="J214" s="74">
        <f t="shared" si="15"/>
        <v>0</v>
      </c>
      <c r="K214" s="46"/>
    </row>
    <row r="215" spans="1:11" x14ac:dyDescent="0.25">
      <c r="A215" s="61">
        <f>'A) Base RI'!A217</f>
        <v>5746</v>
      </c>
      <c r="B215" s="114" t="str">
        <f>'A) Base RI'!B217</f>
        <v>Bavois</v>
      </c>
      <c r="C215" s="125">
        <f>'B) D RI'!U217</f>
        <v>23930.083584474884</v>
      </c>
      <c r="D215" s="147">
        <f>'E) Fact soc'!G221/C215</f>
        <v>18.361869629499949</v>
      </c>
      <c r="E215" s="181">
        <f>'H) Péréquation directe'!I226/C215</f>
        <v>-0.76868649274122314</v>
      </c>
      <c r="F215" s="186">
        <f>'I) Dépenses thématiques'!P215</f>
        <v>-7.5314095489488064</v>
      </c>
      <c r="G215" s="143">
        <f t="shared" si="12"/>
        <v>10.061773587809919</v>
      </c>
      <c r="H215" s="181">
        <f t="shared" si="13"/>
        <v>17.593183136758725</v>
      </c>
      <c r="I215" s="186">
        <f t="shared" si="14"/>
        <v>0</v>
      </c>
      <c r="J215" s="74">
        <f t="shared" si="15"/>
        <v>0</v>
      </c>
      <c r="K215" s="46"/>
    </row>
    <row r="216" spans="1:11" x14ac:dyDescent="0.25">
      <c r="A216" s="61">
        <f>'A) Base RI'!A218</f>
        <v>5747</v>
      </c>
      <c r="B216" s="114" t="str">
        <f>'A) Base RI'!B218</f>
        <v>Bofflens</v>
      </c>
      <c r="C216" s="125">
        <f>'B) D RI'!U218</f>
        <v>5183.441884057971</v>
      </c>
      <c r="D216" s="147">
        <f>'E) Fact soc'!G222/C216</f>
        <v>16.848787536840593</v>
      </c>
      <c r="E216" s="181">
        <f>'H) Péréquation directe'!I227/C216</f>
        <v>3.8337722562658989</v>
      </c>
      <c r="F216" s="186">
        <f>'I) Dépenses thématiques'!P216</f>
        <v>-1.5760501591320542</v>
      </c>
      <c r="G216" s="143">
        <f t="shared" si="12"/>
        <v>19.106509633974436</v>
      </c>
      <c r="H216" s="181">
        <f t="shared" si="13"/>
        <v>20.682559793106492</v>
      </c>
      <c r="I216" s="186">
        <f t="shared" si="14"/>
        <v>0</v>
      </c>
      <c r="J216" s="74">
        <f t="shared" si="15"/>
        <v>0</v>
      </c>
      <c r="K216" s="46"/>
    </row>
    <row r="217" spans="1:11" x14ac:dyDescent="0.25">
      <c r="A217" s="61">
        <f>'A) Base RI'!A219</f>
        <v>5748</v>
      </c>
      <c r="B217" s="114" t="str">
        <f>'A) Base RI'!B219</f>
        <v>Bretonnières</v>
      </c>
      <c r="C217" s="125">
        <f>'B) D RI'!U219</f>
        <v>6140.8540277777784</v>
      </c>
      <c r="D217" s="147">
        <f>'E) Fact soc'!G223/C217</f>
        <v>19.766772924183154</v>
      </c>
      <c r="E217" s="181">
        <f>'H) Péréquation directe'!I228/C217</f>
        <v>-2.1592368205631152</v>
      </c>
      <c r="F217" s="186">
        <f>'I) Dépenses thématiques'!P217</f>
        <v>-7.6195384375051338</v>
      </c>
      <c r="G217" s="143">
        <f t="shared" si="12"/>
        <v>9.9879976661149037</v>
      </c>
      <c r="H217" s="181">
        <f t="shared" si="13"/>
        <v>17.607536103620038</v>
      </c>
      <c r="I217" s="186">
        <f t="shared" si="14"/>
        <v>0</v>
      </c>
      <c r="J217" s="74">
        <f t="shared" si="15"/>
        <v>0</v>
      </c>
      <c r="K217" s="46"/>
    </row>
    <row r="218" spans="1:11" x14ac:dyDescent="0.25">
      <c r="A218" s="61">
        <f>'A) Base RI'!A220</f>
        <v>5749</v>
      </c>
      <c r="B218" s="114" t="str">
        <f>'A) Base RI'!B220</f>
        <v>Chavornay</v>
      </c>
      <c r="C218" s="125">
        <f>'B) D RI'!U220</f>
        <v>124346.92667771333</v>
      </c>
      <c r="D218" s="147">
        <f>'E) Fact soc'!G224/C218</f>
        <v>18.19386136234953</v>
      </c>
      <c r="E218" s="181">
        <f>'H) Péréquation directe'!I229/C218</f>
        <v>-8.1308259682908037</v>
      </c>
      <c r="F218" s="186">
        <f>'I) Dépenses thématiques'!P218</f>
        <v>-3.8975311461818056</v>
      </c>
      <c r="G218" s="143">
        <f t="shared" ref="G218" si="20">SUM(D218:F218)</f>
        <v>6.1655042478769211</v>
      </c>
      <c r="H218" s="181">
        <f t="shared" ref="H218" si="21">G218-F218</f>
        <v>10.063035394058726</v>
      </c>
      <c r="I218" s="186">
        <f t="shared" ref="I218" si="22">IF(H218&lt;I$4,H218-I$4,0)</f>
        <v>0</v>
      </c>
      <c r="J218" s="74">
        <f t="shared" ref="J218" si="23">-I218*C218</f>
        <v>0</v>
      </c>
      <c r="K218" s="46"/>
    </row>
    <row r="219" spans="1:11" x14ac:dyDescent="0.25">
      <c r="A219" s="61">
        <f>'A) Base RI'!A221</f>
        <v>5750</v>
      </c>
      <c r="B219" s="114" t="str">
        <f>'A) Base RI'!B221</f>
        <v>Les Clées</v>
      </c>
      <c r="C219" s="125">
        <f>'B) D RI'!U221</f>
        <v>4366.1146666666664</v>
      </c>
      <c r="D219" s="147">
        <f>'E) Fact soc'!G225/C219</f>
        <v>16.853584714228464</v>
      </c>
      <c r="E219" s="181">
        <f>'H) Péréquation directe'!I230/C219</f>
        <v>-7.9829703669905934</v>
      </c>
      <c r="F219" s="186">
        <f>'I) Dépenses thématiques'!P219</f>
        <v>-6.8615045548931288</v>
      </c>
      <c r="G219" s="143">
        <f t="shared" si="12"/>
        <v>2.0091097923447432</v>
      </c>
      <c r="H219" s="181">
        <f t="shared" si="13"/>
        <v>8.870614347237872</v>
      </c>
      <c r="I219" s="186">
        <f t="shared" si="14"/>
        <v>0</v>
      </c>
      <c r="J219" s="74">
        <f t="shared" si="15"/>
        <v>0</v>
      </c>
      <c r="K219" s="46"/>
    </row>
    <row r="220" spans="1:11" x14ac:dyDescent="0.25">
      <c r="A220" s="61">
        <f>'A) Base RI'!A222</f>
        <v>5752</v>
      </c>
      <c r="B220" s="114" t="str">
        <f>'A) Base RI'!B222</f>
        <v>Croy</v>
      </c>
      <c r="C220" s="125">
        <f>'B) D RI'!U222</f>
        <v>12886.326312741312</v>
      </c>
      <c r="D220" s="147">
        <f>'E) Fact soc'!G226/C220</f>
        <v>18.874352022202281</v>
      </c>
      <c r="E220" s="181">
        <f>'H) Péréquation directe'!I231/C220</f>
        <v>12.830001448460351</v>
      </c>
      <c r="F220" s="186">
        <f>'I) Dépenses thématiques'!P220</f>
        <v>-23.257166259458067</v>
      </c>
      <c r="G220" s="143">
        <f t="shared" si="12"/>
        <v>8.4471872112045645</v>
      </c>
      <c r="H220" s="181">
        <f t="shared" si="13"/>
        <v>31.704353470662632</v>
      </c>
      <c r="I220" s="186">
        <f t="shared" si="14"/>
        <v>0</v>
      </c>
      <c r="J220" s="74">
        <f t="shared" ref="J220:J264" si="24">-I220*C220</f>
        <v>0</v>
      </c>
      <c r="K220" s="46"/>
    </row>
    <row r="221" spans="1:11" x14ac:dyDescent="0.25">
      <c r="A221" s="61">
        <f>'A) Base RI'!A223</f>
        <v>5754</v>
      </c>
      <c r="B221" s="114" t="str">
        <f>'A) Base RI'!B223</f>
        <v>Juriens</v>
      </c>
      <c r="C221" s="125">
        <f>'B) D RI'!U223</f>
        <v>6475.8115189873415</v>
      </c>
      <c r="D221" s="147">
        <f>'E) Fact soc'!G227/C221</f>
        <v>18.436927565852013</v>
      </c>
      <c r="E221" s="181">
        <f>'H) Péréquation directe'!I232/C221</f>
        <v>-12.241456830291472</v>
      </c>
      <c r="F221" s="186">
        <f>'I) Dépenses thématiques'!P221</f>
        <v>-5.1614751431366734</v>
      </c>
      <c r="G221" s="143">
        <f t="shared" ref="G221:G265" si="25">SUM(D221:F221)</f>
        <v>1.0339955924238673</v>
      </c>
      <c r="H221" s="181">
        <f t="shared" ref="H221:H265" si="26">G221-F221</f>
        <v>6.1954707355605407</v>
      </c>
      <c r="I221" s="186">
        <f t="shared" ref="I221:I265" si="27">IF(H221&lt;I$4,H221-I$4,0)</f>
        <v>0</v>
      </c>
      <c r="J221" s="74">
        <f t="shared" si="24"/>
        <v>0</v>
      </c>
      <c r="K221" s="46"/>
    </row>
    <row r="222" spans="1:11" x14ac:dyDescent="0.25">
      <c r="A222" s="61">
        <f>'A) Base RI'!A224</f>
        <v>5755</v>
      </c>
      <c r="B222" s="114" t="str">
        <f>'A) Base RI'!B224</f>
        <v>Lignerolle</v>
      </c>
      <c r="C222" s="125">
        <f>'B) D RI'!U224</f>
        <v>8871.4906525573169</v>
      </c>
      <c r="D222" s="147">
        <f>'E) Fact soc'!G228/C222</f>
        <v>20.232131362095746</v>
      </c>
      <c r="E222" s="181">
        <f>'H) Péréquation directe'!I233/C222</f>
        <v>-10.808011542488343</v>
      </c>
      <c r="F222" s="186">
        <f>'I) Dépenses thématiques'!P222</f>
        <v>-32.806464057817877</v>
      </c>
      <c r="G222" s="143">
        <f t="shared" si="25"/>
        <v>-23.382344238210472</v>
      </c>
      <c r="H222" s="181">
        <f t="shared" si="26"/>
        <v>9.4241198196074052</v>
      </c>
      <c r="I222" s="186">
        <f t="shared" si="27"/>
        <v>0</v>
      </c>
      <c r="J222" s="74">
        <f t="shared" si="24"/>
        <v>0</v>
      </c>
      <c r="K222" s="46"/>
    </row>
    <row r="223" spans="1:11" x14ac:dyDescent="0.25">
      <c r="A223" s="61">
        <f>'A) Base RI'!A225</f>
        <v>5756</v>
      </c>
      <c r="B223" s="114" t="str">
        <f>'A) Base RI'!B225</f>
        <v>Montcherand</v>
      </c>
      <c r="C223" s="125">
        <f>'B) D RI'!U225</f>
        <v>14808.245169082125</v>
      </c>
      <c r="D223" s="147">
        <f>'E) Fact soc'!G229/C223</f>
        <v>17.797164194861349</v>
      </c>
      <c r="E223" s="181">
        <f>'H) Péréquation directe'!I234/C223</f>
        <v>7.6315153060473415</v>
      </c>
      <c r="F223" s="186">
        <f>'I) Dépenses thématiques'!P223</f>
        <v>-3.9982824562456294</v>
      </c>
      <c r="G223" s="143">
        <f t="shared" si="25"/>
        <v>21.43039704466306</v>
      </c>
      <c r="H223" s="181">
        <f t="shared" si="26"/>
        <v>25.428679500908689</v>
      </c>
      <c r="I223" s="186">
        <f t="shared" si="27"/>
        <v>0</v>
      </c>
      <c r="J223" s="74">
        <f t="shared" si="24"/>
        <v>0</v>
      </c>
      <c r="K223" s="46"/>
    </row>
    <row r="224" spans="1:11" x14ac:dyDescent="0.25">
      <c r="A224" s="61">
        <f>'A) Base RI'!A226</f>
        <v>5757</v>
      </c>
      <c r="B224" s="114" t="str">
        <f>'A) Base RI'!B226</f>
        <v>Orbe</v>
      </c>
      <c r="C224" s="125">
        <f>'B) D RI'!U226</f>
        <v>210430.38166666671</v>
      </c>
      <c r="D224" s="147">
        <f>'E) Fact soc'!G230/C224</f>
        <v>21.386174444215627</v>
      </c>
      <c r="E224" s="181">
        <f>'H) Péréquation directe'!I235/C224</f>
        <v>-3.4822445289245492</v>
      </c>
      <c r="F224" s="186">
        <f>'I) Dépenses thématiques'!P224</f>
        <v>-8.1830283579331731</v>
      </c>
      <c r="G224" s="143">
        <f t="shared" si="25"/>
        <v>9.7209015573579034</v>
      </c>
      <c r="H224" s="181">
        <f t="shared" si="26"/>
        <v>17.903929915291076</v>
      </c>
      <c r="I224" s="186">
        <f t="shared" si="27"/>
        <v>0</v>
      </c>
      <c r="J224" s="74">
        <f t="shared" si="24"/>
        <v>0</v>
      </c>
      <c r="K224" s="46"/>
    </row>
    <row r="225" spans="1:11" x14ac:dyDescent="0.25">
      <c r="A225" s="61">
        <f>'A) Base RI'!A227</f>
        <v>5758</v>
      </c>
      <c r="B225" s="114" t="str">
        <f>'A) Base RI'!B227</f>
        <v>La Praz</v>
      </c>
      <c r="C225" s="125">
        <f>'B) D RI'!U227</f>
        <v>3864.2083668005353</v>
      </c>
      <c r="D225" s="147">
        <f>'E) Fact soc'!G231/C225</f>
        <v>17.161455965181577</v>
      </c>
      <c r="E225" s="181">
        <f>'H) Péréquation directe'!I236/C225</f>
        <v>-8.1290232043444188</v>
      </c>
      <c r="F225" s="186">
        <f>'I) Dépenses thématiques'!P225</f>
        <v>-8.7008999440173156</v>
      </c>
      <c r="G225" s="143">
        <f t="shared" si="25"/>
        <v>0.33153281681984303</v>
      </c>
      <c r="H225" s="181">
        <f t="shared" si="26"/>
        <v>9.0324327608371586</v>
      </c>
      <c r="I225" s="186">
        <f t="shared" si="27"/>
        <v>0</v>
      </c>
      <c r="J225" s="74">
        <f t="shared" si="24"/>
        <v>0</v>
      </c>
      <c r="K225" s="46"/>
    </row>
    <row r="226" spans="1:11" x14ac:dyDescent="0.25">
      <c r="A226" s="61">
        <f>'A) Base RI'!A228</f>
        <v>5759</v>
      </c>
      <c r="B226" s="114" t="str">
        <f>'A) Base RI'!B228</f>
        <v>Premier</v>
      </c>
      <c r="C226" s="125">
        <f>'B) D RI'!U228</f>
        <v>4558.7250617283944</v>
      </c>
      <c r="D226" s="147">
        <f>'E) Fact soc'!G232/C226</f>
        <v>17.814744386451633</v>
      </c>
      <c r="E226" s="181">
        <f>'H) Péréquation directe'!I237/C226</f>
        <v>-6.0225337700560093</v>
      </c>
      <c r="F226" s="186">
        <f>'I) Dépenses thématiques'!P226</f>
        <v>-9.5817417327115511</v>
      </c>
      <c r="G226" s="143">
        <f t="shared" si="25"/>
        <v>2.2104688836840722</v>
      </c>
      <c r="H226" s="181">
        <f t="shared" si="26"/>
        <v>11.792210616395623</v>
      </c>
      <c r="I226" s="186">
        <f t="shared" si="27"/>
        <v>0</v>
      </c>
      <c r="J226" s="74">
        <f t="shared" si="24"/>
        <v>0</v>
      </c>
      <c r="K226" s="46"/>
    </row>
    <row r="227" spans="1:11" x14ac:dyDescent="0.25">
      <c r="A227" s="61">
        <f>'A) Base RI'!A229</f>
        <v>5760</v>
      </c>
      <c r="B227" s="114" t="str">
        <f>'A) Base RI'!B229</f>
        <v>Rances</v>
      </c>
      <c r="C227" s="125">
        <f>'B) D RI'!U229</f>
        <v>11470.274871794873</v>
      </c>
      <c r="D227" s="147">
        <f>'E) Fact soc'!G233/C227</f>
        <v>17.723356731875594</v>
      </c>
      <c r="E227" s="181">
        <f>'H) Péréquation directe'!I238/C227</f>
        <v>-3.9683191592098268</v>
      </c>
      <c r="F227" s="186">
        <f>'I) Dépenses thématiques'!P227</f>
        <v>-14.04189709561933</v>
      </c>
      <c r="G227" s="143">
        <f t="shared" si="25"/>
        <v>-0.28685952295356287</v>
      </c>
      <c r="H227" s="181">
        <f t="shared" si="26"/>
        <v>13.755037572665767</v>
      </c>
      <c r="I227" s="186">
        <f t="shared" si="27"/>
        <v>0</v>
      </c>
      <c r="J227" s="74">
        <f t="shared" si="24"/>
        <v>0</v>
      </c>
      <c r="K227" s="46"/>
    </row>
    <row r="228" spans="1:11" x14ac:dyDescent="0.25">
      <c r="A228" s="61">
        <f>'A) Base RI'!A230</f>
        <v>5761</v>
      </c>
      <c r="B228" s="114" t="str">
        <f>'A) Base RI'!B230</f>
        <v>Romainmôtier-Envy</v>
      </c>
      <c r="C228" s="125">
        <f>'B) D RI'!U230</f>
        <v>11347.35572368421</v>
      </c>
      <c r="D228" s="147">
        <f>'E) Fact soc'!G234/C228</f>
        <v>19.29032408157391</v>
      </c>
      <c r="E228" s="181">
        <f>'H) Péréquation directe'!I239/C228</f>
        <v>-9.8784214329779783</v>
      </c>
      <c r="F228" s="186">
        <f>'I) Dépenses thématiques'!P228</f>
        <v>-6.3452580279464446</v>
      </c>
      <c r="G228" s="143">
        <f t="shared" si="25"/>
        <v>3.0666446206494875</v>
      </c>
      <c r="H228" s="181">
        <f t="shared" si="26"/>
        <v>9.4119026485959321</v>
      </c>
      <c r="I228" s="186">
        <f t="shared" si="27"/>
        <v>0</v>
      </c>
      <c r="J228" s="74">
        <f t="shared" si="24"/>
        <v>0</v>
      </c>
      <c r="K228" s="46"/>
    </row>
    <row r="229" spans="1:11" x14ac:dyDescent="0.25">
      <c r="A229" s="61">
        <f>'A) Base RI'!A231</f>
        <v>5762</v>
      </c>
      <c r="B229" s="114" t="str">
        <f>'A) Base RI'!B231</f>
        <v>Sergey</v>
      </c>
      <c r="C229" s="125">
        <f>'B) D RI'!U231</f>
        <v>3104.8092592592593</v>
      </c>
      <c r="D229" s="147">
        <f>'E) Fact soc'!G235/C229</f>
        <v>15.92547493021508</v>
      </c>
      <c r="E229" s="181">
        <f>'H) Péréquation directe'!I240/C229</f>
        <v>-13.26637855039894</v>
      </c>
      <c r="F229" s="186">
        <f>'I) Dépenses thématiques'!P229</f>
        <v>-2.3500134764948908</v>
      </c>
      <c r="G229" s="143">
        <f t="shared" si="25"/>
        <v>0.30908290332124855</v>
      </c>
      <c r="H229" s="181">
        <f t="shared" si="26"/>
        <v>2.6590963798161393</v>
      </c>
      <c r="I229" s="186">
        <f t="shared" si="27"/>
        <v>0</v>
      </c>
      <c r="J229" s="74">
        <f t="shared" si="24"/>
        <v>0</v>
      </c>
      <c r="K229" s="46"/>
    </row>
    <row r="230" spans="1:11" x14ac:dyDescent="0.25">
      <c r="A230" s="61">
        <f>'A) Base RI'!A232</f>
        <v>5763</v>
      </c>
      <c r="B230" s="114" t="str">
        <f>'A) Base RI'!B232</f>
        <v>Valeyres-sous-Rances</v>
      </c>
      <c r="C230" s="125">
        <f>'B) D RI'!U232</f>
        <v>16129.151764705883</v>
      </c>
      <c r="D230" s="147">
        <f>'E) Fact soc'!G236/C230</f>
        <v>19.081287914872309</v>
      </c>
      <c r="E230" s="181">
        <f>'H) Péréquation directe'!I241/C230</f>
        <v>3.1336609015352908</v>
      </c>
      <c r="F230" s="186">
        <f>'I) Dépenses thématiques'!P230</f>
        <v>-7.2530194541356261</v>
      </c>
      <c r="G230" s="143">
        <f t="shared" si="25"/>
        <v>14.961929362271974</v>
      </c>
      <c r="H230" s="181">
        <f t="shared" si="26"/>
        <v>22.214948816407599</v>
      </c>
      <c r="I230" s="186">
        <f t="shared" si="27"/>
        <v>0</v>
      </c>
      <c r="J230" s="74">
        <f t="shared" si="24"/>
        <v>0</v>
      </c>
      <c r="K230" s="46"/>
    </row>
    <row r="231" spans="1:11" x14ac:dyDescent="0.25">
      <c r="A231" s="61">
        <f>'A) Base RI'!A233</f>
        <v>5764</v>
      </c>
      <c r="B231" s="114" t="str">
        <f>'A) Base RI'!B233</f>
        <v>Vallorbe</v>
      </c>
      <c r="C231" s="125">
        <f>'B) D RI'!U233</f>
        <v>84393.993513513502</v>
      </c>
      <c r="D231" s="147">
        <f>'E) Fact soc'!G237/C231</f>
        <v>26.364720675693622</v>
      </c>
      <c r="E231" s="181">
        <f>'H) Péréquation directe'!I242/C231</f>
        <v>-14.357505280047436</v>
      </c>
      <c r="F231" s="186">
        <f>'I) Dépenses thématiques'!P231</f>
        <v>-18.04355149802349</v>
      </c>
      <c r="G231" s="143">
        <f t="shared" si="25"/>
        <v>-6.0363361023773034</v>
      </c>
      <c r="H231" s="181">
        <f t="shared" si="26"/>
        <v>12.007215395646186</v>
      </c>
      <c r="I231" s="186">
        <f t="shared" si="27"/>
        <v>0</v>
      </c>
      <c r="J231" s="74">
        <f t="shared" si="24"/>
        <v>0</v>
      </c>
      <c r="K231" s="46"/>
    </row>
    <row r="232" spans="1:11" x14ac:dyDescent="0.25">
      <c r="A232" s="61">
        <f>'A) Base RI'!A234</f>
        <v>5765</v>
      </c>
      <c r="B232" s="114" t="str">
        <f>'A) Base RI'!B234</f>
        <v>Vaulion</v>
      </c>
      <c r="C232" s="125">
        <f>'B) D RI'!U234</f>
        <v>9305.5603703703709</v>
      </c>
      <c r="D232" s="147">
        <f>'E) Fact soc'!G238/C232</f>
        <v>21.710311498650078</v>
      </c>
      <c r="E232" s="181">
        <f>'H) Péréquation directe'!I243/C232</f>
        <v>-21.242776225864667</v>
      </c>
      <c r="F232" s="186">
        <f>'I) Dépenses thématiques'!P232</f>
        <v>-18.011827686646853</v>
      </c>
      <c r="G232" s="143">
        <f t="shared" si="25"/>
        <v>-17.544292413861442</v>
      </c>
      <c r="H232" s="181">
        <f t="shared" si="26"/>
        <v>0.46753527278541185</v>
      </c>
      <c r="I232" s="186">
        <f t="shared" si="27"/>
        <v>0</v>
      </c>
      <c r="J232" s="74">
        <f t="shared" si="24"/>
        <v>0</v>
      </c>
      <c r="K232" s="46"/>
    </row>
    <row r="233" spans="1:11" x14ac:dyDescent="0.25">
      <c r="A233" s="61">
        <f>'A) Base RI'!A235</f>
        <v>5766</v>
      </c>
      <c r="B233" s="114" t="str">
        <f>'A) Base RI'!B235</f>
        <v>Vuiteboeuf</v>
      </c>
      <c r="C233" s="125">
        <f>'B) D RI'!U235</f>
        <v>11614.965899814471</v>
      </c>
      <c r="D233" s="147">
        <f>'E) Fact soc'!G239/C233</f>
        <v>18.961357789157031</v>
      </c>
      <c r="E233" s="181">
        <f>'H) Péréquation directe'!I244/C233</f>
        <v>-10.571786146465442</v>
      </c>
      <c r="F233" s="186">
        <f>'I) Dépenses thématiques'!P233</f>
        <v>-7.8340277509499616</v>
      </c>
      <c r="G233" s="143">
        <f t="shared" si="25"/>
        <v>0.55554389174162733</v>
      </c>
      <c r="H233" s="181">
        <f t="shared" si="26"/>
        <v>8.3895716426915889</v>
      </c>
      <c r="I233" s="186">
        <f t="shared" si="27"/>
        <v>0</v>
      </c>
      <c r="J233" s="74">
        <f t="shared" si="24"/>
        <v>0</v>
      </c>
      <c r="K233" s="46"/>
    </row>
    <row r="234" spans="1:11" x14ac:dyDescent="0.25">
      <c r="A234" s="61">
        <f>'A) Base RI'!A236</f>
        <v>5785</v>
      </c>
      <c r="B234" s="114" t="str">
        <f>'A) Base RI'!B236</f>
        <v>Corcelles-le-Jorat</v>
      </c>
      <c r="C234" s="125">
        <f>'B) D RI'!U236</f>
        <v>12293.058354430379</v>
      </c>
      <c r="D234" s="147">
        <f>'E) Fact soc'!G240/C234</f>
        <v>17.179016440151621</v>
      </c>
      <c r="E234" s="181">
        <f>'H) Péréquation directe'!I245/C234</f>
        <v>2.5404563433834291</v>
      </c>
      <c r="F234" s="186">
        <f>'I) Dépenses thématiques'!P234</f>
        <v>-8.4744009268987543</v>
      </c>
      <c r="G234" s="143">
        <f t="shared" si="25"/>
        <v>11.245071856636295</v>
      </c>
      <c r="H234" s="181">
        <f t="shared" si="26"/>
        <v>19.71947278353505</v>
      </c>
      <c r="I234" s="186">
        <f t="shared" si="27"/>
        <v>0</v>
      </c>
      <c r="J234" s="74">
        <f t="shared" si="24"/>
        <v>0</v>
      </c>
      <c r="K234" s="46"/>
    </row>
    <row r="235" spans="1:11" x14ac:dyDescent="0.25">
      <c r="A235" s="61">
        <f>'A) Base RI'!A237</f>
        <v>5788</v>
      </c>
      <c r="B235" s="114" t="str">
        <f>'A) Base RI'!B237</f>
        <v>Essertes</v>
      </c>
      <c r="C235" s="125">
        <f>'B) D RI'!U237</f>
        <v>10412.319857142857</v>
      </c>
      <c r="D235" s="147">
        <f>'E) Fact soc'!G241/C235</f>
        <v>17.610308798433607</v>
      </c>
      <c r="E235" s="181">
        <f>'H) Péréquation directe'!I246/C235</f>
        <v>7.7068846222410832</v>
      </c>
      <c r="F235" s="186">
        <f>'I) Dépenses thématiques'!P235</f>
        <v>-4.0961819176234222</v>
      </c>
      <c r="G235" s="143">
        <f t="shared" si="25"/>
        <v>21.221011503051269</v>
      </c>
      <c r="H235" s="181">
        <f t="shared" si="26"/>
        <v>25.317193420674691</v>
      </c>
      <c r="I235" s="186">
        <f t="shared" si="27"/>
        <v>0</v>
      </c>
      <c r="J235" s="74">
        <f t="shared" si="24"/>
        <v>0</v>
      </c>
      <c r="K235" s="46"/>
    </row>
    <row r="236" spans="1:11" x14ac:dyDescent="0.25">
      <c r="A236" s="61">
        <f>'A) Base RI'!A238</f>
        <v>5790</v>
      </c>
      <c r="B236" s="114" t="str">
        <f>'A) Base RI'!B238</f>
        <v>Maracon</v>
      </c>
      <c r="C236" s="125">
        <f>'B) D RI'!U238</f>
        <v>12107.709078947366</v>
      </c>
      <c r="D236" s="147">
        <f>'E) Fact soc'!G242/C236</f>
        <v>24.41602092865374</v>
      </c>
      <c r="E236" s="181">
        <f>'H) Péréquation directe'!I247/C236</f>
        <v>0.7888698293637022</v>
      </c>
      <c r="F236" s="186">
        <f>'I) Dépenses thématiques'!P236</f>
        <v>-9.1305461301121937</v>
      </c>
      <c r="G236" s="143">
        <f t="shared" si="25"/>
        <v>16.074344627905248</v>
      </c>
      <c r="H236" s="181">
        <f t="shared" si="26"/>
        <v>25.204890758017441</v>
      </c>
      <c r="I236" s="186">
        <f t="shared" si="27"/>
        <v>0</v>
      </c>
      <c r="J236" s="74">
        <f t="shared" si="24"/>
        <v>0</v>
      </c>
      <c r="K236" s="46"/>
    </row>
    <row r="237" spans="1:11" x14ac:dyDescent="0.25">
      <c r="A237" s="61">
        <f>'A) Base RI'!A239</f>
        <v>5792</v>
      </c>
      <c r="B237" s="114" t="str">
        <f>'A) Base RI'!B239</f>
        <v>Montpreveyres</v>
      </c>
      <c r="C237" s="125">
        <f>'B) D RI'!U239</f>
        <v>19088.494155844161</v>
      </c>
      <c r="D237" s="147">
        <f>'E) Fact soc'!G243/C237</f>
        <v>17.046674438420606</v>
      </c>
      <c r="E237" s="181">
        <f>'H) Péréquation directe'!I248/C237</f>
        <v>4.7074651908867118</v>
      </c>
      <c r="F237" s="186">
        <f>'I) Dépenses thématiques'!P237</f>
        <v>-5.7666074769008304</v>
      </c>
      <c r="G237" s="143">
        <f t="shared" si="25"/>
        <v>15.987532152406487</v>
      </c>
      <c r="H237" s="181">
        <f t="shared" si="26"/>
        <v>21.754139629307318</v>
      </c>
      <c r="I237" s="186">
        <f t="shared" si="27"/>
        <v>0</v>
      </c>
      <c r="J237" s="74">
        <f t="shared" si="24"/>
        <v>0</v>
      </c>
      <c r="K237" s="46"/>
    </row>
    <row r="238" spans="1:11" x14ac:dyDescent="0.25">
      <c r="A238" s="61">
        <f>'A) Base RI'!A240</f>
        <v>5798</v>
      </c>
      <c r="B238" s="114" t="str">
        <f>'A) Base RI'!B240</f>
        <v>Ropraz</v>
      </c>
      <c r="C238" s="125">
        <f>'B) D RI'!U240</f>
        <v>9558.3067096774193</v>
      </c>
      <c r="D238" s="147">
        <f>'E) Fact soc'!G244/C238</f>
        <v>20.061594253004063</v>
      </c>
      <c r="E238" s="181">
        <f>'H) Péréquation directe'!I249/C238</f>
        <v>-6.3435449088590286</v>
      </c>
      <c r="F238" s="186">
        <f>'I) Dépenses thématiques'!P238</f>
        <v>-9.1531236965299634</v>
      </c>
      <c r="G238" s="143">
        <f t="shared" si="25"/>
        <v>4.5649256476150715</v>
      </c>
      <c r="H238" s="181">
        <f t="shared" si="26"/>
        <v>13.718049344145035</v>
      </c>
      <c r="I238" s="186">
        <f t="shared" si="27"/>
        <v>0</v>
      </c>
      <c r="J238" s="74">
        <f t="shared" si="24"/>
        <v>0</v>
      </c>
      <c r="K238" s="46"/>
    </row>
    <row r="239" spans="1:11" x14ac:dyDescent="0.25">
      <c r="A239" s="61">
        <f>'A) Base RI'!A241</f>
        <v>5799</v>
      </c>
      <c r="B239" s="114" t="str">
        <f>'A) Base RI'!B241</f>
        <v>Servion</v>
      </c>
      <c r="C239" s="125">
        <f>'B) D RI'!U241</f>
        <v>51366.477681159435</v>
      </c>
      <c r="D239" s="147">
        <f>'E) Fact soc'!G245/C239</f>
        <v>20.273390859148357</v>
      </c>
      <c r="E239" s="181">
        <f>'H) Péréquation directe'!I250/C239</f>
        <v>-1.5386363147848121</v>
      </c>
      <c r="F239" s="186">
        <f>'I) Dépenses thématiques'!P239</f>
        <v>-4.4612941646772644</v>
      </c>
      <c r="G239" s="143">
        <f t="shared" si="25"/>
        <v>14.273460379686279</v>
      </c>
      <c r="H239" s="181">
        <f t="shared" si="26"/>
        <v>18.734754544363543</v>
      </c>
      <c r="I239" s="186">
        <f t="shared" si="27"/>
        <v>0</v>
      </c>
      <c r="J239" s="74">
        <f t="shared" si="24"/>
        <v>0</v>
      </c>
      <c r="K239" s="46"/>
    </row>
    <row r="240" spans="1:11" x14ac:dyDescent="0.25">
      <c r="A240" s="61">
        <f>'A) Base RI'!A242</f>
        <v>5803</v>
      </c>
      <c r="B240" s="114" t="str">
        <f>'A) Base RI'!B242</f>
        <v>Vulliens</v>
      </c>
      <c r="C240" s="125">
        <f>'B) D RI'!U242</f>
        <v>12589.149382716048</v>
      </c>
      <c r="D240" s="147">
        <f>'E) Fact soc'!G246/C240</f>
        <v>22.399174697264382</v>
      </c>
      <c r="E240" s="181">
        <f>'H) Péréquation directe'!I251/C240</f>
        <v>-1.1710332662491827</v>
      </c>
      <c r="F240" s="186">
        <f>'I) Dépenses thématiques'!P240</f>
        <v>-5.7942277385495018</v>
      </c>
      <c r="G240" s="143">
        <f t="shared" si="25"/>
        <v>15.433913692465698</v>
      </c>
      <c r="H240" s="181">
        <f t="shared" si="26"/>
        <v>21.228141431015199</v>
      </c>
      <c r="I240" s="186">
        <f t="shared" si="27"/>
        <v>0</v>
      </c>
      <c r="J240" s="74">
        <f t="shared" si="24"/>
        <v>0</v>
      </c>
      <c r="K240" s="46"/>
    </row>
    <row r="241" spans="1:11" x14ac:dyDescent="0.25">
      <c r="A241" s="61">
        <f>'A) Base RI'!A243</f>
        <v>5804</v>
      </c>
      <c r="B241" s="114" t="str">
        <f>'A) Base RI'!B243</f>
        <v>Jorat-Menthue</v>
      </c>
      <c r="C241" s="125">
        <f>'B) D RI'!U243</f>
        <v>41163.666944444441</v>
      </c>
      <c r="D241" s="147">
        <f>'E) Fact soc'!G247/C241</f>
        <v>18.356884460229647</v>
      </c>
      <c r="E241" s="181">
        <f>'H) Péréquation directe'!I252/C241</f>
        <v>-1.081211717959869</v>
      </c>
      <c r="F241" s="186">
        <f>'I) Dépenses thématiques'!P241</f>
        <v>-10.103490498127991</v>
      </c>
      <c r="G241" s="143">
        <f>SUM(D241:F241)</f>
        <v>7.1721822441417853</v>
      </c>
      <c r="H241" s="181">
        <f>G241-F241</f>
        <v>17.275672742269776</v>
      </c>
      <c r="I241" s="186">
        <f t="shared" si="27"/>
        <v>0</v>
      </c>
      <c r="J241" s="74">
        <f>-I241*C241</f>
        <v>0</v>
      </c>
      <c r="K241" s="46"/>
    </row>
    <row r="242" spans="1:11" x14ac:dyDescent="0.25">
      <c r="A242" s="61">
        <f>'A) Base RI'!A244</f>
        <v>5805</v>
      </c>
      <c r="B242" s="114" t="str">
        <f>'A) Base RI'!B244</f>
        <v>Oron</v>
      </c>
      <c r="C242" s="125">
        <f>'B) D RI'!U244</f>
        <v>146504.50986824767</v>
      </c>
      <c r="D242" s="147">
        <f>'E) Fact soc'!G248/C242</f>
        <v>18.672944077393883</v>
      </c>
      <c r="E242" s="181">
        <f>'H) Péréquation directe'!I253/C242</f>
        <v>-6.0280313090266286</v>
      </c>
      <c r="F242" s="186">
        <f>'I) Dépenses thématiques'!P242</f>
        <v>-6.5663278418526883</v>
      </c>
      <c r="G242" s="143">
        <f>SUM(D242:F242)</f>
        <v>6.0785849265145657</v>
      </c>
      <c r="H242" s="181">
        <f>G242-F242</f>
        <v>12.644912768367254</v>
      </c>
      <c r="I242" s="186">
        <f t="shared" si="27"/>
        <v>0</v>
      </c>
      <c r="J242" s="74">
        <f>-I242*C242</f>
        <v>0</v>
      </c>
      <c r="K242" s="46"/>
    </row>
    <row r="243" spans="1:11" x14ac:dyDescent="0.25">
      <c r="A243" s="61">
        <f>'A) Base RI'!A245</f>
        <v>5806</v>
      </c>
      <c r="B243" s="114" t="str">
        <f>'A) Base RI'!B245</f>
        <v>Jorat-Mézières</v>
      </c>
      <c r="C243" s="125">
        <f>'B) D RI'!U245</f>
        <v>83059.358118759847</v>
      </c>
      <c r="D243" s="147">
        <f>'E) Fact soc'!G249/C243</f>
        <v>18.163816391900827</v>
      </c>
      <c r="E243" s="181">
        <f>'H) Péréquation directe'!I254/C243</f>
        <v>-0.58095602751710906</v>
      </c>
      <c r="F243" s="186">
        <f>'I) Dépenses thématiques'!P243</f>
        <v>-8.2604820551858538</v>
      </c>
      <c r="G243" s="143">
        <f>SUM(D243:F243)</f>
        <v>9.322378309197866</v>
      </c>
      <c r="H243" s="181">
        <f>G243-F243</f>
        <v>17.58286036438372</v>
      </c>
      <c r="I243" s="186">
        <f t="shared" ref="I243" si="28">IF(H243&lt;I$4,H243-I$4,0)</f>
        <v>0</v>
      </c>
      <c r="J243" s="74">
        <f>-I243*C243</f>
        <v>0</v>
      </c>
      <c r="K243" s="46"/>
    </row>
    <row r="244" spans="1:11" x14ac:dyDescent="0.25">
      <c r="A244" s="61">
        <f>'A) Base RI'!A246</f>
        <v>5812</v>
      </c>
      <c r="B244" s="114" t="str">
        <f>'A) Base RI'!B246</f>
        <v>Champtauroz</v>
      </c>
      <c r="C244" s="125">
        <f>'B) D RI'!U246</f>
        <v>2420.1879870129869</v>
      </c>
      <c r="D244" s="147">
        <f>'E) Fact soc'!G250/C244</f>
        <v>22.771133268359431</v>
      </c>
      <c r="E244" s="181">
        <f>'H) Péréquation directe'!I255/C244</f>
        <v>-20.402835865667395</v>
      </c>
      <c r="F244" s="186">
        <f>'I) Dépenses thématiques'!P244</f>
        <v>-14.689301622960487</v>
      </c>
      <c r="G244" s="143">
        <f>SUM(D244:F244)</f>
        <v>-12.321004220268451</v>
      </c>
      <c r="H244" s="181">
        <f>G244-F244</f>
        <v>2.3682974026920363</v>
      </c>
      <c r="I244" s="186">
        <f t="shared" si="27"/>
        <v>0</v>
      </c>
      <c r="J244" s="74">
        <f>-I244*C244</f>
        <v>0</v>
      </c>
      <c r="K244" s="46"/>
    </row>
    <row r="245" spans="1:11" x14ac:dyDescent="0.25">
      <c r="A245" s="61">
        <f>'A) Base RI'!A247</f>
        <v>5813</v>
      </c>
      <c r="B245" s="114" t="str">
        <f>'A) Base RI'!B247</f>
        <v>Chevroux</v>
      </c>
      <c r="C245" s="125">
        <f>'B) D RI'!U247</f>
        <v>11590.298571428571</v>
      </c>
      <c r="D245" s="147">
        <f>'E) Fact soc'!G251/C245</f>
        <v>18.390447903535474</v>
      </c>
      <c r="E245" s="181">
        <f>'H) Péréquation directe'!I256/C245</f>
        <v>2.5265786384949198</v>
      </c>
      <c r="F245" s="186">
        <f>'I) Dépenses thématiques'!P245</f>
        <v>-0.77492682266322821</v>
      </c>
      <c r="G245" s="143">
        <f t="shared" si="25"/>
        <v>20.142099719367163</v>
      </c>
      <c r="H245" s="181">
        <f t="shared" si="26"/>
        <v>20.917026542030392</v>
      </c>
      <c r="I245" s="186">
        <f t="shared" si="27"/>
        <v>0</v>
      </c>
      <c r="J245" s="74">
        <f t="shared" si="24"/>
        <v>0</v>
      </c>
      <c r="K245" s="46"/>
    </row>
    <row r="246" spans="1:11" x14ac:dyDescent="0.25">
      <c r="A246" s="61">
        <f>'A) Base RI'!A248</f>
        <v>5816</v>
      </c>
      <c r="B246" s="114" t="str">
        <f>'A) Base RI'!B248</f>
        <v>Corcelles-près-Payerne</v>
      </c>
      <c r="C246" s="125">
        <f>'B) D RI'!U248</f>
        <v>52953.608154761903</v>
      </c>
      <c r="D246" s="147">
        <f>'E) Fact soc'!G252/C246</f>
        <v>20.067283179928939</v>
      </c>
      <c r="E246" s="181">
        <f>'H) Péréquation directe'!I257/C246</f>
        <v>-8.9682826261559949</v>
      </c>
      <c r="F246" s="186">
        <f>'I) Dépenses thématiques'!P246</f>
        <v>-4.7684951673106655</v>
      </c>
      <c r="G246" s="143">
        <f t="shared" si="25"/>
        <v>6.3305053864622787</v>
      </c>
      <c r="H246" s="181">
        <f t="shared" si="26"/>
        <v>11.099000553772944</v>
      </c>
      <c r="I246" s="186">
        <f t="shared" si="27"/>
        <v>0</v>
      </c>
      <c r="J246" s="74">
        <f t="shared" si="24"/>
        <v>0</v>
      </c>
      <c r="K246" s="46"/>
    </row>
    <row r="247" spans="1:11" x14ac:dyDescent="0.25">
      <c r="A247" s="61">
        <f>'A) Base RI'!A249</f>
        <v>5817</v>
      </c>
      <c r="B247" s="114" t="str">
        <f>'A) Base RI'!B249</f>
        <v>Grandcour</v>
      </c>
      <c r="C247" s="125">
        <f>'B) D RI'!U249</f>
        <v>20895.78968553459</v>
      </c>
      <c r="D247" s="147">
        <f>'E) Fact soc'!G253/C247</f>
        <v>17.442053241011621</v>
      </c>
      <c r="E247" s="181">
        <f>'H) Péréquation directe'!I258/C247</f>
        <v>-5.7300251864077163</v>
      </c>
      <c r="F247" s="186">
        <f>'I) Dépenses thématiques'!P247</f>
        <v>-4.9620936633971029</v>
      </c>
      <c r="G247" s="143">
        <f t="shared" si="25"/>
        <v>6.7499343912068026</v>
      </c>
      <c r="H247" s="181">
        <f t="shared" si="26"/>
        <v>11.712028054603906</v>
      </c>
      <c r="I247" s="186">
        <f t="shared" si="27"/>
        <v>0</v>
      </c>
      <c r="J247" s="74">
        <f t="shared" si="24"/>
        <v>0</v>
      </c>
      <c r="K247" s="46"/>
    </row>
    <row r="248" spans="1:11" x14ac:dyDescent="0.25">
      <c r="A248" s="61">
        <f>'A) Base RI'!A250</f>
        <v>5819</v>
      </c>
      <c r="B248" s="114" t="str">
        <f>'A) Base RI'!B250</f>
        <v>Henniez</v>
      </c>
      <c r="C248" s="125">
        <f>'B) D RI'!U250</f>
        <v>13106.979402985076</v>
      </c>
      <c r="D248" s="147">
        <f>'E) Fact soc'!G254/C248</f>
        <v>17.43745093378519</v>
      </c>
      <c r="E248" s="181">
        <f>'H) Péréquation directe'!I259/C248</f>
        <v>13.52133346660368</v>
      </c>
      <c r="F248" s="186">
        <f>'I) Dépenses thématiques'!P248</f>
        <v>-5.4742265698227879</v>
      </c>
      <c r="G248" s="143">
        <f t="shared" si="25"/>
        <v>25.484557830566082</v>
      </c>
      <c r="H248" s="181">
        <f t="shared" si="26"/>
        <v>30.958784400388872</v>
      </c>
      <c r="I248" s="186">
        <f t="shared" si="27"/>
        <v>0</v>
      </c>
      <c r="J248" s="74">
        <f t="shared" si="24"/>
        <v>0</v>
      </c>
      <c r="K248" s="46"/>
    </row>
    <row r="249" spans="1:11" x14ac:dyDescent="0.25">
      <c r="A249" s="61">
        <f>'A) Base RI'!A251</f>
        <v>5821</v>
      </c>
      <c r="B249" s="114" t="str">
        <f>'A) Base RI'!B251</f>
        <v>Missy</v>
      </c>
      <c r="C249" s="125">
        <f>'B) D RI'!U251</f>
        <v>7313.8070833333331</v>
      </c>
      <c r="D249" s="147">
        <f>'E) Fact soc'!G255/C249</f>
        <v>22.165486276907338</v>
      </c>
      <c r="E249" s="181">
        <f>'H) Péréquation directe'!I260/C249</f>
        <v>-9.031217784256155</v>
      </c>
      <c r="F249" s="186">
        <f>'I) Dépenses thématiques'!P249</f>
        <v>-9.8453794667482537</v>
      </c>
      <c r="G249" s="143">
        <f t="shared" si="25"/>
        <v>3.2888890259029289</v>
      </c>
      <c r="H249" s="181">
        <f t="shared" si="26"/>
        <v>13.134268492651183</v>
      </c>
      <c r="I249" s="186">
        <f t="shared" si="27"/>
        <v>0</v>
      </c>
      <c r="J249" s="74">
        <f t="shared" si="24"/>
        <v>0</v>
      </c>
      <c r="K249" s="46"/>
    </row>
    <row r="250" spans="1:11" x14ac:dyDescent="0.25">
      <c r="A250" s="61">
        <f>'A) Base RI'!A252</f>
        <v>5822</v>
      </c>
      <c r="B250" s="114" t="str">
        <f>'A) Base RI'!B252</f>
        <v>Payerne</v>
      </c>
      <c r="C250" s="125">
        <f>'B) D RI'!U252</f>
        <v>224445.50853333328</v>
      </c>
      <c r="D250" s="147">
        <f>'E) Fact soc'!G256/C250</f>
        <v>18.576043875788631</v>
      </c>
      <c r="E250" s="181">
        <f>'H) Péréquation directe'!I261/C250</f>
        <v>-19.57505645973432</v>
      </c>
      <c r="F250" s="186">
        <f>'I) Dépenses thématiques'!P250</f>
        <v>-5.0931483627927925</v>
      </c>
      <c r="G250" s="143">
        <f t="shared" si="25"/>
        <v>-6.0921609467384812</v>
      </c>
      <c r="H250" s="181">
        <f t="shared" si="26"/>
        <v>-0.9990125839456887</v>
      </c>
      <c r="I250" s="186">
        <f t="shared" si="27"/>
        <v>0</v>
      </c>
      <c r="J250" s="74">
        <f t="shared" si="24"/>
        <v>0</v>
      </c>
      <c r="K250" s="46"/>
    </row>
    <row r="251" spans="1:11" x14ac:dyDescent="0.25">
      <c r="A251" s="61">
        <f>'A) Base RI'!A253</f>
        <v>5827</v>
      </c>
      <c r="B251" s="114" t="str">
        <f>'A) Base RI'!B253</f>
        <v>Trey</v>
      </c>
      <c r="C251" s="125">
        <f>'B) D RI'!U253</f>
        <v>6544.3336250000011</v>
      </c>
      <c r="D251" s="147">
        <f>'E) Fact soc'!G257/C251</f>
        <v>19.498119172940296</v>
      </c>
      <c r="E251" s="181">
        <f>'H) Péréquation directe'!I262/C251</f>
        <v>-3.5432549892912375</v>
      </c>
      <c r="F251" s="186">
        <f>'I) Dépenses thématiques'!P251</f>
        <v>-7.0104900236367618</v>
      </c>
      <c r="G251" s="143">
        <f t="shared" si="25"/>
        <v>8.9443741600122948</v>
      </c>
      <c r="H251" s="181">
        <f t="shared" si="26"/>
        <v>15.954864183649057</v>
      </c>
      <c r="I251" s="186">
        <f t="shared" si="27"/>
        <v>0</v>
      </c>
      <c r="J251" s="74">
        <f t="shared" si="24"/>
        <v>0</v>
      </c>
      <c r="K251" s="46"/>
    </row>
    <row r="252" spans="1:11" x14ac:dyDescent="0.25">
      <c r="A252" s="61">
        <f>'A) Base RI'!A254</f>
        <v>5828</v>
      </c>
      <c r="B252" s="114" t="str">
        <f>'A) Base RI'!B254</f>
        <v>Treytorrens (Payerne)</v>
      </c>
      <c r="C252" s="125">
        <f>'B) D RI'!U254</f>
        <v>2136.5168650793653</v>
      </c>
      <c r="D252" s="147">
        <f>'E) Fact soc'!G258/C252</f>
        <v>19.338675260656732</v>
      </c>
      <c r="E252" s="181">
        <f>'H) Péréquation directe'!I263/C252</f>
        <v>-30.900816134500499</v>
      </c>
      <c r="F252" s="186">
        <f>'I) Dépenses thématiques'!P252</f>
        <v>-25.302752553766272</v>
      </c>
      <c r="G252" s="143">
        <f t="shared" si="25"/>
        <v>-36.864893427610042</v>
      </c>
      <c r="H252" s="181">
        <f t="shared" si="26"/>
        <v>-11.56214087384377</v>
      </c>
      <c r="I252" s="186">
        <f t="shared" si="27"/>
        <v>-5.0621408738437701</v>
      </c>
      <c r="J252" s="74">
        <f t="shared" si="24"/>
        <v>10815.34935037481</v>
      </c>
      <c r="K252" s="46"/>
    </row>
    <row r="253" spans="1:11" x14ac:dyDescent="0.25">
      <c r="A253" s="61">
        <f>'A) Base RI'!A255</f>
        <v>5830</v>
      </c>
      <c r="B253" s="114" t="str">
        <f>'A) Base RI'!B255</f>
        <v>Villarzel</v>
      </c>
      <c r="C253" s="125">
        <f>'B) D RI'!U255</f>
        <v>10236.981518987341</v>
      </c>
      <c r="D253" s="147">
        <f>'E) Fact soc'!G259/C253</f>
        <v>17.06100414576072</v>
      </c>
      <c r="E253" s="181">
        <f>'H) Péréquation directe'!I264/C253</f>
        <v>-4.9677566765924412</v>
      </c>
      <c r="F253" s="186">
        <f>'I) Dépenses thématiques'!P253</f>
        <v>-10.356441280825926</v>
      </c>
      <c r="G253" s="143">
        <f t="shared" si="25"/>
        <v>1.7368061883423529</v>
      </c>
      <c r="H253" s="181">
        <f t="shared" si="26"/>
        <v>12.093247469168279</v>
      </c>
      <c r="I253" s="186">
        <f t="shared" si="27"/>
        <v>0</v>
      </c>
      <c r="J253" s="74">
        <f t="shared" si="24"/>
        <v>0</v>
      </c>
      <c r="K253" s="46"/>
    </row>
    <row r="254" spans="1:11" x14ac:dyDescent="0.25">
      <c r="A254" s="61">
        <f>'A) Base RI'!A256</f>
        <v>5831</v>
      </c>
      <c r="B254" s="114" t="str">
        <f>'A) Base RI'!B256</f>
        <v>Valbroye</v>
      </c>
      <c r="C254" s="125">
        <f>'B) D RI'!U256</f>
        <v>78037.716438356161</v>
      </c>
      <c r="D254" s="147">
        <f>'E) Fact soc'!G260/C254</f>
        <v>16.926766521828284</v>
      </c>
      <c r="E254" s="181">
        <f>'H) Péréquation directe'!I265/C254</f>
        <v>-5.631968605191684</v>
      </c>
      <c r="F254" s="186">
        <f>'I) Dépenses thématiques'!P254</f>
        <v>-7.9337680753509119</v>
      </c>
      <c r="G254" s="143">
        <f>SUM(D254:F254)</f>
        <v>3.3610298412856885</v>
      </c>
      <c r="H254" s="181">
        <f>G254-F254</f>
        <v>11.2947979166366</v>
      </c>
      <c r="I254" s="186">
        <f t="shared" si="27"/>
        <v>0</v>
      </c>
      <c r="J254" s="74">
        <f>-I254*C254</f>
        <v>0</v>
      </c>
      <c r="K254" s="46"/>
    </row>
    <row r="255" spans="1:11" x14ac:dyDescent="0.25">
      <c r="A255" s="61">
        <f>'A) Base RI'!A257</f>
        <v>5841</v>
      </c>
      <c r="B255" s="114" t="str">
        <f>'A) Base RI'!B257</f>
        <v>Château-d'Oex</v>
      </c>
      <c r="C255" s="125">
        <f>'B) D RI'!U257</f>
        <v>107525.73574297188</v>
      </c>
      <c r="D255" s="147">
        <f>'E) Fact soc'!G261/C255</f>
        <v>21.062648935037402</v>
      </c>
      <c r="E255" s="181">
        <f>'H) Péréquation directe'!I266/C255</f>
        <v>-1.5441308734699966</v>
      </c>
      <c r="F255" s="186">
        <f>'I) Dépenses thématiques'!P255</f>
        <v>-16.41839199721716</v>
      </c>
      <c r="G255" s="143">
        <f>SUM(D255:F255)</f>
        <v>3.1001260643502455</v>
      </c>
      <c r="H255" s="181">
        <f>G255-F255</f>
        <v>19.518518061567406</v>
      </c>
      <c r="I255" s="186">
        <f t="shared" si="27"/>
        <v>0</v>
      </c>
      <c r="J255" s="74">
        <f>-I255*C255</f>
        <v>0</v>
      </c>
      <c r="K255" s="46"/>
    </row>
    <row r="256" spans="1:11" x14ac:dyDescent="0.25">
      <c r="A256" s="61">
        <f>'A) Base RI'!A258</f>
        <v>5842</v>
      </c>
      <c r="B256" s="114" t="str">
        <f>'A) Base RI'!B258</f>
        <v>Rossinière</v>
      </c>
      <c r="C256" s="125">
        <f>'B) D RI'!U258</f>
        <v>16554.125349794238</v>
      </c>
      <c r="D256" s="147">
        <f>'E) Fact soc'!G262/C256</f>
        <v>17.520835741800148</v>
      </c>
      <c r="E256" s="181">
        <f>'H) Péréquation directe'!I267/C256</f>
        <v>2.0370266318856314</v>
      </c>
      <c r="F256" s="186">
        <f>'I) Dépenses thématiques'!P256</f>
        <v>-16.471343197647837</v>
      </c>
      <c r="G256" s="143">
        <f t="shared" si="25"/>
        <v>3.0865191760379425</v>
      </c>
      <c r="H256" s="181">
        <f t="shared" si="26"/>
        <v>19.557862373685779</v>
      </c>
      <c r="I256" s="186">
        <f t="shared" si="27"/>
        <v>0</v>
      </c>
      <c r="J256" s="74">
        <f t="shared" si="24"/>
        <v>0</v>
      </c>
      <c r="K256" s="46"/>
    </row>
    <row r="257" spans="1:11" x14ac:dyDescent="0.25">
      <c r="A257" s="61">
        <f>'A) Base RI'!A259</f>
        <v>5843</v>
      </c>
      <c r="B257" s="114" t="str">
        <f>'A) Base RI'!B259</f>
        <v>Rougemont</v>
      </c>
      <c r="C257" s="125">
        <f>'B) D RI'!U259</f>
        <v>92297.453816425128</v>
      </c>
      <c r="D257" s="147">
        <f>'E) Fact soc'!G263/C257</f>
        <v>40.044400647725084</v>
      </c>
      <c r="E257" s="181">
        <f>'H) Péréquation directe'!I268/C257</f>
        <v>14.974894957423214</v>
      </c>
      <c r="F257" s="186">
        <f>'I) Dépenses thématiques'!P257</f>
        <v>-10.613602895335868</v>
      </c>
      <c r="G257" s="143">
        <f t="shared" si="25"/>
        <v>44.405692709812435</v>
      </c>
      <c r="H257" s="181">
        <f t="shared" si="26"/>
        <v>55.019295605148301</v>
      </c>
      <c r="I257" s="186">
        <f t="shared" si="27"/>
        <v>0</v>
      </c>
      <c r="J257" s="74">
        <f t="shared" si="24"/>
        <v>0</v>
      </c>
      <c r="K257" s="46"/>
    </row>
    <row r="258" spans="1:11" x14ac:dyDescent="0.25">
      <c r="A258" s="61">
        <f>'A) Base RI'!A260</f>
        <v>5851</v>
      </c>
      <c r="B258" s="114" t="str">
        <f>'A) Base RI'!B260</f>
        <v>Allaman</v>
      </c>
      <c r="C258" s="125">
        <f>'B) D RI'!U260</f>
        <v>26311.895293255133</v>
      </c>
      <c r="D258" s="147">
        <f>'E) Fact soc'!G264/C258</f>
        <v>9.8619592794248838</v>
      </c>
      <c r="E258" s="181">
        <f>'H) Péréquation directe'!I269/C258</f>
        <v>16.302106562527026</v>
      </c>
      <c r="F258" s="186">
        <f>'I) Dépenses thématiques'!P258</f>
        <v>0</v>
      </c>
      <c r="G258" s="143">
        <f t="shared" si="25"/>
        <v>26.16406584195191</v>
      </c>
      <c r="H258" s="181">
        <f t="shared" si="26"/>
        <v>26.16406584195191</v>
      </c>
      <c r="I258" s="186">
        <f t="shared" si="27"/>
        <v>0</v>
      </c>
      <c r="J258" s="74">
        <f t="shared" si="24"/>
        <v>0</v>
      </c>
      <c r="K258" s="46"/>
    </row>
    <row r="259" spans="1:11" x14ac:dyDescent="0.25">
      <c r="A259" s="61">
        <f>'A) Base RI'!A261</f>
        <v>5852</v>
      </c>
      <c r="B259" s="114" t="str">
        <f>'A) Base RI'!B261</f>
        <v>Bursinel</v>
      </c>
      <c r="C259" s="125">
        <f>'B) D RI'!U261</f>
        <v>31632.546141732284</v>
      </c>
      <c r="D259" s="147">
        <f>'E) Fact soc'!G265/C259</f>
        <v>22.749197004077029</v>
      </c>
      <c r="E259" s="181">
        <f>'H) Péréquation directe'!I270/C259</f>
        <v>16.321892203198221</v>
      </c>
      <c r="F259" s="186">
        <f>'I) Dépenses thématiques'!P259</f>
        <v>-0.56295983975700548</v>
      </c>
      <c r="G259" s="143">
        <f t="shared" si="25"/>
        <v>38.508129367518244</v>
      </c>
      <c r="H259" s="181">
        <f t="shared" si="26"/>
        <v>39.07108920727525</v>
      </c>
      <c r="I259" s="186">
        <f t="shared" si="27"/>
        <v>0</v>
      </c>
      <c r="J259" s="74">
        <f t="shared" si="24"/>
        <v>0</v>
      </c>
      <c r="K259" s="46"/>
    </row>
    <row r="260" spans="1:11" x14ac:dyDescent="0.25">
      <c r="A260" s="61">
        <f>'A) Base RI'!A262</f>
        <v>5853</v>
      </c>
      <c r="B260" s="114" t="str">
        <f>'A) Base RI'!B262</f>
        <v>Bursins</v>
      </c>
      <c r="C260" s="125">
        <f>'B) D RI'!U262</f>
        <v>37118.734366197183</v>
      </c>
      <c r="D260" s="147">
        <f>'E) Fact soc'!G266/C260</f>
        <v>19.557173946517949</v>
      </c>
      <c r="E260" s="181">
        <f>'H) Péréquation directe'!I271/C260</f>
        <v>16.529020126626719</v>
      </c>
      <c r="F260" s="186">
        <f>'I) Dépenses thématiques'!P260</f>
        <v>-4.3726755958818884E-2</v>
      </c>
      <c r="G260" s="143">
        <f t="shared" si="25"/>
        <v>36.042467317185846</v>
      </c>
      <c r="H260" s="181">
        <f t="shared" si="26"/>
        <v>36.086194073144668</v>
      </c>
      <c r="I260" s="186">
        <f t="shared" si="27"/>
        <v>0</v>
      </c>
      <c r="J260" s="74">
        <f t="shared" si="24"/>
        <v>0</v>
      </c>
      <c r="K260" s="46"/>
    </row>
    <row r="261" spans="1:11" x14ac:dyDescent="0.25">
      <c r="A261" s="61">
        <f>'A) Base RI'!A263</f>
        <v>5854</v>
      </c>
      <c r="B261" s="114" t="str">
        <f>'A) Base RI'!B263</f>
        <v>Burtigny</v>
      </c>
      <c r="C261" s="125">
        <f>'B) D RI'!U263</f>
        <v>10244.164041666669</v>
      </c>
      <c r="D261" s="147">
        <f>'E) Fact soc'!G267/C261</f>
        <v>16.608471737071905</v>
      </c>
      <c r="E261" s="181">
        <f>'H) Péréquation directe'!I272/C261</f>
        <v>2.0787159010499896</v>
      </c>
      <c r="F261" s="186">
        <f>'I) Dépenses thématiques'!P261</f>
        <v>-2.3964117287516613</v>
      </c>
      <c r="G261" s="143">
        <f t="shared" si="25"/>
        <v>16.290775909370232</v>
      </c>
      <c r="H261" s="181">
        <f t="shared" si="26"/>
        <v>18.687187638121895</v>
      </c>
      <c r="I261" s="186">
        <f t="shared" si="27"/>
        <v>0</v>
      </c>
      <c r="J261" s="74">
        <f t="shared" si="24"/>
        <v>0</v>
      </c>
      <c r="K261" s="46"/>
    </row>
    <row r="262" spans="1:11" x14ac:dyDescent="0.25">
      <c r="A262" s="61">
        <f>'A) Base RI'!A264</f>
        <v>5855</v>
      </c>
      <c r="B262" s="114" t="str">
        <f>'A) Base RI'!B264</f>
        <v>Dully</v>
      </c>
      <c r="C262" s="125">
        <f>'B) D RI'!U264</f>
        <v>65353.176326530607</v>
      </c>
      <c r="D262" s="147">
        <f>'E) Fact soc'!G268/C262</f>
        <v>30.861679398116621</v>
      </c>
      <c r="E262" s="181">
        <f>'H) Péréquation directe'!I273/C262</f>
        <v>15.036503974445877</v>
      </c>
      <c r="F262" s="186">
        <f>'I) Dépenses thématiques'!P262</f>
        <v>0</v>
      </c>
      <c r="G262" s="143">
        <f t="shared" si="25"/>
        <v>45.898183372562499</v>
      </c>
      <c r="H262" s="181">
        <f t="shared" si="26"/>
        <v>45.898183372562499</v>
      </c>
      <c r="I262" s="186">
        <f t="shared" si="27"/>
        <v>0</v>
      </c>
      <c r="J262" s="74">
        <f t="shared" si="24"/>
        <v>0</v>
      </c>
      <c r="K262" s="46"/>
    </row>
    <row r="263" spans="1:11" x14ac:dyDescent="0.25">
      <c r="A263" s="61">
        <f>'A) Base RI'!A265</f>
        <v>5856</v>
      </c>
      <c r="B263" s="114" t="str">
        <f>'A) Base RI'!B265</f>
        <v>Essertines-sur-Rolle</v>
      </c>
      <c r="C263" s="125">
        <f>'B) D RI'!U265</f>
        <v>28766.256402714938</v>
      </c>
      <c r="D263" s="147">
        <f>'E) Fact soc'!G269/C263</f>
        <v>16.182902916305061</v>
      </c>
      <c r="E263" s="181">
        <f>'H) Péréquation directe'!I274/C263</f>
        <v>14.837855665632317</v>
      </c>
      <c r="F263" s="186">
        <f>'I) Dépenses thématiques'!P263</f>
        <v>-1.9970674213913822</v>
      </c>
      <c r="G263" s="143">
        <f t="shared" si="25"/>
        <v>29.023691160545997</v>
      </c>
      <c r="H263" s="181">
        <f t="shared" si="26"/>
        <v>31.020758581937379</v>
      </c>
      <c r="I263" s="186">
        <f t="shared" si="27"/>
        <v>0</v>
      </c>
      <c r="J263" s="74">
        <f t="shared" si="24"/>
        <v>0</v>
      </c>
      <c r="K263" s="46"/>
    </row>
    <row r="264" spans="1:11" x14ac:dyDescent="0.25">
      <c r="A264" s="61">
        <f>'A) Base RI'!A266</f>
        <v>5857</v>
      </c>
      <c r="B264" s="114" t="str">
        <f>'A) Base RI'!B266</f>
        <v>Gilly</v>
      </c>
      <c r="C264" s="125">
        <f>'B) D RI'!U266</f>
        <v>55694.918787878785</v>
      </c>
      <c r="D264" s="147">
        <f>'E) Fact soc'!G270/C264</f>
        <v>21.820096556172402</v>
      </c>
      <c r="E264" s="181">
        <f>'H) Péréquation directe'!I275/C264</f>
        <v>15.995523320417023</v>
      </c>
      <c r="F264" s="186">
        <f>'I) Dépenses thématiques'!P264</f>
        <v>0</v>
      </c>
      <c r="G264" s="143">
        <f t="shared" si="25"/>
        <v>37.815619876589423</v>
      </c>
      <c r="H264" s="181">
        <f t="shared" si="26"/>
        <v>37.815619876589423</v>
      </c>
      <c r="I264" s="186">
        <f t="shared" si="27"/>
        <v>0</v>
      </c>
      <c r="J264" s="74">
        <f t="shared" si="24"/>
        <v>0</v>
      </c>
      <c r="K264" s="46"/>
    </row>
    <row r="265" spans="1:11" x14ac:dyDescent="0.25">
      <c r="A265" s="61">
        <f>'A) Base RI'!A267</f>
        <v>5858</v>
      </c>
      <c r="B265" s="114" t="str">
        <f>'A) Base RI'!B267</f>
        <v>Luins</v>
      </c>
      <c r="C265" s="125">
        <f>'B) D RI'!U267</f>
        <v>33594.571611111111</v>
      </c>
      <c r="D265" s="147">
        <f>'E) Fact soc'!G271/C265</f>
        <v>16.413451865255137</v>
      </c>
      <c r="E265" s="181">
        <f>'H) Péréquation directe'!I276/C265</f>
        <v>16.722631833436548</v>
      </c>
      <c r="F265" s="186">
        <f>'I) Dépenses thématiques'!P265</f>
        <v>0</v>
      </c>
      <c r="G265" s="143">
        <f t="shared" si="25"/>
        <v>33.136083698691685</v>
      </c>
      <c r="H265" s="181">
        <f t="shared" si="26"/>
        <v>33.136083698691685</v>
      </c>
      <c r="I265" s="186">
        <f t="shared" si="27"/>
        <v>0</v>
      </c>
      <c r="J265" s="74">
        <f t="shared" ref="J265:J313" si="29">-I265*C265</f>
        <v>0</v>
      </c>
      <c r="K265" s="46"/>
    </row>
    <row r="266" spans="1:11" x14ac:dyDescent="0.25">
      <c r="A266" s="61">
        <f>'A) Base RI'!A268</f>
        <v>5859</v>
      </c>
      <c r="B266" s="114" t="str">
        <f>'A) Base RI'!B268</f>
        <v>Mont-sur-Rolle</v>
      </c>
      <c r="C266" s="125">
        <f>'B) D RI'!U268</f>
        <v>147627.58999999997</v>
      </c>
      <c r="D266" s="147">
        <f>'E) Fact soc'!G272/C266</f>
        <v>18.260506960843102</v>
      </c>
      <c r="E266" s="181">
        <f>'H) Péréquation directe'!I277/C266</f>
        <v>13.993991109093459</v>
      </c>
      <c r="F266" s="186">
        <f>'I) Dépenses thématiques'!P266</f>
        <v>0</v>
      </c>
      <c r="G266" s="143">
        <f t="shared" ref="G266:G313" si="30">SUM(D266:F266)</f>
        <v>32.25449806993656</v>
      </c>
      <c r="H266" s="181">
        <f t="shared" ref="H266:H314" si="31">G266-F266</f>
        <v>32.25449806993656</v>
      </c>
      <c r="I266" s="186">
        <f t="shared" ref="I266:I313" si="32">IF(H266&lt;I$4,H266-I$4,0)</f>
        <v>0</v>
      </c>
      <c r="J266" s="74">
        <f t="shared" si="29"/>
        <v>0</v>
      </c>
      <c r="K266" s="46"/>
    </row>
    <row r="267" spans="1:11" x14ac:dyDescent="0.25">
      <c r="A267" s="61">
        <f>'A) Base RI'!A269</f>
        <v>5860</v>
      </c>
      <c r="B267" s="114" t="str">
        <f>'A) Base RI'!B269</f>
        <v>Perroy</v>
      </c>
      <c r="C267" s="125">
        <f>'B) D RI'!U269</f>
        <v>88241.731705128201</v>
      </c>
      <c r="D267" s="147">
        <f>'E) Fact soc'!G273/C267</f>
        <v>21.534476736068498</v>
      </c>
      <c r="E267" s="181">
        <f>'H) Péréquation directe'!I278/C267</f>
        <v>15.229377663114059</v>
      </c>
      <c r="F267" s="186">
        <f>'I) Dépenses thématiques'!P267</f>
        <v>0</v>
      </c>
      <c r="G267" s="143">
        <f t="shared" si="30"/>
        <v>36.763854399182556</v>
      </c>
      <c r="H267" s="181">
        <f t="shared" si="31"/>
        <v>36.763854399182556</v>
      </c>
      <c r="I267" s="186">
        <f t="shared" si="32"/>
        <v>0</v>
      </c>
      <c r="J267" s="74">
        <f t="shared" si="29"/>
        <v>0</v>
      </c>
      <c r="K267" s="46"/>
    </row>
    <row r="268" spans="1:11" x14ac:dyDescent="0.25">
      <c r="A268" s="61">
        <f>'A) Base RI'!A270</f>
        <v>5861</v>
      </c>
      <c r="B268" s="114" t="str">
        <f>'A) Base RI'!B270</f>
        <v>Rolle</v>
      </c>
      <c r="C268" s="125">
        <f>'B) D RI'!U270</f>
        <v>549155.69747899158</v>
      </c>
      <c r="D268" s="147">
        <f>'E) Fact soc'!G274/C268</f>
        <v>26.26281014537598</v>
      </c>
      <c r="E268" s="181">
        <f>'H) Péréquation directe'!I279/C268</f>
        <v>12.171239469300929</v>
      </c>
      <c r="F268" s="186">
        <f>'I) Dépenses thématiques'!P268</f>
        <v>-0.16158038295060653</v>
      </c>
      <c r="G268" s="143">
        <f t="shared" si="30"/>
        <v>38.272469231726305</v>
      </c>
      <c r="H268" s="181">
        <f t="shared" si="31"/>
        <v>38.434049614676908</v>
      </c>
      <c r="I268" s="186">
        <f t="shared" si="32"/>
        <v>0</v>
      </c>
      <c r="J268" s="74">
        <f t="shared" si="29"/>
        <v>0</v>
      </c>
      <c r="K268" s="46"/>
    </row>
    <row r="269" spans="1:11" x14ac:dyDescent="0.25">
      <c r="A269" s="61">
        <f>'A) Base RI'!A271</f>
        <v>5862</v>
      </c>
      <c r="B269" s="114" t="str">
        <f>'A) Base RI'!B271</f>
        <v>Tartegnin</v>
      </c>
      <c r="C269" s="125">
        <f>'B) D RI'!U271</f>
        <v>9990.8663492063497</v>
      </c>
      <c r="D269" s="147">
        <f>'E) Fact soc'!G275/C269</f>
        <v>16.996485781410133</v>
      </c>
      <c r="E269" s="181">
        <f>'H) Péréquation directe'!I280/C269</f>
        <v>15.88687768657376</v>
      </c>
      <c r="F269" s="186">
        <f>'I) Dépenses thématiques'!P269</f>
        <v>0</v>
      </c>
      <c r="G269" s="143">
        <f t="shared" si="30"/>
        <v>32.883363467983891</v>
      </c>
      <c r="H269" s="181">
        <f t="shared" si="31"/>
        <v>32.883363467983891</v>
      </c>
      <c r="I269" s="186">
        <f t="shared" si="32"/>
        <v>0</v>
      </c>
      <c r="J269" s="74">
        <f t="shared" si="29"/>
        <v>0</v>
      </c>
      <c r="K269" s="46"/>
    </row>
    <row r="270" spans="1:11" x14ac:dyDescent="0.25">
      <c r="A270" s="61">
        <f>'A) Base RI'!A272</f>
        <v>5863</v>
      </c>
      <c r="B270" s="114" t="str">
        <f>'A) Base RI'!B272</f>
        <v>Vinzel</v>
      </c>
      <c r="C270" s="125">
        <f>'B) D RI'!U272</f>
        <v>25660.793857142853</v>
      </c>
      <c r="D270" s="147">
        <f>'E) Fact soc'!G276/C270</f>
        <v>22.595675870109641</v>
      </c>
      <c r="E270" s="181">
        <f>'H) Péréquation directe'!I281/C270</f>
        <v>16.029330051356215</v>
      </c>
      <c r="F270" s="186">
        <f>'I) Dépenses thématiques'!P270</f>
        <v>0</v>
      </c>
      <c r="G270" s="143">
        <f t="shared" si="30"/>
        <v>38.625005921465856</v>
      </c>
      <c r="H270" s="181">
        <f t="shared" si="31"/>
        <v>38.625005921465856</v>
      </c>
      <c r="I270" s="186">
        <f t="shared" si="32"/>
        <v>0</v>
      </c>
      <c r="J270" s="74">
        <f t="shared" si="29"/>
        <v>0</v>
      </c>
      <c r="K270" s="46"/>
    </row>
    <row r="271" spans="1:11" x14ac:dyDescent="0.25">
      <c r="A271" s="61">
        <f>'A) Base RI'!A273</f>
        <v>5871</v>
      </c>
      <c r="B271" s="114" t="str">
        <f>'A) Base RI'!B273</f>
        <v>L'Abbaye</v>
      </c>
      <c r="C271" s="125">
        <f>'B) D RI'!U273</f>
        <v>49270.614706263776</v>
      </c>
      <c r="D271" s="147">
        <f>'E) Fact soc'!G277/C271</f>
        <v>20.736814412059186</v>
      </c>
      <c r="E271" s="181">
        <f>'H) Péréquation directe'!I282/C271</f>
        <v>7.1390314182673977</v>
      </c>
      <c r="F271" s="186">
        <f>'I) Dépenses thématiques'!P271</f>
        <v>-6.2660932078192539</v>
      </c>
      <c r="G271" s="143">
        <f t="shared" si="30"/>
        <v>21.60975262250733</v>
      </c>
      <c r="H271" s="181">
        <f t="shared" si="31"/>
        <v>27.875845830326583</v>
      </c>
      <c r="I271" s="186">
        <f t="shared" si="32"/>
        <v>0</v>
      </c>
      <c r="J271" s="74">
        <f t="shared" si="29"/>
        <v>0</v>
      </c>
      <c r="K271" s="46"/>
    </row>
    <row r="272" spans="1:11" x14ac:dyDescent="0.25">
      <c r="A272" s="61">
        <f>'A) Base RI'!A274</f>
        <v>5872</v>
      </c>
      <c r="B272" s="114" t="str">
        <f>'A) Base RI'!B274</f>
        <v>Le Chenit</v>
      </c>
      <c r="C272" s="125">
        <f>'B) D RI'!U274</f>
        <v>312565.48082674423</v>
      </c>
      <c r="D272" s="147">
        <f>'E) Fact soc'!G278/C272</f>
        <v>24.771573445021275</v>
      </c>
      <c r="E272" s="181">
        <f>'H) Péréquation directe'!I283/C272</f>
        <v>12.649715799332649</v>
      </c>
      <c r="F272" s="186">
        <f>'I) Dépenses thématiques'!P272</f>
        <v>-4.092147728120195</v>
      </c>
      <c r="G272" s="143">
        <f t="shared" si="30"/>
        <v>33.329141516233726</v>
      </c>
      <c r="H272" s="181">
        <f t="shared" si="31"/>
        <v>37.421289244353922</v>
      </c>
      <c r="I272" s="186">
        <f t="shared" si="32"/>
        <v>0</v>
      </c>
      <c r="J272" s="74">
        <f t="shared" si="29"/>
        <v>0</v>
      </c>
      <c r="K272" s="46"/>
    </row>
    <row r="273" spans="1:11" x14ac:dyDescent="0.25">
      <c r="A273" s="61">
        <f>'A) Base RI'!A275</f>
        <v>5873</v>
      </c>
      <c r="B273" s="114" t="str">
        <f>'A) Base RI'!B275</f>
        <v>Le Lieu</v>
      </c>
      <c r="C273" s="125">
        <f>'B) D RI'!U275</f>
        <v>35906.558461538458</v>
      </c>
      <c r="D273" s="147">
        <f>'E) Fact soc'!G279/C273</f>
        <v>25.043170553027441</v>
      </c>
      <c r="E273" s="181">
        <f>'H) Péréquation directe'!I284/C273</f>
        <v>15.298607092365851</v>
      </c>
      <c r="F273" s="186">
        <f>'I) Dépenses thématiques'!P273</f>
        <v>-20.918059326974014</v>
      </c>
      <c r="G273" s="143">
        <f t="shared" si="30"/>
        <v>19.423718318419279</v>
      </c>
      <c r="H273" s="181">
        <f t="shared" si="31"/>
        <v>40.341777645393293</v>
      </c>
      <c r="I273" s="186">
        <f t="shared" si="32"/>
        <v>0</v>
      </c>
      <c r="J273" s="74">
        <f t="shared" si="29"/>
        <v>0</v>
      </c>
      <c r="K273" s="46"/>
    </row>
    <row r="274" spans="1:11" x14ac:dyDescent="0.25">
      <c r="A274" s="61">
        <f>'A) Base RI'!A276</f>
        <v>5881</v>
      </c>
      <c r="B274" s="114" t="str">
        <f>'A) Base RI'!B276</f>
        <v>Blonay</v>
      </c>
      <c r="C274" s="125">
        <f>'B) D RI'!U276</f>
        <v>350302.66257142869</v>
      </c>
      <c r="D274" s="147">
        <f>'E) Fact soc'!G280/C274</f>
        <v>19.277463906532301</v>
      </c>
      <c r="E274" s="181">
        <f>'H) Péréquation directe'!I285/C274</f>
        <v>11.383790380253096</v>
      </c>
      <c r="F274" s="186">
        <f>'I) Dépenses thématiques'!P274</f>
        <v>-2.2581085166759309</v>
      </c>
      <c r="G274" s="143">
        <f t="shared" si="30"/>
        <v>28.403145770109465</v>
      </c>
      <c r="H274" s="181">
        <f t="shared" si="31"/>
        <v>30.661254286785397</v>
      </c>
      <c r="I274" s="186">
        <f t="shared" si="32"/>
        <v>0</v>
      </c>
      <c r="J274" s="74">
        <f t="shared" si="29"/>
        <v>0</v>
      </c>
      <c r="K274" s="46"/>
    </row>
    <row r="275" spans="1:11" x14ac:dyDescent="0.25">
      <c r="A275" s="61">
        <f>'A) Base RI'!A277</f>
        <v>5882</v>
      </c>
      <c r="B275" s="114" t="str">
        <f>'A) Base RI'!B277</f>
        <v>Chardonne</v>
      </c>
      <c r="C275" s="125">
        <f>'B) D RI'!U277</f>
        <v>162874.24803030302</v>
      </c>
      <c r="D275" s="147">
        <f>'E) Fact soc'!G281/C275</f>
        <v>20.647253153016571</v>
      </c>
      <c r="E275" s="181">
        <f>'H) Péréquation directe'!I286/C275</f>
        <v>13.818875731213591</v>
      </c>
      <c r="F275" s="186">
        <f>'I) Dépenses thématiques'!P275</f>
        <v>-1.8176802400290597</v>
      </c>
      <c r="G275" s="143">
        <f t="shared" si="30"/>
        <v>32.648448644201096</v>
      </c>
      <c r="H275" s="181">
        <f t="shared" si="31"/>
        <v>34.466128884230159</v>
      </c>
      <c r="I275" s="186">
        <f t="shared" si="32"/>
        <v>0</v>
      </c>
      <c r="J275" s="74">
        <f t="shared" si="29"/>
        <v>0</v>
      </c>
      <c r="K275" s="46"/>
    </row>
    <row r="276" spans="1:11" x14ac:dyDescent="0.25">
      <c r="A276" s="61">
        <f>'A) Base RI'!A278</f>
        <v>5883</v>
      </c>
      <c r="B276" s="114" t="str">
        <f>'A) Base RI'!B278</f>
        <v>Corseaux</v>
      </c>
      <c r="C276" s="125">
        <f>'B) D RI'!U278</f>
        <v>144418.05406250001</v>
      </c>
      <c r="D276" s="147">
        <f>'E) Fact soc'!G282/C276</f>
        <v>22.910344242080996</v>
      </c>
      <c r="E276" s="181">
        <f>'H) Péréquation directe'!I287/C276</f>
        <v>14.307980515581812</v>
      </c>
      <c r="F276" s="186">
        <f>'I) Dépenses thématiques'!P276</f>
        <v>0</v>
      </c>
      <c r="G276" s="143">
        <f t="shared" si="30"/>
        <v>37.218324757662806</v>
      </c>
      <c r="H276" s="181">
        <f t="shared" si="31"/>
        <v>37.218324757662806</v>
      </c>
      <c r="I276" s="186">
        <f t="shared" si="32"/>
        <v>0</v>
      </c>
      <c r="J276" s="74">
        <f t="shared" si="29"/>
        <v>0</v>
      </c>
      <c r="K276" s="46"/>
    </row>
    <row r="277" spans="1:11" x14ac:dyDescent="0.25">
      <c r="A277" s="61">
        <f>'A) Base RI'!A279</f>
        <v>5884</v>
      </c>
      <c r="B277" s="114" t="str">
        <f>'A) Base RI'!B279</f>
        <v>Corsier-sur-Vevey</v>
      </c>
      <c r="C277" s="125">
        <f>'B) D RI'!U279</f>
        <v>132379.93277777778</v>
      </c>
      <c r="D277" s="147">
        <f>'E) Fact soc'!G283/C277</f>
        <v>18.113717236756809</v>
      </c>
      <c r="E277" s="181">
        <f>'H) Péréquation directe'!I288/C277</f>
        <v>8.5590343489843388</v>
      </c>
      <c r="F277" s="186">
        <f>'I) Dépenses thématiques'!P277</f>
        <v>-5.1641375185409997</v>
      </c>
      <c r="G277" s="143">
        <f t="shared" si="30"/>
        <v>21.508614067200146</v>
      </c>
      <c r="H277" s="181">
        <f t="shared" si="31"/>
        <v>26.672751585741146</v>
      </c>
      <c r="I277" s="186">
        <f t="shared" si="32"/>
        <v>0</v>
      </c>
      <c r="J277" s="74">
        <f t="shared" si="29"/>
        <v>0</v>
      </c>
      <c r="K277" s="46"/>
    </row>
    <row r="278" spans="1:11" x14ac:dyDescent="0.25">
      <c r="A278" s="61">
        <f>'A) Base RI'!A280</f>
        <v>5885</v>
      </c>
      <c r="B278" s="114" t="str">
        <f>'A) Base RI'!B280</f>
        <v>Jongny</v>
      </c>
      <c r="C278" s="125">
        <f>'B) D RI'!U280</f>
        <v>138055.78997584543</v>
      </c>
      <c r="D278" s="147">
        <f>'E) Fact soc'!G284/C278</f>
        <v>27.264167937866883</v>
      </c>
      <c r="E278" s="181">
        <f>'H) Péréquation directe'!I289/C278</f>
        <v>14.510378591074781</v>
      </c>
      <c r="F278" s="186">
        <f>'I) Dépenses thématiques'!P278</f>
        <v>0</v>
      </c>
      <c r="G278" s="143">
        <f t="shared" si="30"/>
        <v>41.774546528941663</v>
      </c>
      <c r="H278" s="181">
        <f t="shared" si="31"/>
        <v>41.774546528941663</v>
      </c>
      <c r="I278" s="186">
        <f t="shared" si="32"/>
        <v>0</v>
      </c>
      <c r="J278" s="74">
        <f t="shared" si="29"/>
        <v>0</v>
      </c>
      <c r="K278" s="46"/>
    </row>
    <row r="279" spans="1:11" x14ac:dyDescent="0.25">
      <c r="A279" s="61">
        <f>'A) Base RI'!A281</f>
        <v>5886</v>
      </c>
      <c r="B279" s="114" t="str">
        <f>'A) Base RI'!B281</f>
        <v>Montreux</v>
      </c>
      <c r="C279" s="125">
        <f>'B) D RI'!U281</f>
        <v>1113145.3400000003</v>
      </c>
      <c r="D279" s="147">
        <f>'E) Fact soc'!G285/C279</f>
        <v>21.75792841273601</v>
      </c>
      <c r="E279" s="181">
        <f>'H) Péréquation directe'!I290/C279</f>
        <v>-1.3089392890134144</v>
      </c>
      <c r="F279" s="186">
        <f>'I) Dépenses thématiques'!P279</f>
        <v>-4.0962646921647519</v>
      </c>
      <c r="G279" s="143">
        <f t="shared" si="30"/>
        <v>16.352724431557846</v>
      </c>
      <c r="H279" s="181">
        <f t="shared" si="31"/>
        <v>20.448989123722598</v>
      </c>
      <c r="I279" s="186">
        <f t="shared" si="32"/>
        <v>0</v>
      </c>
      <c r="J279" s="74">
        <f t="shared" si="29"/>
        <v>0</v>
      </c>
      <c r="K279" s="46"/>
    </row>
    <row r="280" spans="1:11" x14ac:dyDescent="0.25">
      <c r="A280" s="61">
        <f>'A) Base RI'!A282</f>
        <v>5888</v>
      </c>
      <c r="B280" s="114" t="str">
        <f>'A) Base RI'!B282</f>
        <v>Saint-Légier-La Chiésaz</v>
      </c>
      <c r="C280" s="125">
        <f>'B) D RI'!U282</f>
        <v>313348.84833333333</v>
      </c>
      <c r="D280" s="147">
        <f>'E) Fact soc'!G286/C280</f>
        <v>20.052638419125032</v>
      </c>
      <c r="E280" s="181">
        <f>'H) Péréquation directe'!I291/C280</f>
        <v>12.255266019535183</v>
      </c>
      <c r="F280" s="186">
        <f>'I) Dépenses thématiques'!P280</f>
        <v>-5.542098823556036</v>
      </c>
      <c r="G280" s="143">
        <f t="shared" si="30"/>
        <v>26.765805615104181</v>
      </c>
      <c r="H280" s="181">
        <f t="shared" si="31"/>
        <v>32.307904438660216</v>
      </c>
      <c r="I280" s="186">
        <f t="shared" si="32"/>
        <v>0</v>
      </c>
      <c r="J280" s="74">
        <f t="shared" si="29"/>
        <v>0</v>
      </c>
      <c r="K280" s="46"/>
    </row>
    <row r="281" spans="1:11" x14ac:dyDescent="0.25">
      <c r="A281" s="61">
        <f>'A) Base RI'!A283</f>
        <v>5889</v>
      </c>
      <c r="B281" s="114" t="str">
        <f>'A) Base RI'!B283</f>
        <v>La Tour-de-Peilz</v>
      </c>
      <c r="C281" s="125">
        <f>'B) D RI'!U283</f>
        <v>590141.45856770838</v>
      </c>
      <c r="D281" s="147">
        <f>'E) Fact soc'!G287/C281</f>
        <v>17.354035579579122</v>
      </c>
      <c r="E281" s="181">
        <f>'H) Péréquation directe'!I292/C281</f>
        <v>8.0906056535692201</v>
      </c>
      <c r="F281" s="186">
        <f>'I) Dépenses thématiques'!P281</f>
        <v>0</v>
      </c>
      <c r="G281" s="143">
        <f t="shared" si="30"/>
        <v>25.444641233148342</v>
      </c>
      <c r="H281" s="181">
        <f t="shared" si="31"/>
        <v>25.444641233148342</v>
      </c>
      <c r="I281" s="186">
        <f t="shared" si="32"/>
        <v>0</v>
      </c>
      <c r="J281" s="74">
        <f t="shared" si="29"/>
        <v>0</v>
      </c>
      <c r="K281" s="46"/>
    </row>
    <row r="282" spans="1:11" x14ac:dyDescent="0.25">
      <c r="A282" s="61">
        <f>'A) Base RI'!A284</f>
        <v>5890</v>
      </c>
      <c r="B282" s="114" t="str">
        <f>'A) Base RI'!B284</f>
        <v>Vevey</v>
      </c>
      <c r="C282" s="125">
        <f>'B) D RI'!U284</f>
        <v>922155.6933561645</v>
      </c>
      <c r="D282" s="147">
        <f>'E) Fact soc'!G288/C282</f>
        <v>18.066150668877409</v>
      </c>
      <c r="E282" s="181">
        <f>'H) Péréquation directe'!I293/C282</f>
        <v>3.3679022024999425</v>
      </c>
      <c r="F282" s="186">
        <f>'I) Dépenses thématiques'!P282</f>
        <v>-1.0309180470796429</v>
      </c>
      <c r="G282" s="143">
        <f t="shared" si="30"/>
        <v>20.403134824297709</v>
      </c>
      <c r="H282" s="181">
        <f t="shared" si="31"/>
        <v>21.43405287137735</v>
      </c>
      <c r="I282" s="186">
        <f t="shared" si="32"/>
        <v>0</v>
      </c>
      <c r="J282" s="74">
        <f t="shared" si="29"/>
        <v>0</v>
      </c>
      <c r="K282" s="46"/>
    </row>
    <row r="283" spans="1:11" x14ac:dyDescent="0.25">
      <c r="A283" s="61">
        <f>'A) Base RI'!A285</f>
        <v>5891</v>
      </c>
      <c r="B283" s="114" t="str">
        <f>'A) Base RI'!B285</f>
        <v>Veytaux</v>
      </c>
      <c r="C283" s="125">
        <f>'B) D RI'!U285</f>
        <v>37259.444879227056</v>
      </c>
      <c r="D283" s="147">
        <f>'E) Fact soc'!G289/C283</f>
        <v>18.548314187701891</v>
      </c>
      <c r="E283" s="181">
        <f>'H) Péréquation directe'!I294/C283</f>
        <v>16.118158180019687</v>
      </c>
      <c r="F283" s="186">
        <f>'I) Dépenses thématiques'!P283</f>
        <v>-8.8764874158312423</v>
      </c>
      <c r="G283" s="143">
        <f t="shared" si="30"/>
        <v>25.789984951890339</v>
      </c>
      <c r="H283" s="181">
        <f t="shared" si="31"/>
        <v>34.666472367721582</v>
      </c>
      <c r="I283" s="186">
        <f t="shared" si="32"/>
        <v>0</v>
      </c>
      <c r="J283" s="74">
        <f t="shared" si="29"/>
        <v>0</v>
      </c>
      <c r="K283" s="46"/>
    </row>
    <row r="284" spans="1:11" x14ac:dyDescent="0.25">
      <c r="A284" s="61">
        <f>'A) Base RI'!A286</f>
        <v>5902</v>
      </c>
      <c r="B284" s="114" t="str">
        <f>'A) Base RI'!B286</f>
        <v>Belmont-sur-Yverdon</v>
      </c>
      <c r="C284" s="125">
        <f>'B) D RI'!U286</f>
        <v>8642.2247368421067</v>
      </c>
      <c r="D284" s="147">
        <f>'E) Fact soc'!G290/C284</f>
        <v>22.081203559868595</v>
      </c>
      <c r="E284" s="181">
        <f>'H) Péréquation directe'!I295/C284</f>
        <v>-5.9108061417206521</v>
      </c>
      <c r="F284" s="186">
        <f>'I) Dépenses thématiques'!P284</f>
        <v>-18.067778653204229</v>
      </c>
      <c r="G284" s="143">
        <f t="shared" si="30"/>
        <v>-1.8973812350562866</v>
      </c>
      <c r="H284" s="181">
        <f t="shared" si="31"/>
        <v>16.170397418147942</v>
      </c>
      <c r="I284" s="186">
        <f t="shared" si="32"/>
        <v>0</v>
      </c>
      <c r="J284" s="74">
        <f t="shared" si="29"/>
        <v>0</v>
      </c>
      <c r="K284" s="46"/>
    </row>
    <row r="285" spans="1:11" x14ac:dyDescent="0.25">
      <c r="A285" s="61">
        <f>'A) Base RI'!A287</f>
        <v>5903</v>
      </c>
      <c r="B285" s="114" t="str">
        <f>'A) Base RI'!B287</f>
        <v>Bioley-Magnoux</v>
      </c>
      <c r="C285" s="125">
        <f>'B) D RI'!U287</f>
        <v>6046.5271621621623</v>
      </c>
      <c r="D285" s="147">
        <f>'E) Fact soc'!G291/C285</f>
        <v>23.047545191861033</v>
      </c>
      <c r="E285" s="181">
        <f>'H) Péréquation directe'!I296/C285</f>
        <v>5.156066789438194</v>
      </c>
      <c r="F285" s="186">
        <f>'I) Dépenses thématiques'!P285</f>
        <v>-27.154088120225264</v>
      </c>
      <c r="G285" s="143">
        <f t="shared" si="30"/>
        <v>1.0495238610739612</v>
      </c>
      <c r="H285" s="181">
        <f t="shared" si="31"/>
        <v>28.203611981299225</v>
      </c>
      <c r="I285" s="186">
        <f t="shared" si="32"/>
        <v>0</v>
      </c>
      <c r="J285" s="74">
        <f t="shared" si="29"/>
        <v>0</v>
      </c>
      <c r="K285" s="46"/>
    </row>
    <row r="286" spans="1:11" x14ac:dyDescent="0.25">
      <c r="A286" s="61">
        <f>'A) Base RI'!A288</f>
        <v>5904</v>
      </c>
      <c r="B286" s="114" t="str">
        <f>'A) Base RI'!B288</f>
        <v>Chamblon</v>
      </c>
      <c r="C286" s="125">
        <f>'B) D RI'!U288</f>
        <v>20170.434545454544</v>
      </c>
      <c r="D286" s="147">
        <f>'E) Fact soc'!G292/C286</f>
        <v>19.275252845958853</v>
      </c>
      <c r="E286" s="181">
        <f>'H) Péréquation directe'!I297/C286</f>
        <v>11.614794222579901</v>
      </c>
      <c r="F286" s="186">
        <f>'I) Dépenses thématiques'!P286</f>
        <v>0</v>
      </c>
      <c r="G286" s="143">
        <f t="shared" si="30"/>
        <v>30.890047068538756</v>
      </c>
      <c r="H286" s="181">
        <f t="shared" si="31"/>
        <v>30.890047068538756</v>
      </c>
      <c r="I286" s="186">
        <f t="shared" si="32"/>
        <v>0</v>
      </c>
      <c r="J286" s="74">
        <f t="shared" si="29"/>
        <v>0</v>
      </c>
      <c r="K286" s="46"/>
    </row>
    <row r="287" spans="1:11" x14ac:dyDescent="0.25">
      <c r="A287" s="61">
        <f>'A) Base RI'!A289</f>
        <v>5905</v>
      </c>
      <c r="B287" s="114" t="str">
        <f>'A) Base RI'!B289</f>
        <v>Champvent</v>
      </c>
      <c r="C287" s="125">
        <f>'B) D RI'!U289</f>
        <v>18220.765633802814</v>
      </c>
      <c r="D287" s="147">
        <f>'E) Fact soc'!G293/C287</f>
        <v>18.155738960494183</v>
      </c>
      <c r="E287" s="181">
        <f>'H) Péréquation directe'!I298/C287</f>
        <v>5.3520526696016111</v>
      </c>
      <c r="F287" s="186">
        <f>'I) Dépenses thématiques'!P287</f>
        <v>-4.9823069036032273</v>
      </c>
      <c r="G287" s="143">
        <f t="shared" si="30"/>
        <v>18.525484726492568</v>
      </c>
      <c r="H287" s="181">
        <f t="shared" si="31"/>
        <v>23.507791630095795</v>
      </c>
      <c r="I287" s="186">
        <f t="shared" si="32"/>
        <v>0</v>
      </c>
      <c r="J287" s="74">
        <f t="shared" si="29"/>
        <v>0</v>
      </c>
      <c r="K287" s="46"/>
    </row>
    <row r="288" spans="1:11" x14ac:dyDescent="0.25">
      <c r="A288" s="61">
        <f>'A) Base RI'!A290</f>
        <v>5907</v>
      </c>
      <c r="B288" s="114" t="str">
        <f>'A) Base RI'!B290</f>
        <v>Chavannes-le-Chêne</v>
      </c>
      <c r="C288" s="125">
        <f>'B) D RI'!U290</f>
        <v>6951.74782051282</v>
      </c>
      <c r="D288" s="147">
        <f>'E) Fact soc'!G294/C288</f>
        <v>18.433881315762289</v>
      </c>
      <c r="E288" s="181">
        <f>'H) Péréquation directe'!I299/C288</f>
        <v>-3.835758992661519</v>
      </c>
      <c r="F288" s="186">
        <f>'I) Dépenses thématiques'!P288</f>
        <v>-12.775984412589716</v>
      </c>
      <c r="G288" s="143">
        <f t="shared" si="30"/>
        <v>1.8221379105110529</v>
      </c>
      <c r="H288" s="181">
        <f t="shared" si="31"/>
        <v>14.598122323100769</v>
      </c>
      <c r="I288" s="186">
        <f t="shared" si="32"/>
        <v>0</v>
      </c>
      <c r="J288" s="74">
        <f t="shared" si="29"/>
        <v>0</v>
      </c>
      <c r="K288" s="46"/>
    </row>
    <row r="289" spans="1:11" x14ac:dyDescent="0.25">
      <c r="A289" s="61">
        <f>'A) Base RI'!A291</f>
        <v>5908</v>
      </c>
      <c r="B289" s="114" t="str">
        <f>'A) Base RI'!B291</f>
        <v>Chêne-Pâquier</v>
      </c>
      <c r="C289" s="125">
        <f>'B) D RI'!U291</f>
        <v>2899.0017721518989</v>
      </c>
      <c r="D289" s="147">
        <f>'E) Fact soc'!G295/C289</f>
        <v>17.922531622320385</v>
      </c>
      <c r="E289" s="181">
        <f>'H) Péréquation directe'!I300/C289</f>
        <v>-8.0451025093657318</v>
      </c>
      <c r="F289" s="186">
        <f>'I) Dépenses thématiques'!P289</f>
        <v>-10.435256608162424</v>
      </c>
      <c r="G289" s="143">
        <f t="shared" si="30"/>
        <v>-0.55782749520777131</v>
      </c>
      <c r="H289" s="181">
        <f t="shared" si="31"/>
        <v>9.877429112954653</v>
      </c>
      <c r="I289" s="186">
        <f t="shared" si="32"/>
        <v>0</v>
      </c>
      <c r="J289" s="74">
        <f t="shared" si="29"/>
        <v>0</v>
      </c>
      <c r="K289" s="46"/>
    </row>
    <row r="290" spans="1:11" x14ac:dyDescent="0.25">
      <c r="A290" s="61">
        <f>'A) Base RI'!A292</f>
        <v>5909</v>
      </c>
      <c r="B290" s="114" t="str">
        <f>'A) Base RI'!B292</f>
        <v>Cheseaux-Noréaz</v>
      </c>
      <c r="C290" s="125">
        <f>'B) D RI'!U292</f>
        <v>22661.846714285719</v>
      </c>
      <c r="D290" s="147">
        <f>'E) Fact soc'!G296/C290</f>
        <v>17.932374907020627</v>
      </c>
      <c r="E290" s="181">
        <f>'H) Péréquation directe'!I301/C290</f>
        <v>9.999536343291437</v>
      </c>
      <c r="F290" s="186">
        <f>'I) Dépenses thématiques'!P290</f>
        <v>-5.7329738728150419</v>
      </c>
      <c r="G290" s="143">
        <f t="shared" si="30"/>
        <v>22.198937377497021</v>
      </c>
      <c r="H290" s="181">
        <f t="shared" si="31"/>
        <v>27.931911250312062</v>
      </c>
      <c r="I290" s="186">
        <f t="shared" si="32"/>
        <v>0</v>
      </c>
      <c r="J290" s="74">
        <f t="shared" si="29"/>
        <v>0</v>
      </c>
      <c r="K290" s="46"/>
    </row>
    <row r="291" spans="1:11" x14ac:dyDescent="0.25">
      <c r="A291" s="61">
        <f>'A) Base RI'!A293</f>
        <v>5910</v>
      </c>
      <c r="B291" s="114" t="str">
        <f>'A) Base RI'!B293</f>
        <v>Cronay</v>
      </c>
      <c r="C291" s="125">
        <f>'B) D RI'!U293</f>
        <v>10409.753209876544</v>
      </c>
      <c r="D291" s="147">
        <f>'E) Fact soc'!G297/C291</f>
        <v>20.478602409611284</v>
      </c>
      <c r="E291" s="181">
        <f>'H) Péréquation directe'!I302/C291</f>
        <v>0.99165145011928735</v>
      </c>
      <c r="F291" s="186">
        <f>'I) Dépenses thématiques'!P291</f>
        <v>-9.4506537622095692</v>
      </c>
      <c r="G291" s="143">
        <f t="shared" si="30"/>
        <v>12.019600097521003</v>
      </c>
      <c r="H291" s="181">
        <f t="shared" si="31"/>
        <v>21.470253859730573</v>
      </c>
      <c r="I291" s="186">
        <f t="shared" si="32"/>
        <v>0</v>
      </c>
      <c r="J291" s="74">
        <f t="shared" si="29"/>
        <v>0</v>
      </c>
      <c r="K291" s="46"/>
    </row>
    <row r="292" spans="1:11" x14ac:dyDescent="0.25">
      <c r="A292" s="61">
        <f>'A) Base RI'!A294</f>
        <v>5911</v>
      </c>
      <c r="B292" s="114" t="str">
        <f>'A) Base RI'!B294</f>
        <v>Cuarny</v>
      </c>
      <c r="C292" s="125">
        <f>'B) D RI'!U294</f>
        <v>6783.6280246913584</v>
      </c>
      <c r="D292" s="147">
        <f>'E) Fact soc'!G298/C292</f>
        <v>15.575433090571405</v>
      </c>
      <c r="E292" s="181">
        <f>'H) Péréquation directe'!I303/C292</f>
        <v>4.8968858385284353</v>
      </c>
      <c r="F292" s="186">
        <f>'I) Dépenses thématiques'!P292</f>
        <v>-0.90945545804030914</v>
      </c>
      <c r="G292" s="143">
        <f t="shared" si="30"/>
        <v>19.562863471059533</v>
      </c>
      <c r="H292" s="181">
        <f t="shared" si="31"/>
        <v>20.472318929099842</v>
      </c>
      <c r="I292" s="186">
        <f t="shared" si="32"/>
        <v>0</v>
      </c>
      <c r="J292" s="74">
        <f t="shared" si="29"/>
        <v>0</v>
      </c>
      <c r="K292" s="46"/>
    </row>
    <row r="293" spans="1:11" x14ac:dyDescent="0.25">
      <c r="A293" s="61">
        <f>'A) Base RI'!A295</f>
        <v>5912</v>
      </c>
      <c r="B293" s="114" t="str">
        <f>'A) Base RI'!B295</f>
        <v>Démoret</v>
      </c>
      <c r="C293" s="125">
        <f>'B) D RI'!U295</f>
        <v>3146.6025925925924</v>
      </c>
      <c r="D293" s="147">
        <f>'E) Fact soc'!G299/C293</f>
        <v>31.475764173819844</v>
      </c>
      <c r="E293" s="181">
        <f>'H) Péréquation directe'!I304/C293</f>
        <v>-4.158840540052605</v>
      </c>
      <c r="F293" s="186">
        <f>'I) Dépenses thématiques'!P293</f>
        <v>-8.6760784602747592</v>
      </c>
      <c r="G293" s="143">
        <f t="shared" si="30"/>
        <v>18.64084517349248</v>
      </c>
      <c r="H293" s="181">
        <f t="shared" si="31"/>
        <v>27.316923633767239</v>
      </c>
      <c r="I293" s="186">
        <f t="shared" si="32"/>
        <v>0</v>
      </c>
      <c r="J293" s="74">
        <f t="shared" si="29"/>
        <v>0</v>
      </c>
      <c r="K293" s="46"/>
    </row>
    <row r="294" spans="1:11" x14ac:dyDescent="0.25">
      <c r="A294" s="61">
        <f>'A) Base RI'!A296</f>
        <v>5913</v>
      </c>
      <c r="B294" s="114" t="str">
        <f>'A) Base RI'!B296</f>
        <v>Donneloye</v>
      </c>
      <c r="C294" s="125">
        <f>'B) D RI'!U296</f>
        <v>23116.238767123283</v>
      </c>
      <c r="D294" s="147">
        <f>'E) Fact soc'!G300/C294</f>
        <v>18.278668041426915</v>
      </c>
      <c r="E294" s="181">
        <f>'H) Péréquation directe'!I305/C294</f>
        <v>5.5818541207225296</v>
      </c>
      <c r="F294" s="186">
        <f>'I) Dépenses thématiques'!P294</f>
        <v>-1.1755365514865361</v>
      </c>
      <c r="G294" s="143">
        <f t="shared" si="30"/>
        <v>22.684985610662906</v>
      </c>
      <c r="H294" s="181">
        <f t="shared" si="31"/>
        <v>23.860522162149444</v>
      </c>
      <c r="I294" s="186">
        <f t="shared" si="32"/>
        <v>0</v>
      </c>
      <c r="J294" s="74">
        <f t="shared" si="29"/>
        <v>0</v>
      </c>
      <c r="K294" s="46"/>
    </row>
    <row r="295" spans="1:11" x14ac:dyDescent="0.25">
      <c r="A295" s="61">
        <f>'A) Base RI'!A297</f>
        <v>5914</v>
      </c>
      <c r="B295" s="114" t="str">
        <f>'A) Base RI'!B297</f>
        <v>Ependes</v>
      </c>
      <c r="C295" s="125">
        <f>'B) D RI'!U297</f>
        <v>8750.2923999999985</v>
      </c>
      <c r="D295" s="147">
        <f>'E) Fact soc'!G301/C295</f>
        <v>16.469370355652256</v>
      </c>
      <c r="E295" s="181">
        <f>'H) Péréquation directe'!I306/C295</f>
        <v>-1.8320494259627209</v>
      </c>
      <c r="F295" s="186">
        <f>'I) Dépenses thématiques'!P295</f>
        <v>-3.4064694321105806</v>
      </c>
      <c r="G295" s="143">
        <f t="shared" si="30"/>
        <v>11.230851497578954</v>
      </c>
      <c r="H295" s="181">
        <f t="shared" si="31"/>
        <v>14.637320929689533</v>
      </c>
      <c r="I295" s="186">
        <f t="shared" si="32"/>
        <v>0</v>
      </c>
      <c r="J295" s="74">
        <f t="shared" si="29"/>
        <v>0</v>
      </c>
      <c r="K295" s="46"/>
    </row>
    <row r="296" spans="1:11" x14ac:dyDescent="0.25">
      <c r="A296" s="61">
        <f>'A) Base RI'!A298</f>
        <v>5919</v>
      </c>
      <c r="B296" s="114" t="str">
        <f>'A) Base RI'!B298</f>
        <v>Mathod</v>
      </c>
      <c r="C296" s="125">
        <f>'B) D RI'!U298</f>
        <v>16260.723851351351</v>
      </c>
      <c r="D296" s="147">
        <f>'E) Fact soc'!G302/C296</f>
        <v>15.904886045392891</v>
      </c>
      <c r="E296" s="181">
        <f>'H) Péréquation directe'!I307/C296</f>
        <v>2.5209648794451809</v>
      </c>
      <c r="F296" s="186">
        <f>'I) Dépenses thématiques'!P296</f>
        <v>-4.6909145371840442</v>
      </c>
      <c r="G296" s="143">
        <f t="shared" si="30"/>
        <v>13.734936387654029</v>
      </c>
      <c r="H296" s="181">
        <f t="shared" si="31"/>
        <v>18.425850924838073</v>
      </c>
      <c r="I296" s="186">
        <f t="shared" si="32"/>
        <v>0</v>
      </c>
      <c r="J296" s="74">
        <f t="shared" si="29"/>
        <v>0</v>
      </c>
      <c r="K296" s="46"/>
    </row>
    <row r="297" spans="1:11" x14ac:dyDescent="0.25">
      <c r="A297" s="61">
        <f>'A) Base RI'!A299</f>
        <v>5921</v>
      </c>
      <c r="B297" s="114" t="str">
        <f>'A) Base RI'!B299</f>
        <v>Molondin</v>
      </c>
      <c r="C297" s="125">
        <f>'B) D RI'!U299</f>
        <v>4932.1140740740739</v>
      </c>
      <c r="D297" s="147">
        <f>'E) Fact soc'!G303/C297</f>
        <v>22.05552723310117</v>
      </c>
      <c r="E297" s="181">
        <f>'H) Péréquation directe'!I308/C297</f>
        <v>-12.063226130599913</v>
      </c>
      <c r="F297" s="186">
        <f>'I) Dépenses thématiques'!P297</f>
        <v>-11.20050902482617</v>
      </c>
      <c r="G297" s="143">
        <f t="shared" si="30"/>
        <v>-1.2082079223249131</v>
      </c>
      <c r="H297" s="181">
        <f t="shared" si="31"/>
        <v>9.9923011025012567</v>
      </c>
      <c r="I297" s="186">
        <f t="shared" si="32"/>
        <v>0</v>
      </c>
      <c r="J297" s="74">
        <f t="shared" si="29"/>
        <v>0</v>
      </c>
      <c r="K297" s="46"/>
    </row>
    <row r="298" spans="1:11" x14ac:dyDescent="0.25">
      <c r="A298" s="61">
        <f>'A) Base RI'!A300</f>
        <v>5922</v>
      </c>
      <c r="B298" s="114" t="str">
        <f>'A) Base RI'!B300</f>
        <v>Montagny-près-Yverdon</v>
      </c>
      <c r="C298" s="125">
        <f>'B) D RI'!U300</f>
        <v>54274.18045081968</v>
      </c>
      <c r="D298" s="147">
        <f>'E) Fact soc'!G304/C298</f>
        <v>23.082793917897469</v>
      </c>
      <c r="E298" s="181">
        <f>'H) Péréquation directe'!I309/C298</f>
        <v>15.927115495808865</v>
      </c>
      <c r="F298" s="186">
        <f>'I) Dépenses thématiques'!P298</f>
        <v>-1.1309452197250105</v>
      </c>
      <c r="G298" s="143">
        <f t="shared" si="30"/>
        <v>37.878964193981318</v>
      </c>
      <c r="H298" s="181">
        <f t="shared" si="31"/>
        <v>39.009909413706332</v>
      </c>
      <c r="I298" s="186">
        <f t="shared" si="32"/>
        <v>0</v>
      </c>
      <c r="J298" s="74">
        <f t="shared" si="29"/>
        <v>0</v>
      </c>
      <c r="K298" s="46"/>
    </row>
    <row r="299" spans="1:11" x14ac:dyDescent="0.25">
      <c r="A299" s="61">
        <f>'A) Base RI'!A301</f>
        <v>5923</v>
      </c>
      <c r="B299" s="114" t="str">
        <f>'A) Base RI'!B301</f>
        <v>Oppens</v>
      </c>
      <c r="C299" s="125">
        <f>'B) D RI'!U301</f>
        <v>4902.1274074074072</v>
      </c>
      <c r="D299" s="147">
        <f>'E) Fact soc'!G305/C299</f>
        <v>21.049273254461003</v>
      </c>
      <c r="E299" s="181">
        <f>'H) Péréquation directe'!I310/C299</f>
        <v>-1.7063356495848359</v>
      </c>
      <c r="F299" s="186">
        <f>'I) Dépenses thématiques'!P299</f>
        <v>-6.9583600428728136</v>
      </c>
      <c r="G299" s="143">
        <f t="shared" si="30"/>
        <v>12.384577562003352</v>
      </c>
      <c r="H299" s="181">
        <f t="shared" si="31"/>
        <v>19.342937604876166</v>
      </c>
      <c r="I299" s="186">
        <f t="shared" si="32"/>
        <v>0</v>
      </c>
      <c r="J299" s="74">
        <f t="shared" si="29"/>
        <v>0</v>
      </c>
      <c r="K299" s="46"/>
    </row>
    <row r="300" spans="1:11" x14ac:dyDescent="0.25">
      <c r="A300" s="61">
        <f>'A) Base RI'!A302</f>
        <v>5924</v>
      </c>
      <c r="B300" s="114" t="str">
        <f>'A) Base RI'!B302</f>
        <v>Orges</v>
      </c>
      <c r="C300" s="125">
        <f>'B) D RI'!U302</f>
        <v>9002.8555405405405</v>
      </c>
      <c r="D300" s="147">
        <f>'E) Fact soc'!G306/C300</f>
        <v>20.494607850505552</v>
      </c>
      <c r="E300" s="181">
        <f>'H) Péréquation directe'!I311/C300</f>
        <v>8.0117952137617134</v>
      </c>
      <c r="F300" s="186">
        <f>'I) Dépenses thématiques'!P300</f>
        <v>0</v>
      </c>
      <c r="G300" s="143">
        <f t="shared" si="30"/>
        <v>28.506403064267268</v>
      </c>
      <c r="H300" s="181">
        <f t="shared" si="31"/>
        <v>28.506403064267268</v>
      </c>
      <c r="I300" s="186">
        <f t="shared" si="32"/>
        <v>0</v>
      </c>
      <c r="J300" s="74">
        <f t="shared" si="29"/>
        <v>0</v>
      </c>
      <c r="K300" s="46"/>
    </row>
    <row r="301" spans="1:11" x14ac:dyDescent="0.25">
      <c r="A301" s="61">
        <f>'A) Base RI'!A303</f>
        <v>5925</v>
      </c>
      <c r="B301" s="114" t="str">
        <f>'A) Base RI'!B303</f>
        <v>Orzens</v>
      </c>
      <c r="C301" s="125">
        <f>'B) D RI'!U303</f>
        <v>5053.7527848101263</v>
      </c>
      <c r="D301" s="147">
        <f>'E) Fact soc'!G307/C301</f>
        <v>16.350065125393431</v>
      </c>
      <c r="E301" s="181">
        <f>'H) Péréquation directe'!I312/C301</f>
        <v>-6.4137867836054001</v>
      </c>
      <c r="F301" s="186">
        <f>'I) Dépenses thématiques'!P301</f>
        <v>-2.1107955753466134</v>
      </c>
      <c r="G301" s="143">
        <f t="shared" si="30"/>
        <v>7.8254827664414188</v>
      </c>
      <c r="H301" s="181">
        <f t="shared" si="31"/>
        <v>9.9362783417880323</v>
      </c>
      <c r="I301" s="186">
        <f t="shared" si="32"/>
        <v>0</v>
      </c>
      <c r="J301" s="74">
        <f t="shared" si="29"/>
        <v>0</v>
      </c>
      <c r="K301" s="46"/>
    </row>
    <row r="302" spans="1:11" x14ac:dyDescent="0.25">
      <c r="A302" s="61">
        <f>'A) Base RI'!A304</f>
        <v>5926</v>
      </c>
      <c r="B302" s="114" t="str">
        <f>'A) Base RI'!B304</f>
        <v>Pomy</v>
      </c>
      <c r="C302" s="125">
        <f>'B) D RI'!U304</f>
        <v>21029.126197183101</v>
      </c>
      <c r="D302" s="147">
        <f>'E) Fact soc'!G308/C302</f>
        <v>17.934897087580868</v>
      </c>
      <c r="E302" s="181">
        <f>'H) Péréquation directe'!I313/C302</f>
        <v>4.5153684496705342</v>
      </c>
      <c r="F302" s="186">
        <f>'I) Dépenses thématiques'!P302</f>
        <v>-13.237980939831873</v>
      </c>
      <c r="G302" s="143">
        <f t="shared" si="30"/>
        <v>9.2122845974195311</v>
      </c>
      <c r="H302" s="181">
        <f t="shared" si="31"/>
        <v>22.450265537251404</v>
      </c>
      <c r="I302" s="186">
        <f t="shared" si="32"/>
        <v>0</v>
      </c>
      <c r="J302" s="74">
        <f t="shared" si="29"/>
        <v>0</v>
      </c>
      <c r="K302" s="46"/>
    </row>
    <row r="303" spans="1:11" x14ac:dyDescent="0.25">
      <c r="A303" s="61">
        <f>'A) Base RI'!A305</f>
        <v>5928</v>
      </c>
      <c r="B303" s="114" t="str">
        <f>'A) Base RI'!B305</f>
        <v>Rovray</v>
      </c>
      <c r="C303" s="125">
        <f>'B) D RI'!U305</f>
        <v>4897.1457333333328</v>
      </c>
      <c r="D303" s="147">
        <f>'E) Fact soc'!G309/C303</f>
        <v>18.334070781641817</v>
      </c>
      <c r="E303" s="181">
        <f>'H) Péréquation directe'!I314/C303</f>
        <v>1.9531803011610707</v>
      </c>
      <c r="F303" s="186">
        <f>'I) Dépenses thématiques'!P303</f>
        <v>-1.3311290195341892</v>
      </c>
      <c r="G303" s="143">
        <f t="shared" si="30"/>
        <v>18.956122063268698</v>
      </c>
      <c r="H303" s="181">
        <f t="shared" si="31"/>
        <v>20.287251082802886</v>
      </c>
      <c r="I303" s="186">
        <f t="shared" si="32"/>
        <v>0</v>
      </c>
      <c r="J303" s="74">
        <f t="shared" si="29"/>
        <v>0</v>
      </c>
      <c r="K303" s="46"/>
    </row>
    <row r="304" spans="1:11" x14ac:dyDescent="0.25">
      <c r="A304" s="61">
        <f>'A) Base RI'!A306</f>
        <v>5929</v>
      </c>
      <c r="B304" s="114" t="str">
        <f>'A) Base RI'!B306</f>
        <v>Suchy</v>
      </c>
      <c r="C304" s="125">
        <f>'B) D RI'!U306</f>
        <v>16083.913284313729</v>
      </c>
      <c r="D304" s="147">
        <f>'E) Fact soc'!G310/C304</f>
        <v>16.653924372392204</v>
      </c>
      <c r="E304" s="181">
        <f>'H) Péréquation directe'!I315/C304</f>
        <v>6.3190201704553566</v>
      </c>
      <c r="F304" s="186">
        <f>'I) Dépenses thématiques'!P304</f>
        <v>-0.9722300737716435</v>
      </c>
      <c r="G304" s="143">
        <f t="shared" si="30"/>
        <v>22.000714469075916</v>
      </c>
      <c r="H304" s="181">
        <f t="shared" si="31"/>
        <v>22.972944542847561</v>
      </c>
      <c r="I304" s="186">
        <f t="shared" si="32"/>
        <v>0</v>
      </c>
      <c r="J304" s="74">
        <f t="shared" si="29"/>
        <v>0</v>
      </c>
      <c r="K304" s="46"/>
    </row>
    <row r="305" spans="1:13" x14ac:dyDescent="0.25">
      <c r="A305" s="61">
        <f>'A) Base RI'!A307</f>
        <v>5930</v>
      </c>
      <c r="B305" s="114" t="str">
        <f>'A) Base RI'!B307</f>
        <v>Suscévaz</v>
      </c>
      <c r="C305" s="125">
        <f>'B) D RI'!U307</f>
        <v>5208.083787878787</v>
      </c>
      <c r="D305" s="147">
        <f>'E) Fact soc'!G311/C305</f>
        <v>16.431602652288475</v>
      </c>
      <c r="E305" s="181">
        <f>'H) Péréquation directe'!I316/C305</f>
        <v>2.9444764647368356</v>
      </c>
      <c r="F305" s="186">
        <f>'I) Dépenses thématiques'!P305</f>
        <v>0</v>
      </c>
      <c r="G305" s="143">
        <f t="shared" si="30"/>
        <v>19.376079117025313</v>
      </c>
      <c r="H305" s="181">
        <f t="shared" si="31"/>
        <v>19.376079117025313</v>
      </c>
      <c r="I305" s="186">
        <f t="shared" si="32"/>
        <v>0</v>
      </c>
      <c r="J305" s="74">
        <f t="shared" si="29"/>
        <v>0</v>
      </c>
      <c r="K305" s="46"/>
    </row>
    <row r="306" spans="1:13" x14ac:dyDescent="0.25">
      <c r="A306" s="61">
        <f>'A) Base RI'!A308</f>
        <v>5931</v>
      </c>
      <c r="B306" s="114" t="str">
        <f>'A) Base RI'!B308</f>
        <v>Treycovagnes</v>
      </c>
      <c r="C306" s="125">
        <f>'B) D RI'!U308</f>
        <v>13922.074155844155</v>
      </c>
      <c r="D306" s="147">
        <f>'E) Fact soc'!G312/C306</f>
        <v>18.510821170409713</v>
      </c>
      <c r="E306" s="181">
        <f>'H) Péréquation directe'!I317/C306</f>
        <v>4.3826302352912379</v>
      </c>
      <c r="F306" s="186">
        <f>'I) Dépenses thématiques'!P306</f>
        <v>0</v>
      </c>
      <c r="G306" s="143">
        <f t="shared" si="30"/>
        <v>22.893451405700951</v>
      </c>
      <c r="H306" s="181">
        <f t="shared" si="31"/>
        <v>22.893451405700951</v>
      </c>
      <c r="I306" s="186">
        <f t="shared" si="32"/>
        <v>0</v>
      </c>
      <c r="J306" s="74">
        <f t="shared" si="29"/>
        <v>0</v>
      </c>
      <c r="K306" s="46"/>
    </row>
    <row r="307" spans="1:13" x14ac:dyDescent="0.25">
      <c r="A307" s="61">
        <f>'A) Base RI'!A309</f>
        <v>5932</v>
      </c>
      <c r="B307" s="114" t="str">
        <f>'A) Base RI'!B309</f>
        <v>Ursins</v>
      </c>
      <c r="C307" s="125">
        <f>'B) D RI'!U309</f>
        <v>5429.3069230769233</v>
      </c>
      <c r="D307" s="147">
        <f>'E) Fact soc'!G313/C307</f>
        <v>15.57612884172392</v>
      </c>
      <c r="E307" s="181">
        <f>'H) Péréquation directe'!I318/C307</f>
        <v>-1.6634296520645107</v>
      </c>
      <c r="F307" s="186">
        <f>'I) Dépenses thématiques'!P307</f>
        <v>-3.1556810867471738</v>
      </c>
      <c r="G307" s="143">
        <f t="shared" si="30"/>
        <v>10.757018102912236</v>
      </c>
      <c r="H307" s="181">
        <f t="shared" si="31"/>
        <v>13.91269918965941</v>
      </c>
      <c r="I307" s="186">
        <f t="shared" si="32"/>
        <v>0</v>
      </c>
      <c r="J307" s="74">
        <f t="shared" si="29"/>
        <v>0</v>
      </c>
      <c r="K307" s="46"/>
    </row>
    <row r="308" spans="1:13" x14ac:dyDescent="0.25">
      <c r="A308" s="61">
        <f>'A) Base RI'!A310</f>
        <v>5933</v>
      </c>
      <c r="B308" s="114" t="str">
        <f>'A) Base RI'!B310</f>
        <v>Valeyres-sous-Montagny</v>
      </c>
      <c r="C308" s="125">
        <f>'B) D RI'!U310</f>
        <v>17165.971111111114</v>
      </c>
      <c r="D308" s="147">
        <f>'E) Fact soc'!G314/C308</f>
        <v>18.555260114268144</v>
      </c>
      <c r="E308" s="181">
        <f>'H) Péréquation directe'!I319/C308</f>
        <v>0.39099766200249897</v>
      </c>
      <c r="F308" s="186">
        <f>'I) Dépenses thématiques'!P308</f>
        <v>-9.5578715273437282</v>
      </c>
      <c r="G308" s="143">
        <f t="shared" si="30"/>
        <v>9.3883862489269134</v>
      </c>
      <c r="H308" s="181">
        <f t="shared" si="31"/>
        <v>18.946257776270642</v>
      </c>
      <c r="I308" s="186">
        <f t="shared" si="32"/>
        <v>0</v>
      </c>
      <c r="J308" s="74">
        <f t="shared" si="29"/>
        <v>0</v>
      </c>
      <c r="K308" s="46"/>
    </row>
    <row r="309" spans="1:13" x14ac:dyDescent="0.25">
      <c r="A309" s="61">
        <f>'A) Base RI'!A311</f>
        <v>5934</v>
      </c>
      <c r="B309" s="114" t="str">
        <f>'A) Base RI'!B311</f>
        <v>Valeyres-sous-Ursins</v>
      </c>
      <c r="C309" s="125">
        <f>'B) D RI'!U311</f>
        <v>6602.430506329114</v>
      </c>
      <c r="D309" s="147">
        <f>'E) Fact soc'!G315/C309</f>
        <v>18.847518318742999</v>
      </c>
      <c r="E309" s="181">
        <f>'H) Péréquation directe'!I320/C309</f>
        <v>-0.87288068193315194</v>
      </c>
      <c r="F309" s="186">
        <f>'I) Dépenses thématiques'!P309</f>
        <v>-1.0194879602545688</v>
      </c>
      <c r="G309" s="143">
        <f t="shared" si="30"/>
        <v>16.95514967655528</v>
      </c>
      <c r="H309" s="181">
        <f t="shared" si="31"/>
        <v>17.974637636809849</v>
      </c>
      <c r="I309" s="186">
        <f t="shared" si="32"/>
        <v>0</v>
      </c>
      <c r="J309" s="74">
        <f t="shared" si="29"/>
        <v>0</v>
      </c>
      <c r="K309" s="46"/>
    </row>
    <row r="310" spans="1:13" x14ac:dyDescent="0.25">
      <c r="A310" s="61">
        <f>'A) Base RI'!A312</f>
        <v>5935</v>
      </c>
      <c r="B310" s="114" t="str">
        <f>'A) Base RI'!B312</f>
        <v>Villars-Epeney</v>
      </c>
      <c r="C310" s="125">
        <f>'B) D RI'!U312</f>
        <v>6478.5808333333343</v>
      </c>
      <c r="D310" s="147">
        <f>'E) Fact soc'!G316/C310</f>
        <v>20.266104409587147</v>
      </c>
      <c r="E310" s="181">
        <f>'H) Péréquation directe'!I321/C310</f>
        <v>16.093593720058692</v>
      </c>
      <c r="F310" s="186">
        <f>'I) Dépenses thématiques'!P310</f>
        <v>-6.8200784905575613</v>
      </c>
      <c r="G310" s="143">
        <f t="shared" si="30"/>
        <v>29.539619639088272</v>
      </c>
      <c r="H310" s="181">
        <f t="shared" si="31"/>
        <v>36.359698129645835</v>
      </c>
      <c r="I310" s="186">
        <f t="shared" si="32"/>
        <v>0</v>
      </c>
      <c r="J310" s="74">
        <f t="shared" si="29"/>
        <v>0</v>
      </c>
      <c r="K310" s="46"/>
    </row>
    <row r="311" spans="1:13" x14ac:dyDescent="0.25">
      <c r="A311" s="61">
        <f>'A) Base RI'!A313</f>
        <v>5937</v>
      </c>
      <c r="B311" s="114" t="str">
        <f>'A) Base RI'!B313</f>
        <v>Vugelles-La Mothe</v>
      </c>
      <c r="C311" s="125">
        <f>'B) D RI'!U313</f>
        <v>2128.9780612244899</v>
      </c>
      <c r="D311" s="147">
        <f>'E) Fact soc'!G317/C311</f>
        <v>15.524464788839422</v>
      </c>
      <c r="E311" s="181">
        <f>'H) Péréquation directe'!I322/C311</f>
        <v>-22.682111313865263</v>
      </c>
      <c r="F311" s="186">
        <f>'I) Dépenses thématiques'!P311</f>
        <v>-19.97804241436398</v>
      </c>
      <c r="G311" s="143">
        <f t="shared" si="30"/>
        <v>-27.135688939389823</v>
      </c>
      <c r="H311" s="181">
        <f t="shared" si="31"/>
        <v>-7.157646525025843</v>
      </c>
      <c r="I311" s="186">
        <f t="shared" si="32"/>
        <v>-0.65764652502584298</v>
      </c>
      <c r="J311" s="74">
        <f t="shared" si="29"/>
        <v>1400.1150238205421</v>
      </c>
      <c r="K311" s="46"/>
    </row>
    <row r="312" spans="1:13" x14ac:dyDescent="0.25">
      <c r="A312" s="61">
        <f>'A) Base RI'!A314</f>
        <v>5938</v>
      </c>
      <c r="B312" s="114" t="str">
        <f>'A) Base RI'!B314</f>
        <v>Yverdon-les-Bains</v>
      </c>
      <c r="C312" s="125">
        <f>'B) D RI'!U314</f>
        <v>771340.02758169943</v>
      </c>
      <c r="D312" s="147">
        <f>'E) Fact soc'!G318/C312</f>
        <v>19.31306565940746</v>
      </c>
      <c r="E312" s="181">
        <f>'H) Péréquation directe'!I323/C312</f>
        <v>-28.922150532961822</v>
      </c>
      <c r="F312" s="186">
        <f>'I) Dépenses thématiques'!P312</f>
        <v>-8.948236080499667</v>
      </c>
      <c r="G312" s="143">
        <f t="shared" si="30"/>
        <v>-18.557320954054028</v>
      </c>
      <c r="H312" s="181">
        <f t="shared" si="31"/>
        <v>-9.6090848735543606</v>
      </c>
      <c r="I312" s="186">
        <f t="shared" si="32"/>
        <v>-3.1090848735543606</v>
      </c>
      <c r="J312" s="74">
        <f t="shared" si="29"/>
        <v>2398161.6121212649</v>
      </c>
      <c r="K312" s="46"/>
    </row>
    <row r="313" spans="1:13" x14ac:dyDescent="0.25">
      <c r="A313" s="63">
        <f>'A) Base RI'!A315</f>
        <v>5939</v>
      </c>
      <c r="B313" s="115" t="str">
        <f>'A) Base RI'!B315</f>
        <v>Yvonand</v>
      </c>
      <c r="C313" s="126">
        <f>'B) D RI'!U315</f>
        <v>88221.551917808203</v>
      </c>
      <c r="D313" s="382">
        <f>'E) Fact soc'!G319/C313</f>
        <v>18.686743891114951</v>
      </c>
      <c r="E313" s="181">
        <f>'H) Péréquation directe'!I324/C313</f>
        <v>-3.4333473390104077</v>
      </c>
      <c r="F313" s="187">
        <f>'I) Dépenses thématiques'!P313</f>
        <v>-2.5979272825499424</v>
      </c>
      <c r="G313" s="145">
        <f t="shared" si="30"/>
        <v>12.655469269554601</v>
      </c>
      <c r="H313" s="182">
        <f t="shared" si="31"/>
        <v>15.253396552104544</v>
      </c>
      <c r="I313" s="187">
        <f t="shared" si="32"/>
        <v>0</v>
      </c>
      <c r="J313" s="133">
        <f t="shared" si="29"/>
        <v>0</v>
      </c>
      <c r="K313" s="46"/>
    </row>
    <row r="314" spans="1:13" x14ac:dyDescent="0.25">
      <c r="A314" s="40"/>
      <c r="B314" s="158">
        <f>COUNTA(B5:B313)</f>
        <v>309</v>
      </c>
      <c r="C314" s="126">
        <f>SUM(C5:C313)</f>
        <v>34873950.283385321</v>
      </c>
      <c r="D314" s="182">
        <f>'E) Fact soc'!G320/C314</f>
        <v>21.077993574768726</v>
      </c>
      <c r="E314" s="146">
        <f>'H) Péréquation directe'!I325/C314</f>
        <v>3.8042201949306027</v>
      </c>
      <c r="F314" s="146">
        <f>'I) Dépenses thématiques'!P314</f>
        <v>-4.0000000000000018</v>
      </c>
      <c r="G314" s="146">
        <f>SUM(D314:F314)</f>
        <v>20.882213769699327</v>
      </c>
      <c r="H314" s="146">
        <f t="shared" si="31"/>
        <v>24.882213769699327</v>
      </c>
      <c r="I314" s="146"/>
      <c r="J314" s="47">
        <f>SUM(J5:J313)</f>
        <v>3161346.8053568602</v>
      </c>
      <c r="L314" s="17"/>
      <c r="M314" s="17"/>
    </row>
    <row r="315" spans="1:13" x14ac:dyDescent="0.25">
      <c r="I315" s="38"/>
    </row>
    <row r="316" spans="1:13" x14ac:dyDescent="0.25">
      <c r="I316" s="38"/>
    </row>
  </sheetData>
  <sheetProtection password="CBF3" sheet="1" objects="1" scenarios="1"/>
  <mergeCells count="9">
    <mergeCell ref="C3:C4"/>
    <mergeCell ref="B3:B4"/>
    <mergeCell ref="A3:A4"/>
    <mergeCell ref="J3:J4"/>
    <mergeCell ref="H3:H4"/>
    <mergeCell ref="G3:G4"/>
    <mergeCell ref="F3:F4"/>
    <mergeCell ref="E3:E4"/>
    <mergeCell ref="D3:D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00B050"/>
  </sheetPr>
  <dimension ref="A1:U320"/>
  <sheetViews>
    <sheetView topLeftCell="C1" workbookViewId="0">
      <selection activeCell="F23" sqref="F23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1.125" style="18" customWidth="1"/>
    <col min="4" max="4" width="11.25" style="18" customWidth="1"/>
    <col min="5" max="6" width="10.125" style="18" customWidth="1"/>
    <col min="7" max="8" width="11" style="18" customWidth="1"/>
    <col min="9" max="9" width="8.625" style="18" bestFit="1" customWidth="1"/>
    <col min="10" max="10" width="12.125" style="18" bestFit="1" customWidth="1"/>
    <col min="11" max="11" width="10" style="18" customWidth="1"/>
    <col min="12" max="12" width="8.875" style="20" bestFit="1" customWidth="1"/>
    <col min="13" max="13" width="10.375" style="20" customWidth="1"/>
    <col min="14" max="14" width="10.375" style="18" customWidth="1"/>
    <col min="15" max="15" width="6.75" style="18" customWidth="1"/>
    <col min="16" max="16" width="12.25" style="18" customWidth="1"/>
    <col min="17" max="17" width="10.375" style="18" customWidth="1"/>
    <col min="18" max="18" width="8.25" style="18" customWidth="1"/>
    <col min="19" max="19" width="8.125" style="18" customWidth="1"/>
    <col min="20" max="21" width="9.625" style="18" customWidth="1"/>
    <col min="22" max="16384" width="10.75" style="18"/>
  </cols>
  <sheetData>
    <row r="1" spans="1:21" s="54" customFormat="1" ht="21" x14ac:dyDescent="0.25">
      <c r="A1" s="65" t="s">
        <v>154</v>
      </c>
      <c r="B1" s="53"/>
      <c r="C1" s="92"/>
      <c r="D1" s="92"/>
      <c r="E1" s="92"/>
      <c r="F1" s="92"/>
      <c r="G1" s="92"/>
      <c r="H1" s="92"/>
      <c r="I1" s="92"/>
      <c r="J1" s="92"/>
      <c r="K1" s="92"/>
      <c r="L1" s="179"/>
      <c r="M1" s="179"/>
      <c r="N1" s="92"/>
      <c r="O1" s="92"/>
      <c r="P1" s="92"/>
      <c r="Q1" s="92"/>
      <c r="R1" s="92"/>
      <c r="S1" s="92"/>
      <c r="T1" s="92"/>
      <c r="U1" s="18"/>
    </row>
    <row r="2" spans="1:21" x14ac:dyDescent="0.25">
      <c r="C2" s="193"/>
      <c r="D2" s="193"/>
      <c r="E2" s="193"/>
      <c r="F2" s="193"/>
      <c r="G2" s="193"/>
      <c r="H2" s="193"/>
      <c r="I2" s="193"/>
    </row>
    <row r="3" spans="1:21" x14ac:dyDescent="0.25">
      <c r="C3" s="450">
        <f>Paramètres!B6</f>
        <v>2014</v>
      </c>
      <c r="D3" s="451"/>
      <c r="E3" s="451"/>
      <c r="F3" s="451"/>
      <c r="G3" s="451"/>
      <c r="H3" s="451"/>
      <c r="I3" s="452"/>
    </row>
    <row r="4" spans="1:21" ht="30" x14ac:dyDescent="0.25">
      <c r="A4" s="424" t="s">
        <v>50</v>
      </c>
      <c r="B4" s="424" t="s">
        <v>119</v>
      </c>
      <c r="C4" s="424" t="s">
        <v>116</v>
      </c>
      <c r="D4" s="453" t="s">
        <v>173</v>
      </c>
      <c r="E4" s="424" t="s">
        <v>490</v>
      </c>
      <c r="F4" s="424" t="s">
        <v>283</v>
      </c>
      <c r="G4" s="424" t="s">
        <v>284</v>
      </c>
      <c r="H4" s="424" t="s">
        <v>394</v>
      </c>
      <c r="I4" s="83" t="s">
        <v>405</v>
      </c>
      <c r="J4" s="83" t="s">
        <v>405</v>
      </c>
      <c r="K4" s="436" t="s">
        <v>510</v>
      </c>
      <c r="L4" s="443" t="s">
        <v>393</v>
      </c>
      <c r="M4" s="443" t="s">
        <v>296</v>
      </c>
      <c r="N4" s="424" t="s">
        <v>297</v>
      </c>
      <c r="O4" s="438" t="s">
        <v>153</v>
      </c>
      <c r="P4" s="149" t="s">
        <v>154</v>
      </c>
      <c r="Q4" s="436" t="s">
        <v>406</v>
      </c>
      <c r="R4" s="424" t="s">
        <v>155</v>
      </c>
      <c r="S4" s="424" t="s">
        <v>287</v>
      </c>
      <c r="T4" s="194"/>
    </row>
    <row r="5" spans="1:21" ht="30" x14ac:dyDescent="0.25">
      <c r="A5" s="426"/>
      <c r="B5" s="426"/>
      <c r="C5" s="426"/>
      <c r="D5" s="454"/>
      <c r="E5" s="426"/>
      <c r="F5" s="426"/>
      <c r="G5" s="426"/>
      <c r="H5" s="426"/>
      <c r="I5" s="84">
        <f>Paramètres!B6</f>
        <v>2014</v>
      </c>
      <c r="J5" s="136" t="str">
        <f>Paramètres!B5</f>
        <v>Acomptes 2017</v>
      </c>
      <c r="K5" s="445"/>
      <c r="L5" s="449"/>
      <c r="M5" s="449"/>
      <c r="N5" s="426"/>
      <c r="O5" s="448"/>
      <c r="P5" s="156">
        <f>Paramètres!B49</f>
        <v>89.939824006084393</v>
      </c>
      <c r="Q5" s="445"/>
      <c r="R5" s="426"/>
      <c r="S5" s="426"/>
      <c r="T5" s="185"/>
    </row>
    <row r="6" spans="1:21" x14ac:dyDescent="0.25">
      <c r="A6" s="57">
        <f>'A) Base RI'!A7</f>
        <v>5401</v>
      </c>
      <c r="B6" s="71" t="str">
        <f>'A) Base RI'!B7</f>
        <v>Aigle</v>
      </c>
      <c r="C6" s="201">
        <v>4122580.1479881797</v>
      </c>
      <c r="D6" s="202">
        <v>-3265142.7849984588</v>
      </c>
      <c r="E6" s="203">
        <v>0</v>
      </c>
      <c r="F6" s="202">
        <v>0</v>
      </c>
      <c r="G6" s="202">
        <v>0</v>
      </c>
      <c r="H6" s="204">
        <f>SUM(C6:G6)</f>
        <v>857437.36298972089</v>
      </c>
      <c r="I6" s="271">
        <v>256314.41797530872</v>
      </c>
      <c r="J6" s="124">
        <f>'B) D RI'!U7</f>
        <v>260845.44622222218</v>
      </c>
      <c r="K6" s="91">
        <f>H6/I6</f>
        <v>3.3452560716749047</v>
      </c>
      <c r="L6" s="117">
        <f>'B) D RI'!S7</f>
        <v>67.5</v>
      </c>
      <c r="M6" s="117">
        <f>L6-K6</f>
        <v>64.15474392832509</v>
      </c>
      <c r="N6" s="163">
        <f>'J) Plafonnement effort'!G5+'J) Plafonnement effort'!H5-'K) Plafonnement aide'!I5</f>
        <v>-1.0462341186410811</v>
      </c>
      <c r="O6" s="163">
        <f>M6+N6</f>
        <v>63.108509809684008</v>
      </c>
      <c r="P6" s="59">
        <f>IF(O6&gt;$P$5,$P$5-O6,0)</f>
        <v>0</v>
      </c>
      <c r="Q6" s="132">
        <f>P6*J6</f>
        <v>0</v>
      </c>
      <c r="R6" s="195">
        <f>O6+P6</f>
        <v>63.108509809684008</v>
      </c>
      <c r="S6" s="163">
        <f>R6-L6</f>
        <v>-4.3914901903159915</v>
      </c>
      <c r="T6" s="196"/>
      <c r="U6" s="38"/>
    </row>
    <row r="7" spans="1:21" x14ac:dyDescent="0.25">
      <c r="A7" s="61">
        <f>'A) Base RI'!A8</f>
        <v>5402</v>
      </c>
      <c r="B7" s="72" t="str">
        <f>'A) Base RI'!B8</f>
        <v>Bex</v>
      </c>
      <c r="C7" s="205">
        <v>2822810.5499320086</v>
      </c>
      <c r="D7" s="206">
        <v>-2876904.7944065304</v>
      </c>
      <c r="E7" s="207">
        <v>0</v>
      </c>
      <c r="F7" s="206">
        <v>0</v>
      </c>
      <c r="G7" s="206">
        <v>0</v>
      </c>
      <c r="H7" s="208">
        <f t="shared" ref="H7:H70" si="0">SUM(C7:G7)</f>
        <v>-54094.244474521838</v>
      </c>
      <c r="I7" s="272">
        <v>163724.47859154927</v>
      </c>
      <c r="J7" s="125">
        <f>'B) D RI'!U8</f>
        <v>175890.90239436619</v>
      </c>
      <c r="K7" s="86">
        <f t="shared" ref="K7:K61" si="1">H7/I7</f>
        <v>-0.33039802563349829</v>
      </c>
      <c r="L7" s="43">
        <f>'B) D RI'!S8</f>
        <v>71</v>
      </c>
      <c r="M7" s="43">
        <f t="shared" ref="M7:M60" si="2">L7-K7</f>
        <v>71.3303980256335</v>
      </c>
      <c r="N7" s="166">
        <f>'J) Plafonnement effort'!G6+'J) Plafonnement effort'!H6-'K) Plafonnement aide'!I6</f>
        <v>-5.0811478525003526</v>
      </c>
      <c r="O7" s="166">
        <f t="shared" ref="O7:O60" si="3">M7+N7</f>
        <v>66.249250173133149</v>
      </c>
      <c r="P7" s="59">
        <f t="shared" ref="P7:P60" si="4">IF(O7&gt;$P$5,$P$5-O7,0)</f>
        <v>0</v>
      </c>
      <c r="Q7" s="74">
        <f t="shared" ref="Q7:Q62" si="5">P7*J7</f>
        <v>0</v>
      </c>
      <c r="R7" s="197">
        <f t="shared" ref="R7:R60" si="6">O7+P7</f>
        <v>66.249250173133149</v>
      </c>
      <c r="S7" s="166">
        <f t="shared" ref="S7:S60" si="7">R7-L7</f>
        <v>-4.7507498268668513</v>
      </c>
      <c r="T7" s="196"/>
      <c r="U7" s="38"/>
    </row>
    <row r="8" spans="1:21" x14ac:dyDescent="0.25">
      <c r="A8" s="61">
        <f>'A) Base RI'!A9</f>
        <v>5403</v>
      </c>
      <c r="B8" s="72" t="str">
        <f>'A) Base RI'!B9</f>
        <v>Chessel</v>
      </c>
      <c r="C8" s="205">
        <v>129235.49035474203</v>
      </c>
      <c r="D8" s="206">
        <v>-77606.970977721445</v>
      </c>
      <c r="E8" s="207">
        <v>0</v>
      </c>
      <c r="F8" s="206">
        <v>0</v>
      </c>
      <c r="G8" s="206">
        <v>0</v>
      </c>
      <c r="H8" s="208">
        <f>SUM(C8:G8)</f>
        <v>51628.519377020581</v>
      </c>
      <c r="I8" s="272">
        <v>7826.6322368421061</v>
      </c>
      <c r="J8" s="125">
        <f>'B) D RI'!U9</f>
        <v>8284.5784210526326</v>
      </c>
      <c r="K8" s="86">
        <f t="shared" si="1"/>
        <v>6.5965178654991572</v>
      </c>
      <c r="L8" s="43">
        <f>'B) D RI'!S9</f>
        <v>76</v>
      </c>
      <c r="M8" s="43">
        <f t="shared" si="2"/>
        <v>69.403482134500848</v>
      </c>
      <c r="N8" s="166">
        <f>'J) Plafonnement effort'!G7+'J) Plafonnement effort'!H7-'K) Plafonnement aide'!I7</f>
        <v>0.49853755501351937</v>
      </c>
      <c r="O8" s="166">
        <f t="shared" si="3"/>
        <v>69.902019689514361</v>
      </c>
      <c r="P8" s="59">
        <f t="shared" si="4"/>
        <v>0</v>
      </c>
      <c r="Q8" s="74">
        <f t="shared" si="5"/>
        <v>0</v>
      </c>
      <c r="R8" s="197">
        <f t="shared" si="6"/>
        <v>69.902019689514361</v>
      </c>
      <c r="S8" s="166">
        <f t="shared" si="7"/>
        <v>-6.0979803104856387</v>
      </c>
      <c r="T8" s="196"/>
      <c r="U8" s="38"/>
    </row>
    <row r="9" spans="1:21" x14ac:dyDescent="0.25">
      <c r="A9" s="61">
        <f>'A) Base RI'!A10</f>
        <v>5404</v>
      </c>
      <c r="B9" s="72" t="str">
        <f>'A) Base RI'!B10</f>
        <v>Corbeyrier</v>
      </c>
      <c r="C9" s="205">
        <v>265408.84956047119</v>
      </c>
      <c r="D9" s="206">
        <v>79954.32530378626</v>
      </c>
      <c r="E9" s="207">
        <v>0</v>
      </c>
      <c r="F9" s="206">
        <v>0</v>
      </c>
      <c r="G9" s="206">
        <v>0</v>
      </c>
      <c r="H9" s="208">
        <f t="shared" si="0"/>
        <v>345363.17486425745</v>
      </c>
      <c r="I9" s="272">
        <v>12723.602380952381</v>
      </c>
      <c r="J9" s="125">
        <f>'B) D RI'!U10</f>
        <v>9966.1885714285709</v>
      </c>
      <c r="K9" s="86">
        <f t="shared" si="1"/>
        <v>27.143505787423585</v>
      </c>
      <c r="L9" s="43">
        <f>'B) D RI'!S10</f>
        <v>70</v>
      </c>
      <c r="M9" s="43">
        <f t="shared" si="2"/>
        <v>42.856494212576415</v>
      </c>
      <c r="N9" s="166">
        <f>'J) Plafonnement effort'!G8+'J) Plafonnement effort'!H8-'K) Plafonnement aide'!I8</f>
        <v>-4.4605853801377151</v>
      </c>
      <c r="O9" s="166">
        <f t="shared" si="3"/>
        <v>38.3959088324387</v>
      </c>
      <c r="P9" s="59">
        <f t="shared" si="4"/>
        <v>0</v>
      </c>
      <c r="Q9" s="74">
        <f t="shared" si="5"/>
        <v>0</v>
      </c>
      <c r="R9" s="197">
        <f t="shared" si="6"/>
        <v>38.3959088324387</v>
      </c>
      <c r="S9" s="166">
        <f t="shared" si="7"/>
        <v>-31.6040911675613</v>
      </c>
      <c r="T9" s="196"/>
      <c r="U9" s="38"/>
    </row>
    <row r="10" spans="1:21" x14ac:dyDescent="0.25">
      <c r="A10" s="61">
        <f>'A) Base RI'!A11</f>
        <v>5405</v>
      </c>
      <c r="B10" s="72" t="str">
        <f>'A) Base RI'!B11</f>
        <v>Gryon</v>
      </c>
      <c r="C10" s="205">
        <v>1313615.2599308239</v>
      </c>
      <c r="D10" s="206">
        <v>1053388</v>
      </c>
      <c r="E10" s="207">
        <v>0</v>
      </c>
      <c r="F10" s="206">
        <v>0</v>
      </c>
      <c r="G10" s="206">
        <v>0</v>
      </c>
      <c r="H10" s="208">
        <f t="shared" si="0"/>
        <v>2367003.2599308239</v>
      </c>
      <c r="I10" s="272">
        <v>67187.701777777766</v>
      </c>
      <c r="J10" s="125">
        <f>'B) D RI'!U11</f>
        <v>72189.140533333324</v>
      </c>
      <c r="K10" s="86">
        <f t="shared" si="1"/>
        <v>35.229710159749899</v>
      </c>
      <c r="L10" s="43">
        <f>'B) D RI'!S11</f>
        <v>75</v>
      </c>
      <c r="M10" s="43">
        <f t="shared" si="2"/>
        <v>39.770289840250101</v>
      </c>
      <c r="N10" s="166">
        <f>'J) Plafonnement effort'!G9+'J) Plafonnement effort'!H9-'K) Plafonnement aide'!I9</f>
        <v>29.90289494718175</v>
      </c>
      <c r="O10" s="166">
        <f t="shared" si="3"/>
        <v>69.67318478743185</v>
      </c>
      <c r="P10" s="59">
        <f t="shared" si="4"/>
        <v>0</v>
      </c>
      <c r="Q10" s="74">
        <f t="shared" si="5"/>
        <v>0</v>
      </c>
      <c r="R10" s="197">
        <f t="shared" si="6"/>
        <v>69.67318478743185</v>
      </c>
      <c r="S10" s="166">
        <f t="shared" si="7"/>
        <v>-5.3268152125681496</v>
      </c>
      <c r="T10" s="196"/>
      <c r="U10" s="38"/>
    </row>
    <row r="11" spans="1:21" x14ac:dyDescent="0.25">
      <c r="A11" s="61">
        <f>'A) Base RI'!A12</f>
        <v>5406</v>
      </c>
      <c r="B11" s="72" t="str">
        <f>'A) Base RI'!B12</f>
        <v>Lavey-Morcles</v>
      </c>
      <c r="C11" s="205">
        <v>323992.7350432906</v>
      </c>
      <c r="D11" s="206">
        <v>-128985.59725352569</v>
      </c>
      <c r="E11" s="207">
        <v>0</v>
      </c>
      <c r="F11" s="206">
        <v>0</v>
      </c>
      <c r="G11" s="206">
        <v>0</v>
      </c>
      <c r="H11" s="208">
        <f t="shared" si="0"/>
        <v>195007.13778976491</v>
      </c>
      <c r="I11" s="272">
        <v>19209.951419284946</v>
      </c>
      <c r="J11" s="125">
        <f>'B) D RI'!U12</f>
        <v>19831.448851570964</v>
      </c>
      <c r="K11" s="86">
        <f t="shared" si="1"/>
        <v>10.151360278506299</v>
      </c>
      <c r="L11" s="43">
        <f>'B) D RI'!S12</f>
        <v>71</v>
      </c>
      <c r="M11" s="43">
        <f t="shared" si="2"/>
        <v>60.848639721493697</v>
      </c>
      <c r="N11" s="166">
        <f>'J) Plafonnement effort'!G10+'J) Plafonnement effort'!H10-'K) Plafonnement aide'!I10</f>
        <v>7.1371139393761549</v>
      </c>
      <c r="O11" s="166">
        <f t="shared" si="3"/>
        <v>67.985753660869847</v>
      </c>
      <c r="P11" s="59">
        <f t="shared" si="4"/>
        <v>0</v>
      </c>
      <c r="Q11" s="74">
        <f t="shared" si="5"/>
        <v>0</v>
      </c>
      <c r="R11" s="197">
        <f t="shared" si="6"/>
        <v>67.985753660869847</v>
      </c>
      <c r="S11" s="166">
        <f t="shared" si="7"/>
        <v>-3.0142463391301533</v>
      </c>
      <c r="T11" s="196"/>
      <c r="U11" s="38"/>
    </row>
    <row r="12" spans="1:21" x14ac:dyDescent="0.25">
      <c r="A12" s="61">
        <f>'A) Base RI'!A13</f>
        <v>5407</v>
      </c>
      <c r="B12" s="72" t="str">
        <f>'A) Base RI'!B13</f>
        <v>Leysin</v>
      </c>
      <c r="C12" s="205">
        <v>1862357.5924074883</v>
      </c>
      <c r="D12" s="206">
        <v>-1380508.7875419282</v>
      </c>
      <c r="E12" s="207">
        <v>0</v>
      </c>
      <c r="F12" s="206">
        <v>0</v>
      </c>
      <c r="G12" s="206">
        <v>0</v>
      </c>
      <c r="H12" s="208">
        <f t="shared" si="0"/>
        <v>481848.80486556003</v>
      </c>
      <c r="I12" s="272">
        <v>99721.08303418805</v>
      </c>
      <c r="J12" s="125">
        <f>'B) D RI'!U13</f>
        <v>102799.09089743589</v>
      </c>
      <c r="K12" s="86">
        <f t="shared" si="1"/>
        <v>4.8319652194347364</v>
      </c>
      <c r="L12" s="43">
        <f>'B) D RI'!S13</f>
        <v>78</v>
      </c>
      <c r="M12" s="43">
        <f t="shared" si="2"/>
        <v>73.168034780565264</v>
      </c>
      <c r="N12" s="166">
        <f>'J) Plafonnement effort'!G11+'J) Plafonnement effort'!H11-'K) Plafonnement aide'!I11</f>
        <v>-7.2553033920995933</v>
      </c>
      <c r="O12" s="166">
        <f t="shared" si="3"/>
        <v>65.912731388465673</v>
      </c>
      <c r="P12" s="59">
        <f t="shared" si="4"/>
        <v>0</v>
      </c>
      <c r="Q12" s="74">
        <f t="shared" si="5"/>
        <v>0</v>
      </c>
      <c r="R12" s="197">
        <f t="shared" si="6"/>
        <v>65.912731388465673</v>
      </c>
      <c r="S12" s="166">
        <f t="shared" si="7"/>
        <v>-12.087268611534327</v>
      </c>
      <c r="T12" s="196"/>
      <c r="U12" s="38"/>
    </row>
    <row r="13" spans="1:21" x14ac:dyDescent="0.25">
      <c r="A13" s="61">
        <f>'A) Base RI'!A14</f>
        <v>5408</v>
      </c>
      <c r="B13" s="72" t="str">
        <f>'A) Base RI'!B14</f>
        <v>Noville</v>
      </c>
      <c r="C13" s="205">
        <v>477849.49888233352</v>
      </c>
      <c r="D13" s="206">
        <v>50191.371432698681</v>
      </c>
      <c r="E13" s="207">
        <v>0</v>
      </c>
      <c r="F13" s="206">
        <v>0</v>
      </c>
      <c r="G13" s="206">
        <v>0</v>
      </c>
      <c r="H13" s="208">
        <f t="shared" si="0"/>
        <v>528040.8703150322</v>
      </c>
      <c r="I13" s="272">
        <v>27782.072271762208</v>
      </c>
      <c r="J13" s="125">
        <f>'B) D RI'!U14</f>
        <v>34745.229256900217</v>
      </c>
      <c r="K13" s="86">
        <f t="shared" si="1"/>
        <v>19.006532887459755</v>
      </c>
      <c r="L13" s="43">
        <f>'B) D RI'!S14</f>
        <v>78.5</v>
      </c>
      <c r="M13" s="43">
        <f t="shared" si="2"/>
        <v>59.493467112540245</v>
      </c>
      <c r="N13" s="166">
        <f>'J) Plafonnement effort'!G12+'J) Plafonnement effort'!H12-'K) Plafonnement aide'!I12</f>
        <v>24.95374638772774</v>
      </c>
      <c r="O13" s="166">
        <f t="shared" si="3"/>
        <v>84.447213500267992</v>
      </c>
      <c r="P13" s="59">
        <f t="shared" si="4"/>
        <v>0</v>
      </c>
      <c r="Q13" s="74">
        <f t="shared" si="5"/>
        <v>0</v>
      </c>
      <c r="R13" s="197">
        <f t="shared" si="6"/>
        <v>84.447213500267992</v>
      </c>
      <c r="S13" s="166">
        <f t="shared" si="7"/>
        <v>5.947213500267992</v>
      </c>
      <c r="T13" s="196"/>
      <c r="U13" s="38"/>
    </row>
    <row r="14" spans="1:21" x14ac:dyDescent="0.25">
      <c r="A14" s="61">
        <f>'A) Base RI'!A15</f>
        <v>5409</v>
      </c>
      <c r="B14" s="72" t="str">
        <f>'A) Base RI'!B15</f>
        <v>Ollon</v>
      </c>
      <c r="C14" s="205">
        <v>6535324.4103137515</v>
      </c>
      <c r="D14" s="206">
        <v>3794137</v>
      </c>
      <c r="E14" s="207">
        <v>0</v>
      </c>
      <c r="F14" s="206">
        <v>0</v>
      </c>
      <c r="G14" s="206">
        <v>0</v>
      </c>
      <c r="H14" s="208">
        <f t="shared" si="0"/>
        <v>10329461.410313752</v>
      </c>
      <c r="I14" s="272">
        <v>373016.06252262433</v>
      </c>
      <c r="J14" s="125">
        <f>'B) D RI'!U15</f>
        <v>485365.10493778286</v>
      </c>
      <c r="K14" s="86">
        <f t="shared" si="1"/>
        <v>27.691733542137332</v>
      </c>
      <c r="L14" s="43">
        <f>'B) D RI'!S15</f>
        <v>68</v>
      </c>
      <c r="M14" s="43">
        <f t="shared" si="2"/>
        <v>40.308266457862672</v>
      </c>
      <c r="N14" s="166">
        <f>'J) Plafonnement effort'!G13+'J) Plafonnement effort'!H13-'K) Plafonnement aide'!I13</f>
        <v>31.308341646768625</v>
      </c>
      <c r="O14" s="166">
        <f t="shared" si="3"/>
        <v>71.616608104631297</v>
      </c>
      <c r="P14" s="59">
        <f t="shared" si="4"/>
        <v>0</v>
      </c>
      <c r="Q14" s="74">
        <f t="shared" si="5"/>
        <v>0</v>
      </c>
      <c r="R14" s="197">
        <f t="shared" si="6"/>
        <v>71.616608104631297</v>
      </c>
      <c r="S14" s="166">
        <f t="shared" si="7"/>
        <v>3.6166081046312968</v>
      </c>
      <c r="T14" s="196"/>
      <c r="U14" s="38"/>
    </row>
    <row r="15" spans="1:21" x14ac:dyDescent="0.25">
      <c r="A15" s="61">
        <f>'A) Base RI'!A16</f>
        <v>5410</v>
      </c>
      <c r="B15" s="72" t="str">
        <f>'A) Base RI'!B16</f>
        <v>Ormont-Dessous</v>
      </c>
      <c r="C15" s="205">
        <v>554894.93284387083</v>
      </c>
      <c r="D15" s="206">
        <v>78770.804408504104</v>
      </c>
      <c r="E15" s="207">
        <v>0</v>
      </c>
      <c r="F15" s="206">
        <v>0</v>
      </c>
      <c r="G15" s="206">
        <v>0</v>
      </c>
      <c r="H15" s="208">
        <f t="shared" si="0"/>
        <v>633665.73725237488</v>
      </c>
      <c r="I15" s="272">
        <v>31634.392526539275</v>
      </c>
      <c r="J15" s="125">
        <f>'B) D RI'!U16</f>
        <v>35234.198174097655</v>
      </c>
      <c r="K15" s="86">
        <f t="shared" si="1"/>
        <v>20.030912138450866</v>
      </c>
      <c r="L15" s="43">
        <f>'B) D RI'!S16</f>
        <v>78.5</v>
      </c>
      <c r="M15" s="43">
        <f t="shared" si="2"/>
        <v>58.469087861549134</v>
      </c>
      <c r="N15" s="166">
        <f>'J) Plafonnement effort'!G14+'J) Plafonnement effort'!H14-'K) Plafonnement aide'!I14</f>
        <v>2.4579605697485114</v>
      </c>
      <c r="O15" s="166">
        <f t="shared" si="3"/>
        <v>60.927048431297649</v>
      </c>
      <c r="P15" s="59">
        <f t="shared" si="4"/>
        <v>0</v>
      </c>
      <c r="Q15" s="74">
        <f t="shared" si="5"/>
        <v>0</v>
      </c>
      <c r="R15" s="197">
        <f t="shared" si="6"/>
        <v>60.927048431297649</v>
      </c>
      <c r="S15" s="166">
        <f t="shared" si="7"/>
        <v>-17.572951568702351</v>
      </c>
      <c r="T15" s="196"/>
      <c r="U15" s="38"/>
    </row>
    <row r="16" spans="1:21" x14ac:dyDescent="0.25">
      <c r="A16" s="61">
        <f>'A) Base RI'!A17</f>
        <v>5411</v>
      </c>
      <c r="B16" s="72" t="str">
        <f>'A) Base RI'!B17</f>
        <v>Ormont-Dessus</v>
      </c>
      <c r="C16" s="205">
        <v>1256992.7028684313</v>
      </c>
      <c r="D16" s="206">
        <v>995639</v>
      </c>
      <c r="E16" s="207">
        <v>0</v>
      </c>
      <c r="F16" s="206">
        <v>0</v>
      </c>
      <c r="G16" s="206">
        <v>0</v>
      </c>
      <c r="H16" s="208">
        <f t="shared" si="0"/>
        <v>2252631.7028684313</v>
      </c>
      <c r="I16" s="272">
        <v>68022.060675675675</v>
      </c>
      <c r="J16" s="125">
        <f>'B) D RI'!U17</f>
        <v>71790.213859649128</v>
      </c>
      <c r="K16" s="86">
        <f t="shared" si="1"/>
        <v>33.11619319515794</v>
      </c>
      <c r="L16" s="43">
        <f>'B) D RI'!S17</f>
        <v>76</v>
      </c>
      <c r="M16" s="43">
        <f t="shared" si="2"/>
        <v>42.88380680484206</v>
      </c>
      <c r="N16" s="166">
        <f>'J) Plafonnement effort'!G15+'J) Plafonnement effort'!H15-'K) Plafonnement aide'!I15</f>
        <v>22.609852947397833</v>
      </c>
      <c r="O16" s="166">
        <f t="shared" si="3"/>
        <v>65.493659752239893</v>
      </c>
      <c r="P16" s="59">
        <f t="shared" si="4"/>
        <v>0</v>
      </c>
      <c r="Q16" s="74">
        <f t="shared" si="5"/>
        <v>0</v>
      </c>
      <c r="R16" s="197">
        <f t="shared" si="6"/>
        <v>65.493659752239893</v>
      </c>
      <c r="S16" s="166">
        <f t="shared" si="7"/>
        <v>-10.506340247760107</v>
      </c>
      <c r="T16" s="196"/>
      <c r="U16" s="38"/>
    </row>
    <row r="17" spans="1:21" x14ac:dyDescent="0.25">
      <c r="A17" s="61">
        <f>'A) Base RI'!A18</f>
        <v>5412</v>
      </c>
      <c r="B17" s="72" t="str">
        <f>'A) Base RI'!B18</f>
        <v>Rennaz</v>
      </c>
      <c r="C17" s="205">
        <v>549176.74891233013</v>
      </c>
      <c r="D17" s="206">
        <v>201108.57118251681</v>
      </c>
      <c r="E17" s="207">
        <v>0</v>
      </c>
      <c r="F17" s="206">
        <v>0</v>
      </c>
      <c r="G17" s="206">
        <v>0</v>
      </c>
      <c r="H17" s="208">
        <f t="shared" si="0"/>
        <v>750285.32009484689</v>
      </c>
      <c r="I17" s="272">
        <v>24549.662992125981</v>
      </c>
      <c r="J17" s="125">
        <f>'B) D RI'!U18</f>
        <v>26501.739703703701</v>
      </c>
      <c r="K17" s="86">
        <f t="shared" si="1"/>
        <v>30.561939703021267</v>
      </c>
      <c r="L17" s="43">
        <f>'B) D RI'!S18</f>
        <v>67.5</v>
      </c>
      <c r="M17" s="43">
        <f t="shared" si="2"/>
        <v>36.938060296978733</v>
      </c>
      <c r="N17" s="166">
        <f>'J) Plafonnement effort'!G16+'J) Plafonnement effort'!H16-'K) Plafonnement aide'!I16</f>
        <v>27.14318353710766</v>
      </c>
      <c r="O17" s="166">
        <f t="shared" si="3"/>
        <v>64.081243834086393</v>
      </c>
      <c r="P17" s="59">
        <f t="shared" si="4"/>
        <v>0</v>
      </c>
      <c r="Q17" s="74">
        <f t="shared" si="5"/>
        <v>0</v>
      </c>
      <c r="R17" s="197">
        <f t="shared" si="6"/>
        <v>64.081243834086393</v>
      </c>
      <c r="S17" s="166">
        <f t="shared" si="7"/>
        <v>-3.4187561659136065</v>
      </c>
      <c r="T17" s="196"/>
      <c r="U17" s="38"/>
    </row>
    <row r="18" spans="1:21" x14ac:dyDescent="0.25">
      <c r="A18" s="61">
        <f>'A) Base RI'!A19</f>
        <v>5413</v>
      </c>
      <c r="B18" s="72" t="str">
        <f>'A) Base RI'!B19</f>
        <v>Roche</v>
      </c>
      <c r="C18" s="205">
        <v>690708.33068901952</v>
      </c>
      <c r="D18" s="206">
        <v>-182977.80339476722</v>
      </c>
      <c r="E18" s="207">
        <v>0</v>
      </c>
      <c r="F18" s="206">
        <v>0</v>
      </c>
      <c r="G18" s="206">
        <v>0</v>
      </c>
      <c r="H18" s="208">
        <f t="shared" si="0"/>
        <v>507730.5272942523</v>
      </c>
      <c r="I18" s="272">
        <v>35383.920882352941</v>
      </c>
      <c r="J18" s="125">
        <f>'B) D RI'!U19</f>
        <v>34861.221617647054</v>
      </c>
      <c r="K18" s="86">
        <f t="shared" si="1"/>
        <v>14.349187841064648</v>
      </c>
      <c r="L18" s="43">
        <f>'B) D RI'!S19</f>
        <v>68</v>
      </c>
      <c r="M18" s="43">
        <f t="shared" si="2"/>
        <v>53.650812158935352</v>
      </c>
      <c r="N18" s="166">
        <f>'J) Plafonnement effort'!G17+'J) Plafonnement effort'!H17-'K) Plafonnement aide'!I17</f>
        <v>13.872303958778076</v>
      </c>
      <c r="O18" s="166">
        <f t="shared" si="3"/>
        <v>67.523116117713428</v>
      </c>
      <c r="P18" s="59">
        <f t="shared" si="4"/>
        <v>0</v>
      </c>
      <c r="Q18" s="74">
        <f t="shared" si="5"/>
        <v>0</v>
      </c>
      <c r="R18" s="197">
        <f t="shared" si="6"/>
        <v>67.523116117713428</v>
      </c>
      <c r="S18" s="166">
        <f t="shared" si="7"/>
        <v>-0.47688388228657175</v>
      </c>
      <c r="T18" s="196"/>
      <c r="U18" s="38"/>
    </row>
    <row r="19" spans="1:21" x14ac:dyDescent="0.25">
      <c r="A19" s="61">
        <f>'A) Base RI'!A20</f>
        <v>5414</v>
      </c>
      <c r="B19" s="72" t="str">
        <f>'A) Base RI'!B20</f>
        <v>Villeneuve</v>
      </c>
      <c r="C19" s="205">
        <v>3359445.328584237</v>
      </c>
      <c r="D19" s="206">
        <v>437507.72565263184</v>
      </c>
      <c r="E19" s="207">
        <v>0</v>
      </c>
      <c r="F19" s="206">
        <v>0</v>
      </c>
      <c r="G19" s="206">
        <v>0</v>
      </c>
      <c r="H19" s="208">
        <f t="shared" si="0"/>
        <v>3796953.0542368689</v>
      </c>
      <c r="I19" s="272">
        <v>178367.91043478262</v>
      </c>
      <c r="J19" s="125">
        <f>'B) D RI'!U20</f>
        <v>168009.32057971013</v>
      </c>
      <c r="K19" s="86">
        <f t="shared" si="1"/>
        <v>21.287198156784843</v>
      </c>
      <c r="L19" s="43">
        <f>'B) D RI'!S20</f>
        <v>69</v>
      </c>
      <c r="M19" s="43">
        <f t="shared" si="2"/>
        <v>47.712801843215161</v>
      </c>
      <c r="N19" s="166">
        <f>'J) Plafonnement effort'!G18+'J) Plafonnement effort'!H18-'K) Plafonnement aide'!I18</f>
        <v>13.214338407425096</v>
      </c>
      <c r="O19" s="166">
        <f t="shared" si="3"/>
        <v>60.927140250640257</v>
      </c>
      <c r="P19" s="59">
        <f t="shared" si="4"/>
        <v>0</v>
      </c>
      <c r="Q19" s="74">
        <f t="shared" si="5"/>
        <v>0</v>
      </c>
      <c r="R19" s="197">
        <f t="shared" si="6"/>
        <v>60.927140250640257</v>
      </c>
      <c r="S19" s="166">
        <f t="shared" si="7"/>
        <v>-8.0728597493597434</v>
      </c>
      <c r="T19" s="196"/>
      <c r="U19" s="38"/>
    </row>
    <row r="20" spans="1:21" x14ac:dyDescent="0.25">
      <c r="A20" s="61">
        <f>'A) Base RI'!A21</f>
        <v>5415</v>
      </c>
      <c r="B20" s="72" t="str">
        <f>'A) Base RI'!B21</f>
        <v>Yvorne</v>
      </c>
      <c r="C20" s="205">
        <v>704376.13624403998</v>
      </c>
      <c r="D20" s="206">
        <v>521318.50903960201</v>
      </c>
      <c r="E20" s="207">
        <v>0</v>
      </c>
      <c r="F20" s="206">
        <v>0</v>
      </c>
      <c r="G20" s="206">
        <v>0</v>
      </c>
      <c r="H20" s="208">
        <f t="shared" si="0"/>
        <v>1225694.645283642</v>
      </c>
      <c r="I20" s="272">
        <v>40073.521995133822</v>
      </c>
      <c r="J20" s="125">
        <f>'B) D RI'!U21</f>
        <v>43055.973722627736</v>
      </c>
      <c r="K20" s="86">
        <f t="shared" si="1"/>
        <v>30.586147267826362</v>
      </c>
      <c r="L20" s="43">
        <f>'B) D RI'!S21</f>
        <v>68.5</v>
      </c>
      <c r="M20" s="43">
        <f t="shared" si="2"/>
        <v>37.913852732173638</v>
      </c>
      <c r="N20" s="166">
        <f>'J) Plafonnement effort'!G19+'J) Plafonnement effort'!H19-'K) Plafonnement aide'!I19</f>
        <v>28.042101358547765</v>
      </c>
      <c r="O20" s="166">
        <f t="shared" si="3"/>
        <v>65.955954090721406</v>
      </c>
      <c r="P20" s="59">
        <f t="shared" si="4"/>
        <v>0</v>
      </c>
      <c r="Q20" s="74">
        <f t="shared" si="5"/>
        <v>0</v>
      </c>
      <c r="R20" s="197">
        <f t="shared" si="6"/>
        <v>65.955954090721406</v>
      </c>
      <c r="S20" s="166">
        <f t="shared" si="7"/>
        <v>-2.5440459092785943</v>
      </c>
      <c r="T20" s="196"/>
      <c r="U20" s="38"/>
    </row>
    <row r="21" spans="1:21" x14ac:dyDescent="0.25">
      <c r="A21" s="61">
        <f>'A) Base RI'!A22</f>
        <v>5421</v>
      </c>
      <c r="B21" s="72" t="str">
        <f>'A) Base RI'!B22</f>
        <v>Apples</v>
      </c>
      <c r="C21" s="205">
        <v>811358.83901635837</v>
      </c>
      <c r="D21" s="206">
        <v>492065.73152268422</v>
      </c>
      <c r="E21" s="207">
        <v>0</v>
      </c>
      <c r="F21" s="206">
        <v>0</v>
      </c>
      <c r="G21" s="206">
        <v>0</v>
      </c>
      <c r="H21" s="208">
        <f t="shared" si="0"/>
        <v>1303424.5705390426</v>
      </c>
      <c r="I21" s="272">
        <v>49174.834507042251</v>
      </c>
      <c r="J21" s="125">
        <f>'B) D RI'!U22</f>
        <v>57391.691408450701</v>
      </c>
      <c r="K21" s="86">
        <f t="shared" si="1"/>
        <v>26.505926936111624</v>
      </c>
      <c r="L21" s="43">
        <f>'B) D RI'!S22</f>
        <v>71</v>
      </c>
      <c r="M21" s="43">
        <f t="shared" si="2"/>
        <v>44.494073063888379</v>
      </c>
      <c r="N21" s="166">
        <f>'J) Plafonnement effort'!G20+'J) Plafonnement effort'!H20-'K) Plafonnement aide'!I20</f>
        <v>31.31593967879914</v>
      </c>
      <c r="O21" s="166">
        <f t="shared" si="3"/>
        <v>75.810012742687519</v>
      </c>
      <c r="P21" s="59">
        <f t="shared" si="4"/>
        <v>0</v>
      </c>
      <c r="Q21" s="74">
        <f t="shared" si="5"/>
        <v>0</v>
      </c>
      <c r="R21" s="197">
        <f t="shared" si="6"/>
        <v>75.810012742687519</v>
      </c>
      <c r="S21" s="166">
        <f t="shared" si="7"/>
        <v>4.810012742687519</v>
      </c>
      <c r="T21" s="196"/>
      <c r="U21" s="38"/>
    </row>
    <row r="22" spans="1:21" x14ac:dyDescent="0.25">
      <c r="A22" s="61">
        <f>'A) Base RI'!A23</f>
        <v>5422</v>
      </c>
      <c r="B22" s="72" t="str">
        <f>'A) Base RI'!B23</f>
        <v>Aubonne</v>
      </c>
      <c r="C22" s="205">
        <v>6014833.2344622798</v>
      </c>
      <c r="D22" s="206">
        <v>3245271</v>
      </c>
      <c r="E22" s="207">
        <v>0</v>
      </c>
      <c r="F22" s="206">
        <v>0</v>
      </c>
      <c r="G22" s="206">
        <v>0</v>
      </c>
      <c r="H22" s="208">
        <f t="shared" si="0"/>
        <v>9260104.2344622798</v>
      </c>
      <c r="I22" s="272">
        <v>256689.81279411758</v>
      </c>
      <c r="J22" s="125">
        <f>'B) D RI'!U23</f>
        <v>231550.9032352941</v>
      </c>
      <c r="K22" s="86">
        <f t="shared" si="1"/>
        <v>36.07507494615497</v>
      </c>
      <c r="L22" s="43">
        <f>'B) D RI'!S23</f>
        <v>68</v>
      </c>
      <c r="M22" s="43">
        <f t="shared" si="2"/>
        <v>31.92492505384503</v>
      </c>
      <c r="N22" s="166">
        <f>'J) Plafonnement effort'!G21+'J) Plafonnement effort'!H21-'K) Plafonnement aide'!I21</f>
        <v>37.451317330433909</v>
      </c>
      <c r="O22" s="166">
        <f t="shared" si="3"/>
        <v>69.376242384278939</v>
      </c>
      <c r="P22" s="59">
        <f t="shared" si="4"/>
        <v>0</v>
      </c>
      <c r="Q22" s="74">
        <f t="shared" si="5"/>
        <v>0</v>
      </c>
      <c r="R22" s="197">
        <f t="shared" si="6"/>
        <v>69.376242384278939</v>
      </c>
      <c r="S22" s="166">
        <f t="shared" si="7"/>
        <v>1.3762423842789389</v>
      </c>
      <c r="T22" s="196"/>
      <c r="U22" s="38"/>
    </row>
    <row r="23" spans="1:21" x14ac:dyDescent="0.25">
      <c r="A23" s="61">
        <f>'A) Base RI'!A24</f>
        <v>5423</v>
      </c>
      <c r="B23" s="72" t="str">
        <f>'A) Base RI'!B24</f>
        <v>Ballens</v>
      </c>
      <c r="C23" s="205">
        <v>235018.44870101253</v>
      </c>
      <c r="D23" s="206">
        <v>127567.09146613456</v>
      </c>
      <c r="E23" s="207">
        <v>0</v>
      </c>
      <c r="F23" s="206">
        <v>0</v>
      </c>
      <c r="G23" s="206">
        <v>0</v>
      </c>
      <c r="H23" s="208">
        <f t="shared" si="0"/>
        <v>362585.54016714706</v>
      </c>
      <c r="I23" s="272">
        <v>16056.117971014495</v>
      </c>
      <c r="J23" s="125">
        <f>'B) D RI'!U24</f>
        <v>18689.408115942024</v>
      </c>
      <c r="K23" s="86">
        <f t="shared" si="1"/>
        <v>22.582391386368055</v>
      </c>
      <c r="L23" s="43">
        <f>'B) D RI'!S24</f>
        <v>69</v>
      </c>
      <c r="M23" s="43">
        <f t="shared" si="2"/>
        <v>46.417608613631941</v>
      </c>
      <c r="N23" s="166">
        <f>'J) Plafonnement effort'!G22+'J) Plafonnement effort'!H22-'K) Plafonnement aide'!I22</f>
        <v>25.958031038407732</v>
      </c>
      <c r="O23" s="166">
        <f t="shared" si="3"/>
        <v>72.375639652039666</v>
      </c>
      <c r="P23" s="59">
        <f t="shared" si="4"/>
        <v>0</v>
      </c>
      <c r="Q23" s="74">
        <f t="shared" si="5"/>
        <v>0</v>
      </c>
      <c r="R23" s="197">
        <f t="shared" si="6"/>
        <v>72.375639652039666</v>
      </c>
      <c r="S23" s="166">
        <f t="shared" si="7"/>
        <v>3.3756396520396663</v>
      </c>
      <c r="T23" s="196"/>
      <c r="U23" s="38"/>
    </row>
    <row r="24" spans="1:21" x14ac:dyDescent="0.25">
      <c r="A24" s="61">
        <f>'A) Base RI'!A25</f>
        <v>5424</v>
      </c>
      <c r="B24" s="72" t="str">
        <f>'A) Base RI'!B25</f>
        <v>Berolle</v>
      </c>
      <c r="C24" s="205">
        <v>133230.58320484965</v>
      </c>
      <c r="D24" s="206">
        <v>50068.453222354248</v>
      </c>
      <c r="E24" s="207">
        <v>0</v>
      </c>
      <c r="F24" s="206">
        <v>0</v>
      </c>
      <c r="G24" s="206">
        <v>0</v>
      </c>
      <c r="H24" s="208">
        <f t="shared" si="0"/>
        <v>183299.03642720392</v>
      </c>
      <c r="I24" s="272">
        <v>9358.0229870129861</v>
      </c>
      <c r="J24" s="125">
        <f>'B) D RI'!U25</f>
        <v>9360.1262337662338</v>
      </c>
      <c r="K24" s="86">
        <f t="shared" si="1"/>
        <v>19.587367618308409</v>
      </c>
      <c r="L24" s="43">
        <f>'B) D RI'!S25</f>
        <v>77</v>
      </c>
      <c r="M24" s="43">
        <f t="shared" si="2"/>
        <v>57.412632381691594</v>
      </c>
      <c r="N24" s="166">
        <f>'J) Plafonnement effort'!G23+'J) Plafonnement effort'!H23-'K) Plafonnement aide'!I23</f>
        <v>20.297148328719878</v>
      </c>
      <c r="O24" s="166">
        <f t="shared" si="3"/>
        <v>77.709780710411479</v>
      </c>
      <c r="P24" s="59">
        <f t="shared" si="4"/>
        <v>0</v>
      </c>
      <c r="Q24" s="74">
        <f t="shared" si="5"/>
        <v>0</v>
      </c>
      <c r="R24" s="197">
        <f t="shared" si="6"/>
        <v>77.709780710411479</v>
      </c>
      <c r="S24" s="166">
        <f t="shared" si="7"/>
        <v>0.70978071041147928</v>
      </c>
      <c r="T24" s="196"/>
      <c r="U24" s="38"/>
    </row>
    <row r="25" spans="1:21" x14ac:dyDescent="0.25">
      <c r="A25" s="61">
        <f>'A) Base RI'!A26</f>
        <v>5425</v>
      </c>
      <c r="B25" s="72" t="str">
        <f>'A) Base RI'!B26</f>
        <v>Bière</v>
      </c>
      <c r="C25" s="205">
        <v>566623.70028900844</v>
      </c>
      <c r="D25" s="206">
        <v>-150050.51532028825</v>
      </c>
      <c r="E25" s="207">
        <v>0</v>
      </c>
      <c r="F25" s="206">
        <v>0</v>
      </c>
      <c r="G25" s="206">
        <v>0</v>
      </c>
      <c r="H25" s="208">
        <f t="shared" si="0"/>
        <v>416573.18496872019</v>
      </c>
      <c r="I25" s="272">
        <v>37126.422058823526</v>
      </c>
      <c r="J25" s="125">
        <f>'B) D RI'!U26</f>
        <v>40787.403970588231</v>
      </c>
      <c r="K25" s="86">
        <f t="shared" si="1"/>
        <v>11.220396738169299</v>
      </c>
      <c r="L25" s="43">
        <f>'B) D RI'!S26</f>
        <v>68</v>
      </c>
      <c r="M25" s="43">
        <f t="shared" si="2"/>
        <v>56.779603261830701</v>
      </c>
      <c r="N25" s="166">
        <f>'J) Plafonnement effort'!G24+'J) Plafonnement effort'!H24-'K) Plafonnement aide'!I24</f>
        <v>7.4357279638891605</v>
      </c>
      <c r="O25" s="166">
        <f t="shared" si="3"/>
        <v>64.215331225719865</v>
      </c>
      <c r="P25" s="59">
        <f t="shared" si="4"/>
        <v>0</v>
      </c>
      <c r="Q25" s="74">
        <f t="shared" si="5"/>
        <v>0</v>
      </c>
      <c r="R25" s="197">
        <f t="shared" si="6"/>
        <v>64.215331225719865</v>
      </c>
      <c r="S25" s="166">
        <f t="shared" si="7"/>
        <v>-3.784668774280135</v>
      </c>
      <c r="T25" s="196"/>
      <c r="U25" s="38"/>
    </row>
    <row r="26" spans="1:21" x14ac:dyDescent="0.25">
      <c r="A26" s="61">
        <f>'A) Base RI'!A27</f>
        <v>5426</v>
      </c>
      <c r="B26" s="72" t="str">
        <f>'A) Base RI'!B27</f>
        <v>Bougy-Villars</v>
      </c>
      <c r="C26" s="205">
        <v>1607686.3623738023</v>
      </c>
      <c r="D26" s="206">
        <v>679988</v>
      </c>
      <c r="E26" s="207">
        <v>0</v>
      </c>
      <c r="F26" s="206">
        <v>0</v>
      </c>
      <c r="G26" s="206">
        <v>0</v>
      </c>
      <c r="H26" s="208">
        <f t="shared" si="0"/>
        <v>2287674.3623738023</v>
      </c>
      <c r="I26" s="272">
        <v>52784.469677419351</v>
      </c>
      <c r="J26" s="125">
        <f>'B) D RI'!U27</f>
        <v>42113.452258064506</v>
      </c>
      <c r="K26" s="86">
        <f t="shared" si="1"/>
        <v>43.339913735127396</v>
      </c>
      <c r="L26" s="43">
        <f>'B) D RI'!S27</f>
        <v>62</v>
      </c>
      <c r="M26" s="43">
        <f t="shared" si="2"/>
        <v>18.660086264872604</v>
      </c>
      <c r="N26" s="166">
        <f>'J) Plafonnement effort'!G25+'J) Plafonnement effort'!H25-'K) Plafonnement aide'!I25</f>
        <v>42.214604916447435</v>
      </c>
      <c r="O26" s="166">
        <f t="shared" si="3"/>
        <v>60.874691181320038</v>
      </c>
      <c r="P26" s="59">
        <f t="shared" si="4"/>
        <v>0</v>
      </c>
      <c r="Q26" s="74">
        <f t="shared" si="5"/>
        <v>0</v>
      </c>
      <c r="R26" s="197">
        <f t="shared" si="6"/>
        <v>60.874691181320038</v>
      </c>
      <c r="S26" s="166">
        <f t="shared" si="7"/>
        <v>-1.1253088186799616</v>
      </c>
      <c r="T26" s="196"/>
      <c r="U26" s="38"/>
    </row>
    <row r="27" spans="1:21" x14ac:dyDescent="0.25">
      <c r="A27" s="61">
        <f>'A) Base RI'!A28</f>
        <v>5427</v>
      </c>
      <c r="B27" s="72" t="str">
        <f>'A) Base RI'!B28</f>
        <v>Féchy</v>
      </c>
      <c r="C27" s="205">
        <v>1788238.2236745574</v>
      </c>
      <c r="D27" s="206">
        <v>1087225</v>
      </c>
      <c r="E27" s="207">
        <v>0</v>
      </c>
      <c r="F27" s="206">
        <v>0</v>
      </c>
      <c r="G27" s="206">
        <v>0</v>
      </c>
      <c r="H27" s="208">
        <f t="shared" si="0"/>
        <v>2875463.2236745572</v>
      </c>
      <c r="I27" s="272">
        <v>75059.583293269228</v>
      </c>
      <c r="J27" s="125">
        <f>'B) D RI'!U28</f>
        <v>64357.078870192301</v>
      </c>
      <c r="K27" s="86">
        <f t="shared" si="1"/>
        <v>38.309075237464135</v>
      </c>
      <c r="L27" s="43">
        <f>'B) D RI'!S28</f>
        <v>64</v>
      </c>
      <c r="M27" s="43">
        <f t="shared" si="2"/>
        <v>25.690924762535865</v>
      </c>
      <c r="N27" s="166">
        <f>'J) Plafonnement effort'!G26+'J) Plafonnement effort'!H26-'K) Plafonnement aide'!I26</f>
        <v>39.151395974812431</v>
      </c>
      <c r="O27" s="166">
        <f t="shared" si="3"/>
        <v>64.842320737348302</v>
      </c>
      <c r="P27" s="59">
        <f t="shared" si="4"/>
        <v>0</v>
      </c>
      <c r="Q27" s="74">
        <f t="shared" si="5"/>
        <v>0</v>
      </c>
      <c r="R27" s="197">
        <f t="shared" si="6"/>
        <v>64.842320737348302</v>
      </c>
      <c r="S27" s="166">
        <f t="shared" si="7"/>
        <v>0.84232073734830237</v>
      </c>
      <c r="T27" s="196"/>
      <c r="U27" s="38"/>
    </row>
    <row r="28" spans="1:21" x14ac:dyDescent="0.25">
      <c r="A28" s="61">
        <f>'A) Base RI'!A29</f>
        <v>5428</v>
      </c>
      <c r="B28" s="72" t="str">
        <f>'A) Base RI'!B29</f>
        <v>Gimel</v>
      </c>
      <c r="C28" s="205">
        <v>935457.18675277836</v>
      </c>
      <c r="D28" s="206">
        <v>-38091.997296989546</v>
      </c>
      <c r="E28" s="207">
        <v>0</v>
      </c>
      <c r="F28" s="206">
        <v>0</v>
      </c>
      <c r="G28" s="206">
        <v>0</v>
      </c>
      <c r="H28" s="208">
        <f t="shared" si="0"/>
        <v>897365.18945578882</v>
      </c>
      <c r="I28" s="272">
        <v>54244.883403263411</v>
      </c>
      <c r="J28" s="125">
        <f>'B) D RI'!U29</f>
        <v>57546.053752913758</v>
      </c>
      <c r="K28" s="86">
        <f t="shared" si="1"/>
        <v>16.542854056569006</v>
      </c>
      <c r="L28" s="43">
        <f>'B) D RI'!S29</f>
        <v>71.5</v>
      </c>
      <c r="M28" s="43">
        <f t="shared" si="2"/>
        <v>54.957145943430994</v>
      </c>
      <c r="N28" s="166">
        <f>'J) Plafonnement effort'!G27+'J) Plafonnement effort'!H27-'K) Plafonnement aide'!I27</f>
        <v>16.660536510050289</v>
      </c>
      <c r="O28" s="166">
        <f t="shared" si="3"/>
        <v>71.617682453481279</v>
      </c>
      <c r="P28" s="59">
        <f t="shared" si="4"/>
        <v>0</v>
      </c>
      <c r="Q28" s="74">
        <f t="shared" si="5"/>
        <v>0</v>
      </c>
      <c r="R28" s="197">
        <f t="shared" si="6"/>
        <v>71.617682453481279</v>
      </c>
      <c r="S28" s="166">
        <f t="shared" si="7"/>
        <v>0.11768245348127948</v>
      </c>
      <c r="T28" s="196"/>
      <c r="U28" s="38"/>
    </row>
    <row r="29" spans="1:21" x14ac:dyDescent="0.25">
      <c r="A29" s="61">
        <f>'A) Base RI'!A30</f>
        <v>5429</v>
      </c>
      <c r="B29" s="72" t="str">
        <f>'A) Base RI'!B30</f>
        <v>Longirod</v>
      </c>
      <c r="C29" s="205">
        <v>244425.01434979431</v>
      </c>
      <c r="D29" s="206">
        <v>101338.56795441697</v>
      </c>
      <c r="E29" s="207">
        <v>0</v>
      </c>
      <c r="F29" s="206">
        <v>0</v>
      </c>
      <c r="G29" s="206">
        <v>0</v>
      </c>
      <c r="H29" s="208">
        <f t="shared" si="0"/>
        <v>345763.58230421128</v>
      </c>
      <c r="I29" s="272">
        <v>14621.746419753083</v>
      </c>
      <c r="J29" s="125">
        <f>'B) D RI'!U30</f>
        <v>13645.142716049384</v>
      </c>
      <c r="K29" s="86">
        <f t="shared" si="1"/>
        <v>23.647215071183691</v>
      </c>
      <c r="L29" s="43">
        <f>'B) D RI'!S30</f>
        <v>81</v>
      </c>
      <c r="M29" s="43">
        <f t="shared" si="2"/>
        <v>57.352784928816305</v>
      </c>
      <c r="N29" s="166">
        <f>'J) Plafonnement effort'!G28+'J) Plafonnement effort'!H28-'K) Plafonnement aide'!I28</f>
        <v>9.9064168830472301</v>
      </c>
      <c r="O29" s="166">
        <f t="shared" si="3"/>
        <v>67.259201811863534</v>
      </c>
      <c r="P29" s="59">
        <f t="shared" si="4"/>
        <v>0</v>
      </c>
      <c r="Q29" s="74">
        <f t="shared" si="5"/>
        <v>0</v>
      </c>
      <c r="R29" s="197">
        <f t="shared" si="6"/>
        <v>67.259201811863534</v>
      </c>
      <c r="S29" s="166">
        <f t="shared" si="7"/>
        <v>-13.740798188136466</v>
      </c>
      <c r="T29" s="196"/>
      <c r="U29" s="38"/>
    </row>
    <row r="30" spans="1:21" x14ac:dyDescent="0.25">
      <c r="A30" s="61">
        <f>'A) Base RI'!A31</f>
        <v>5430</v>
      </c>
      <c r="B30" s="72" t="str">
        <f>'A) Base RI'!B31</f>
        <v>Marchissy</v>
      </c>
      <c r="C30" s="205">
        <v>218222.50757382147</v>
      </c>
      <c r="D30" s="206">
        <v>28430.531779419223</v>
      </c>
      <c r="E30" s="207">
        <v>0</v>
      </c>
      <c r="F30" s="206">
        <v>0</v>
      </c>
      <c r="G30" s="206">
        <v>0</v>
      </c>
      <c r="H30" s="208">
        <f t="shared" si="0"/>
        <v>246653.03935324069</v>
      </c>
      <c r="I30" s="272">
        <v>13069.378271604934</v>
      </c>
      <c r="J30" s="125">
        <f>'B) D RI'!U31</f>
        <v>12901.686543209877</v>
      </c>
      <c r="K30" s="86">
        <f t="shared" si="1"/>
        <v>18.872591658711812</v>
      </c>
      <c r="L30" s="43">
        <f>'B) D RI'!S31</f>
        <v>81</v>
      </c>
      <c r="M30" s="43">
        <f t="shared" si="2"/>
        <v>62.127408341288188</v>
      </c>
      <c r="N30" s="166">
        <f>'J) Plafonnement effort'!G29+'J) Plafonnement effort'!H29-'K) Plafonnement aide'!I29</f>
        <v>6.8041399970178347</v>
      </c>
      <c r="O30" s="166">
        <f t="shared" si="3"/>
        <v>68.931548338306015</v>
      </c>
      <c r="P30" s="59">
        <f t="shared" si="4"/>
        <v>0</v>
      </c>
      <c r="Q30" s="74">
        <f t="shared" si="5"/>
        <v>0</v>
      </c>
      <c r="R30" s="197">
        <f t="shared" si="6"/>
        <v>68.931548338306015</v>
      </c>
      <c r="S30" s="166">
        <f t="shared" si="7"/>
        <v>-12.068451661693985</v>
      </c>
      <c r="T30" s="196"/>
      <c r="U30" s="38"/>
    </row>
    <row r="31" spans="1:21" x14ac:dyDescent="0.25">
      <c r="A31" s="61">
        <f>'A) Base RI'!A32</f>
        <v>5431</v>
      </c>
      <c r="B31" s="72" t="str">
        <f>'A) Base RI'!B32</f>
        <v>Mollens</v>
      </c>
      <c r="C31" s="205">
        <v>130120.11785750397</v>
      </c>
      <c r="D31" s="206">
        <v>18272.814225966955</v>
      </c>
      <c r="E31" s="207">
        <v>0</v>
      </c>
      <c r="F31" s="206">
        <v>0</v>
      </c>
      <c r="G31" s="206">
        <v>0</v>
      </c>
      <c r="H31" s="208">
        <f t="shared" si="0"/>
        <v>148392.93208347092</v>
      </c>
      <c r="I31" s="272">
        <v>8024.3136486486483</v>
      </c>
      <c r="J31" s="125">
        <f>'B) D RI'!U32</f>
        <v>8965.3154054054066</v>
      </c>
      <c r="K31" s="86">
        <f t="shared" si="1"/>
        <v>18.492912737584895</v>
      </c>
      <c r="L31" s="43">
        <f>'B) D RI'!S32</f>
        <v>74</v>
      </c>
      <c r="M31" s="43">
        <f t="shared" si="2"/>
        <v>55.507087262415105</v>
      </c>
      <c r="N31" s="166">
        <f>'J) Plafonnement effort'!G30+'J) Plafonnement effort'!H30-'K) Plafonnement aide'!I30</f>
        <v>18.236334316409774</v>
      </c>
      <c r="O31" s="166">
        <f t="shared" si="3"/>
        <v>73.743421578824879</v>
      </c>
      <c r="P31" s="59">
        <f t="shared" si="4"/>
        <v>0</v>
      </c>
      <c r="Q31" s="74">
        <f t="shared" si="5"/>
        <v>0</v>
      </c>
      <c r="R31" s="197">
        <f t="shared" si="6"/>
        <v>73.743421578824879</v>
      </c>
      <c r="S31" s="166">
        <f t="shared" si="7"/>
        <v>-0.25657842117512075</v>
      </c>
      <c r="T31" s="196"/>
    </row>
    <row r="32" spans="1:21" x14ac:dyDescent="0.25">
      <c r="A32" s="61">
        <f>'A) Base RI'!A33</f>
        <v>5432</v>
      </c>
      <c r="B32" s="72" t="str">
        <f>'A) Base RI'!B33</f>
        <v>Montherod</v>
      </c>
      <c r="C32" s="205">
        <v>312109.71881605242</v>
      </c>
      <c r="D32" s="206">
        <v>165172.23573716672</v>
      </c>
      <c r="E32" s="207">
        <v>0</v>
      </c>
      <c r="F32" s="206">
        <v>0</v>
      </c>
      <c r="G32" s="206">
        <v>0</v>
      </c>
      <c r="H32" s="208">
        <f t="shared" si="0"/>
        <v>477281.95455321914</v>
      </c>
      <c r="I32" s="272">
        <v>17799.430540540543</v>
      </c>
      <c r="J32" s="125">
        <f>'B) D RI'!U33</f>
        <v>18938.674054054052</v>
      </c>
      <c r="K32" s="86">
        <f t="shared" si="1"/>
        <v>26.814450803139277</v>
      </c>
      <c r="L32" s="43">
        <f>'B) D RI'!S33</f>
        <v>74</v>
      </c>
      <c r="M32" s="43">
        <f t="shared" si="2"/>
        <v>47.18554919686072</v>
      </c>
      <c r="N32" s="166">
        <f>'J) Plafonnement effort'!G31+'J) Plafonnement effort'!H31-'K) Plafonnement aide'!I31</f>
        <v>31.436858954246752</v>
      </c>
      <c r="O32" s="166">
        <f t="shared" si="3"/>
        <v>78.622408151107464</v>
      </c>
      <c r="P32" s="59">
        <f t="shared" si="4"/>
        <v>0</v>
      </c>
      <c r="Q32" s="74">
        <f t="shared" si="5"/>
        <v>0</v>
      </c>
      <c r="R32" s="197">
        <f t="shared" si="6"/>
        <v>78.622408151107464</v>
      </c>
      <c r="S32" s="166">
        <f t="shared" si="7"/>
        <v>4.6224081511074644</v>
      </c>
      <c r="T32" s="196"/>
    </row>
    <row r="33" spans="1:20" x14ac:dyDescent="0.25">
      <c r="A33" s="61">
        <f>'A) Base RI'!A34</f>
        <v>5434</v>
      </c>
      <c r="B33" s="72" t="str">
        <f>'A) Base RI'!B34</f>
        <v>Saint-George</v>
      </c>
      <c r="C33" s="205">
        <v>671464.85576501046</v>
      </c>
      <c r="D33" s="206">
        <v>428760.19973236771</v>
      </c>
      <c r="E33" s="207">
        <v>0</v>
      </c>
      <c r="F33" s="206">
        <v>0</v>
      </c>
      <c r="G33" s="206">
        <v>0</v>
      </c>
      <c r="H33" s="208">
        <f t="shared" si="0"/>
        <v>1100225.0554973781</v>
      </c>
      <c r="I33" s="272">
        <v>35135.099562043797</v>
      </c>
      <c r="J33" s="125">
        <f>'B) D RI'!U34</f>
        <v>33015.772116788328</v>
      </c>
      <c r="K33" s="86">
        <f t="shared" si="1"/>
        <v>31.314129437844073</v>
      </c>
      <c r="L33" s="43">
        <f>'B) D RI'!S34</f>
        <v>68.5</v>
      </c>
      <c r="M33" s="43">
        <f t="shared" si="2"/>
        <v>37.185870562155927</v>
      </c>
      <c r="N33" s="166">
        <f>'J) Plafonnement effort'!G32+'J) Plafonnement effort'!H32-'K) Plafonnement aide'!I32</f>
        <v>26.194483400869785</v>
      </c>
      <c r="O33" s="166">
        <f t="shared" si="3"/>
        <v>63.380353963025712</v>
      </c>
      <c r="P33" s="59">
        <f t="shared" si="4"/>
        <v>0</v>
      </c>
      <c r="Q33" s="74">
        <f t="shared" si="5"/>
        <v>0</v>
      </c>
      <c r="R33" s="197">
        <f t="shared" si="6"/>
        <v>63.380353963025712</v>
      </c>
      <c r="S33" s="166">
        <f t="shared" si="7"/>
        <v>-5.119646036974288</v>
      </c>
      <c r="T33" s="196"/>
    </row>
    <row r="34" spans="1:20" x14ac:dyDescent="0.25">
      <c r="A34" s="61">
        <f>'A) Base RI'!A35</f>
        <v>5435</v>
      </c>
      <c r="B34" s="72" t="str">
        <f>'A) Base RI'!B35</f>
        <v>Saint-Livres</v>
      </c>
      <c r="C34" s="205">
        <v>369289.41578505561</v>
      </c>
      <c r="D34" s="206">
        <v>154268.89466780482</v>
      </c>
      <c r="E34" s="207">
        <v>0</v>
      </c>
      <c r="F34" s="206">
        <v>0</v>
      </c>
      <c r="G34" s="206">
        <v>0</v>
      </c>
      <c r="H34" s="208">
        <f t="shared" si="0"/>
        <v>523558.31045286043</v>
      </c>
      <c r="I34" s="272">
        <v>21558.748985507245</v>
      </c>
      <c r="J34" s="125">
        <f>'B) D RI'!U35</f>
        <v>24335.25550724638</v>
      </c>
      <c r="K34" s="86">
        <f t="shared" si="1"/>
        <v>24.285189776309362</v>
      </c>
      <c r="L34" s="43">
        <f>'B) D RI'!S35</f>
        <v>69</v>
      </c>
      <c r="M34" s="43">
        <f t="shared" si="2"/>
        <v>44.714810223690634</v>
      </c>
      <c r="N34" s="166">
        <f>'J) Plafonnement effort'!G33+'J) Plafonnement effort'!H33-'K) Plafonnement aide'!I33</f>
        <v>25.222405189620655</v>
      </c>
      <c r="O34" s="166">
        <f t="shared" si="3"/>
        <v>69.937215413311293</v>
      </c>
      <c r="P34" s="59">
        <f t="shared" si="4"/>
        <v>0</v>
      </c>
      <c r="Q34" s="74">
        <f t="shared" si="5"/>
        <v>0</v>
      </c>
      <c r="R34" s="197">
        <f t="shared" si="6"/>
        <v>69.937215413311293</v>
      </c>
      <c r="S34" s="166">
        <f t="shared" si="7"/>
        <v>0.93721541331129288</v>
      </c>
      <c r="T34" s="196"/>
    </row>
    <row r="35" spans="1:20" x14ac:dyDescent="0.25">
      <c r="A35" s="61">
        <f>'A) Base RI'!A36</f>
        <v>5436</v>
      </c>
      <c r="B35" s="72" t="str">
        <f>'A) Base RI'!B36</f>
        <v>Saint-Oyens</v>
      </c>
      <c r="C35" s="205">
        <v>207057.02869750583</v>
      </c>
      <c r="D35" s="206">
        <v>99892.770730176329</v>
      </c>
      <c r="E35" s="207">
        <v>0</v>
      </c>
      <c r="F35" s="206">
        <v>0</v>
      </c>
      <c r="G35" s="206">
        <v>0</v>
      </c>
      <c r="H35" s="208">
        <f t="shared" si="0"/>
        <v>306949.79942768218</v>
      </c>
      <c r="I35" s="272">
        <v>11369.478086419756</v>
      </c>
      <c r="J35" s="125">
        <f>'B) D RI'!U36</f>
        <v>9937.7678395061721</v>
      </c>
      <c r="K35" s="86">
        <f t="shared" si="1"/>
        <v>26.997703596818361</v>
      </c>
      <c r="L35" s="43">
        <f>'B) D RI'!S36</f>
        <v>81</v>
      </c>
      <c r="M35" s="43">
        <f t="shared" si="2"/>
        <v>54.002296403181639</v>
      </c>
      <c r="N35" s="166">
        <f>'J) Plafonnement effort'!G34+'J) Plafonnement effort'!H34-'K) Plafonnement aide'!I34</f>
        <v>14.247735464552882</v>
      </c>
      <c r="O35" s="166">
        <f t="shared" si="3"/>
        <v>68.250031867734521</v>
      </c>
      <c r="P35" s="59">
        <f t="shared" si="4"/>
        <v>0</v>
      </c>
      <c r="Q35" s="74">
        <f t="shared" si="5"/>
        <v>0</v>
      </c>
      <c r="R35" s="197">
        <f t="shared" si="6"/>
        <v>68.250031867734521</v>
      </c>
      <c r="S35" s="166">
        <f t="shared" si="7"/>
        <v>-12.749968132265479</v>
      </c>
      <c r="T35" s="196"/>
    </row>
    <row r="36" spans="1:20" x14ac:dyDescent="0.25">
      <c r="A36" s="61">
        <f>'A) Base RI'!A37</f>
        <v>5437</v>
      </c>
      <c r="B36" s="72" t="str">
        <f>'A) Base RI'!B37</f>
        <v>Saubraz</v>
      </c>
      <c r="C36" s="205">
        <v>169566.61361754106</v>
      </c>
      <c r="D36" s="206">
        <v>-125909.69183499622</v>
      </c>
      <c r="E36" s="207">
        <v>0</v>
      </c>
      <c r="F36" s="206">
        <v>0</v>
      </c>
      <c r="G36" s="206">
        <v>0</v>
      </c>
      <c r="H36" s="208">
        <f t="shared" si="0"/>
        <v>43656.921782544843</v>
      </c>
      <c r="I36" s="272">
        <v>8208.7877108433731</v>
      </c>
      <c r="J36" s="125">
        <f>'B) D RI'!U37</f>
        <v>9144.65614457831</v>
      </c>
      <c r="K36" s="86">
        <f t="shared" si="1"/>
        <v>5.3183153615821208</v>
      </c>
      <c r="L36" s="43">
        <f>'B) D RI'!S37</f>
        <v>83</v>
      </c>
      <c r="M36" s="43">
        <f t="shared" si="2"/>
        <v>77.681684638417877</v>
      </c>
      <c r="N36" s="166">
        <f>'J) Plafonnement effort'!G35+'J) Plafonnement effort'!H35-'K) Plafonnement aide'!I35</f>
        <v>13.473315807438857</v>
      </c>
      <c r="O36" s="166">
        <f>M36+N36</f>
        <v>91.155000445856729</v>
      </c>
      <c r="P36" s="59">
        <f t="shared" si="4"/>
        <v>-1.2151764397723355</v>
      </c>
      <c r="Q36" s="74">
        <f t="shared" si="5"/>
        <v>-11112.370696710883</v>
      </c>
      <c r="R36" s="197">
        <f t="shared" si="6"/>
        <v>89.939824006084393</v>
      </c>
      <c r="S36" s="166">
        <f t="shared" si="7"/>
        <v>6.9398240060843932</v>
      </c>
      <c r="T36" s="196"/>
    </row>
    <row r="37" spans="1:20" x14ac:dyDescent="0.25">
      <c r="A37" s="61">
        <f>'A) Base RI'!A38</f>
        <v>5451</v>
      </c>
      <c r="B37" s="72" t="str">
        <f>'A) Base RI'!B38</f>
        <v>Avenches</v>
      </c>
      <c r="C37" s="205">
        <v>1901381.888259917</v>
      </c>
      <c r="D37" s="206">
        <v>-750806.46704620169</v>
      </c>
      <c r="E37" s="207">
        <v>0</v>
      </c>
      <c r="F37" s="206">
        <v>0</v>
      </c>
      <c r="G37" s="206">
        <v>0</v>
      </c>
      <c r="H37" s="208">
        <f t="shared" si="0"/>
        <v>1150575.4212137153</v>
      </c>
      <c r="I37" s="272">
        <v>103750.47926470588</v>
      </c>
      <c r="J37" s="125">
        <f>'B) D RI'!U38</f>
        <v>102028.81651960785</v>
      </c>
      <c r="K37" s="86">
        <f t="shared" si="1"/>
        <v>11.089832349382903</v>
      </c>
      <c r="L37" s="43">
        <f>'B) D RI'!S38</f>
        <v>68</v>
      </c>
      <c r="M37" s="43">
        <f t="shared" si="2"/>
        <v>56.910167650617097</v>
      </c>
      <c r="N37" s="166">
        <f>'J) Plafonnement effort'!G36+'J) Plafonnement effort'!H36-'K) Plafonnement aide'!I36</f>
        <v>-4.2913606888826745</v>
      </c>
      <c r="O37" s="166">
        <f t="shared" si="3"/>
        <v>52.618806961734421</v>
      </c>
      <c r="P37" s="59">
        <f t="shared" si="4"/>
        <v>0</v>
      </c>
      <c r="Q37" s="74">
        <f t="shared" si="5"/>
        <v>0</v>
      </c>
      <c r="R37" s="197">
        <f t="shared" si="6"/>
        <v>52.618806961734421</v>
      </c>
      <c r="S37" s="166">
        <f t="shared" si="7"/>
        <v>-15.381193038265579</v>
      </c>
      <c r="T37" s="196"/>
    </row>
    <row r="38" spans="1:20" x14ac:dyDescent="0.25">
      <c r="A38" s="61">
        <f>'A) Base RI'!A39</f>
        <v>5456</v>
      </c>
      <c r="B38" s="72" t="str">
        <f>'A) Base RI'!B39</f>
        <v>Cudrefin</v>
      </c>
      <c r="C38" s="205">
        <v>844533.66182881757</v>
      </c>
      <c r="D38" s="206">
        <v>308421.79451068491</v>
      </c>
      <c r="E38" s="207">
        <v>0</v>
      </c>
      <c r="F38" s="206">
        <v>0</v>
      </c>
      <c r="G38" s="206">
        <v>0</v>
      </c>
      <c r="H38" s="208">
        <f t="shared" si="0"/>
        <v>1152955.4563395025</v>
      </c>
      <c r="I38" s="272">
        <v>45260.404011299433</v>
      </c>
      <c r="J38" s="125">
        <f>'B) D RI'!U39</f>
        <v>45272.368813559326</v>
      </c>
      <c r="K38" s="86">
        <f t="shared" si="1"/>
        <v>25.473821578164941</v>
      </c>
      <c r="L38" s="43">
        <f>'B) D RI'!S39</f>
        <v>59</v>
      </c>
      <c r="M38" s="43">
        <f t="shared" si="2"/>
        <v>33.526178421835056</v>
      </c>
      <c r="N38" s="166">
        <f>'J) Plafonnement effort'!G37+'J) Plafonnement effort'!H37-'K) Plafonnement aide'!I37</f>
        <v>23.94940617825387</v>
      </c>
      <c r="O38" s="166">
        <f t="shared" si="3"/>
        <v>57.475584600088922</v>
      </c>
      <c r="P38" s="59">
        <f t="shared" si="4"/>
        <v>0</v>
      </c>
      <c r="Q38" s="74">
        <f t="shared" si="5"/>
        <v>0</v>
      </c>
      <c r="R38" s="197">
        <f t="shared" si="6"/>
        <v>57.475584600088922</v>
      </c>
      <c r="S38" s="166">
        <f t="shared" si="7"/>
        <v>-1.5244153999110779</v>
      </c>
      <c r="T38" s="196"/>
    </row>
    <row r="39" spans="1:20" x14ac:dyDescent="0.25">
      <c r="A39" s="61">
        <f>'A) Base RI'!A40</f>
        <v>5458</v>
      </c>
      <c r="B39" s="72" t="str">
        <f>'A) Base RI'!B40</f>
        <v>Faoug</v>
      </c>
      <c r="C39" s="205">
        <v>536119.6339949579</v>
      </c>
      <c r="D39" s="206">
        <v>269682.29011205782</v>
      </c>
      <c r="E39" s="207">
        <v>0</v>
      </c>
      <c r="F39" s="206">
        <v>0</v>
      </c>
      <c r="G39" s="206">
        <v>0</v>
      </c>
      <c r="H39" s="208">
        <f t="shared" si="0"/>
        <v>805801.92410701571</v>
      </c>
      <c r="I39" s="272">
        <v>26731.83262295082</v>
      </c>
      <c r="J39" s="125">
        <f>'B) D RI'!U40</f>
        <v>28143.986721311474</v>
      </c>
      <c r="K39" s="86">
        <f t="shared" si="1"/>
        <v>30.143908779946059</v>
      </c>
      <c r="L39" s="43">
        <f>'B) D RI'!S40</f>
        <v>61</v>
      </c>
      <c r="M39" s="43">
        <f t="shared" si="2"/>
        <v>30.856091220053941</v>
      </c>
      <c r="N39" s="166">
        <f>'J) Plafonnement effort'!G38+'J) Plafonnement effort'!H38-'K) Plafonnement aide'!I38</f>
        <v>25.250327131973062</v>
      </c>
      <c r="O39" s="166">
        <f t="shared" si="3"/>
        <v>56.106418352027006</v>
      </c>
      <c r="P39" s="59">
        <f t="shared" si="4"/>
        <v>0</v>
      </c>
      <c r="Q39" s="74">
        <f t="shared" si="5"/>
        <v>0</v>
      </c>
      <c r="R39" s="197">
        <f t="shared" si="6"/>
        <v>56.106418352027006</v>
      </c>
      <c r="S39" s="166">
        <f t="shared" si="7"/>
        <v>-4.8935816479729937</v>
      </c>
      <c r="T39" s="196"/>
    </row>
    <row r="40" spans="1:20" x14ac:dyDescent="0.25">
      <c r="A40" s="61">
        <f>'A) Base RI'!A41</f>
        <v>5464</v>
      </c>
      <c r="B40" s="72" t="str">
        <f>'A) Base RI'!B41</f>
        <v>Vully-les-Lacs</v>
      </c>
      <c r="C40" s="205">
        <v>1534156.8921646019</v>
      </c>
      <c r="D40" s="206">
        <v>401428.05536336731</v>
      </c>
      <c r="E40" s="207">
        <v>0</v>
      </c>
      <c r="F40" s="206">
        <v>0</v>
      </c>
      <c r="G40" s="206">
        <v>0</v>
      </c>
      <c r="H40" s="208">
        <f t="shared" si="0"/>
        <v>1935584.9475279693</v>
      </c>
      <c r="I40" s="272">
        <v>91629.911044776149</v>
      </c>
      <c r="J40" s="125">
        <f>'B) D RI'!U41</f>
        <v>96865.968557213928</v>
      </c>
      <c r="K40" s="86">
        <f t="shared" si="1"/>
        <v>21.123942230852112</v>
      </c>
      <c r="L40" s="43">
        <f>'B) D RI'!S41</f>
        <v>67</v>
      </c>
      <c r="M40" s="43">
        <f t="shared" si="2"/>
        <v>45.876057769147891</v>
      </c>
      <c r="N40" s="166">
        <f>'J) Plafonnement effort'!G39+'J) Plafonnement effort'!H39-'K) Plafonnement aide'!I39</f>
        <v>20.671157262090659</v>
      </c>
      <c r="O40" s="166">
        <f t="shared" si="3"/>
        <v>66.547215031238551</v>
      </c>
      <c r="P40" s="59">
        <f t="shared" si="4"/>
        <v>0</v>
      </c>
      <c r="Q40" s="74">
        <f t="shared" si="5"/>
        <v>0</v>
      </c>
      <c r="R40" s="197">
        <f t="shared" si="6"/>
        <v>66.547215031238551</v>
      </c>
      <c r="S40" s="166">
        <f t="shared" si="7"/>
        <v>-0.45278496876144914</v>
      </c>
      <c r="T40" s="196"/>
    </row>
    <row r="41" spans="1:20" x14ac:dyDescent="0.25">
      <c r="A41" s="61">
        <f>'A) Base RI'!A42</f>
        <v>5471</v>
      </c>
      <c r="B41" s="72" t="str">
        <f>'A) Base RI'!B42</f>
        <v>Bettens</v>
      </c>
      <c r="C41" s="205">
        <v>381906.25808130333</v>
      </c>
      <c r="D41" s="206">
        <v>200278.40158964647</v>
      </c>
      <c r="E41" s="207">
        <v>0</v>
      </c>
      <c r="F41" s="206">
        <v>0</v>
      </c>
      <c r="G41" s="206">
        <v>0</v>
      </c>
      <c r="H41" s="208">
        <f t="shared" si="0"/>
        <v>582184.6596709498</v>
      </c>
      <c r="I41" s="272">
        <v>18668.279507936502</v>
      </c>
      <c r="J41" s="125">
        <f>'B) D RI'!U42</f>
        <v>18168.257063492067</v>
      </c>
      <c r="K41" s="86">
        <f t="shared" si="1"/>
        <v>31.185769391520193</v>
      </c>
      <c r="L41" s="43">
        <f>'B) D RI'!S42</f>
        <v>70</v>
      </c>
      <c r="M41" s="43">
        <f t="shared" si="2"/>
        <v>38.814230608479804</v>
      </c>
      <c r="N41" s="166">
        <f>'J) Plafonnement effort'!G40+'J) Plafonnement effort'!H40-'K) Plafonnement aide'!I40</f>
        <v>27.725673088396888</v>
      </c>
      <c r="O41" s="166">
        <f t="shared" si="3"/>
        <v>66.539903696876692</v>
      </c>
      <c r="P41" s="59">
        <f t="shared" si="4"/>
        <v>0</v>
      </c>
      <c r="Q41" s="74">
        <f t="shared" si="5"/>
        <v>0</v>
      </c>
      <c r="R41" s="197">
        <f t="shared" si="6"/>
        <v>66.539903696876692</v>
      </c>
      <c r="S41" s="166">
        <f t="shared" si="7"/>
        <v>-3.4600963031233078</v>
      </c>
      <c r="T41" s="196"/>
    </row>
    <row r="42" spans="1:20" x14ac:dyDescent="0.25">
      <c r="A42" s="61">
        <f>'A) Base RI'!A43</f>
        <v>5472</v>
      </c>
      <c r="B42" s="72" t="str">
        <f>'A) Base RI'!B43</f>
        <v>Bournens</v>
      </c>
      <c r="C42" s="205">
        <v>202107.02214672114</v>
      </c>
      <c r="D42" s="206">
        <v>122239.29253343338</v>
      </c>
      <c r="E42" s="207">
        <v>0</v>
      </c>
      <c r="F42" s="206">
        <v>0</v>
      </c>
      <c r="G42" s="206">
        <v>0</v>
      </c>
      <c r="H42" s="208">
        <f t="shared" si="0"/>
        <v>324346.31468015455</v>
      </c>
      <c r="I42" s="272">
        <v>12834.669250000001</v>
      </c>
      <c r="J42" s="125">
        <f>'B) D RI'!U43</f>
        <v>13213.617875</v>
      </c>
      <c r="K42" s="86">
        <f t="shared" si="1"/>
        <v>25.271108149526682</v>
      </c>
      <c r="L42" s="43">
        <f>'B) D RI'!S43</f>
        <v>80</v>
      </c>
      <c r="M42" s="43">
        <f t="shared" si="2"/>
        <v>54.728891850473318</v>
      </c>
      <c r="N42" s="166">
        <f>'J) Plafonnement effort'!G41+'J) Plafonnement effort'!H41-'K) Plafonnement aide'!I41</f>
        <v>26.906446845351194</v>
      </c>
      <c r="O42" s="166">
        <f t="shared" si="3"/>
        <v>81.635338695824515</v>
      </c>
      <c r="P42" s="59">
        <f t="shared" si="4"/>
        <v>0</v>
      </c>
      <c r="Q42" s="74">
        <f t="shared" si="5"/>
        <v>0</v>
      </c>
      <c r="R42" s="197">
        <f t="shared" si="6"/>
        <v>81.635338695824515</v>
      </c>
      <c r="S42" s="166">
        <f t="shared" si="7"/>
        <v>1.6353386958245153</v>
      </c>
      <c r="T42" s="196"/>
    </row>
    <row r="43" spans="1:20" x14ac:dyDescent="0.25">
      <c r="A43" s="61">
        <f>'A) Base RI'!A44</f>
        <v>5473</v>
      </c>
      <c r="B43" s="72" t="str">
        <f>'A) Base RI'!B44</f>
        <v>Boussens</v>
      </c>
      <c r="C43" s="205">
        <v>507419.30960160843</v>
      </c>
      <c r="D43" s="206">
        <v>350048.14252570213</v>
      </c>
      <c r="E43" s="207">
        <v>0</v>
      </c>
      <c r="F43" s="206">
        <v>0</v>
      </c>
      <c r="G43" s="206">
        <v>0</v>
      </c>
      <c r="H43" s="208">
        <f t="shared" si="0"/>
        <v>857467.45212731056</v>
      </c>
      <c r="I43" s="272">
        <v>32904.507681159426</v>
      </c>
      <c r="J43" s="125">
        <f>'B) D RI'!U44</f>
        <v>33007.750579710155</v>
      </c>
      <c r="K43" s="86">
        <f t="shared" si="1"/>
        <v>26.059270068285574</v>
      </c>
      <c r="L43" s="43">
        <f>'B) D RI'!S44</f>
        <v>69</v>
      </c>
      <c r="M43" s="43">
        <f t="shared" si="2"/>
        <v>42.940729931714429</v>
      </c>
      <c r="N43" s="166">
        <f>'J) Plafonnement effort'!G42+'J) Plafonnement effort'!H42-'K) Plafonnement aide'!I42</f>
        <v>26.543201676175318</v>
      </c>
      <c r="O43" s="166">
        <f t="shared" si="3"/>
        <v>69.483931607889744</v>
      </c>
      <c r="P43" s="59">
        <f t="shared" si="4"/>
        <v>0</v>
      </c>
      <c r="Q43" s="74">
        <f t="shared" si="5"/>
        <v>0</v>
      </c>
      <c r="R43" s="197">
        <f t="shared" si="6"/>
        <v>69.483931607889744</v>
      </c>
      <c r="S43" s="166">
        <f t="shared" si="7"/>
        <v>0.48393160788974399</v>
      </c>
      <c r="T43" s="196"/>
    </row>
    <row r="44" spans="1:20" x14ac:dyDescent="0.25">
      <c r="A44" s="61">
        <f>'A) Base RI'!A45</f>
        <v>5474</v>
      </c>
      <c r="B44" s="72" t="str">
        <f>'A) Base RI'!B45</f>
        <v>La Chaux (Cossonay)</v>
      </c>
      <c r="C44" s="205">
        <v>207054.69273710612</v>
      </c>
      <c r="D44" s="206">
        <v>64325.587742364791</v>
      </c>
      <c r="E44" s="207">
        <v>0</v>
      </c>
      <c r="F44" s="206">
        <v>0</v>
      </c>
      <c r="G44" s="206">
        <v>0</v>
      </c>
      <c r="H44" s="208">
        <f t="shared" si="0"/>
        <v>271380.28047947091</v>
      </c>
      <c r="I44" s="272">
        <v>12942.370952380952</v>
      </c>
      <c r="J44" s="125">
        <f>'B) D RI'!U45</f>
        <v>12690.44829004329</v>
      </c>
      <c r="K44" s="86">
        <f t="shared" si="1"/>
        <v>20.968359002995989</v>
      </c>
      <c r="L44" s="43">
        <f>'B) D RI'!S45</f>
        <v>77</v>
      </c>
      <c r="M44" s="43">
        <f t="shared" si="2"/>
        <v>56.031640997004011</v>
      </c>
      <c r="N44" s="166">
        <f>'J) Plafonnement effort'!G43+'J) Plafonnement effort'!H43-'K) Plafonnement aide'!I43</f>
        <v>10.547609180120723</v>
      </c>
      <c r="O44" s="166">
        <f t="shared" si="3"/>
        <v>66.579250177124734</v>
      </c>
      <c r="P44" s="59">
        <f t="shared" si="4"/>
        <v>0</v>
      </c>
      <c r="Q44" s="74">
        <f t="shared" si="5"/>
        <v>0</v>
      </c>
      <c r="R44" s="197">
        <f t="shared" si="6"/>
        <v>66.579250177124734</v>
      </c>
      <c r="S44" s="166">
        <f t="shared" si="7"/>
        <v>-10.420749822875266</v>
      </c>
      <c r="T44" s="196"/>
    </row>
    <row r="45" spans="1:20" x14ac:dyDescent="0.25">
      <c r="A45" s="61">
        <f>'A) Base RI'!A46</f>
        <v>5475</v>
      </c>
      <c r="B45" s="72" t="str">
        <f>'A) Base RI'!B46</f>
        <v>Chavannes-le-Veyron</v>
      </c>
      <c r="C45" s="205">
        <v>55458.047185360454</v>
      </c>
      <c r="D45" s="206">
        <v>-23440.890359411569</v>
      </c>
      <c r="E45" s="207">
        <v>0</v>
      </c>
      <c r="F45" s="206">
        <v>0</v>
      </c>
      <c r="G45" s="206">
        <v>0</v>
      </c>
      <c r="H45" s="208">
        <f t="shared" si="0"/>
        <v>32017.156825948885</v>
      </c>
      <c r="I45" s="272">
        <v>2876.9510389610391</v>
      </c>
      <c r="J45" s="125">
        <f>'B) D RI'!U46</f>
        <v>2750.1545454545449</v>
      </c>
      <c r="K45" s="86">
        <f t="shared" si="1"/>
        <v>11.128850088985638</v>
      </c>
      <c r="L45" s="43">
        <f>'B) D RI'!S46</f>
        <v>77</v>
      </c>
      <c r="M45" s="43">
        <f t="shared" si="2"/>
        <v>65.871149911014356</v>
      </c>
      <c r="N45" s="166">
        <f>'J) Plafonnement effort'!G44+'J) Plafonnement effort'!H44-'K) Plafonnement aide'!I44</f>
        <v>-15.249252122431605</v>
      </c>
      <c r="O45" s="166">
        <f t="shared" si="3"/>
        <v>50.62189778858275</v>
      </c>
      <c r="P45" s="59">
        <f t="shared" si="4"/>
        <v>0</v>
      </c>
      <c r="Q45" s="74">
        <f t="shared" si="5"/>
        <v>0</v>
      </c>
      <c r="R45" s="197">
        <f t="shared" si="6"/>
        <v>50.62189778858275</v>
      </c>
      <c r="S45" s="166">
        <f t="shared" si="7"/>
        <v>-26.37810221141725</v>
      </c>
      <c r="T45" s="196"/>
    </row>
    <row r="46" spans="1:20" x14ac:dyDescent="0.25">
      <c r="A46" s="61">
        <f>'A) Base RI'!A47</f>
        <v>5476</v>
      </c>
      <c r="B46" s="72" t="str">
        <f>'A) Base RI'!B47</f>
        <v>Chevilly</v>
      </c>
      <c r="C46" s="205">
        <v>141642.06362096505</v>
      </c>
      <c r="D46" s="206">
        <v>29840.959663079397</v>
      </c>
      <c r="E46" s="207">
        <v>0</v>
      </c>
      <c r="F46" s="206">
        <v>0</v>
      </c>
      <c r="G46" s="206">
        <v>0</v>
      </c>
      <c r="H46" s="208">
        <f t="shared" si="0"/>
        <v>171483.02328404447</v>
      </c>
      <c r="I46" s="272">
        <v>7286.6650000000009</v>
      </c>
      <c r="J46" s="125">
        <f>'B) D RI'!U47</f>
        <v>7887.6179729729729</v>
      </c>
      <c r="K46" s="86">
        <f t="shared" si="1"/>
        <v>23.533814616706607</v>
      </c>
      <c r="L46" s="43">
        <f>'B) D RI'!S47</f>
        <v>74</v>
      </c>
      <c r="M46" s="43">
        <f t="shared" si="2"/>
        <v>50.466185383293393</v>
      </c>
      <c r="N46" s="166">
        <f>'J) Plafonnement effort'!G45+'J) Plafonnement effort'!H45-'K) Plafonnement aide'!I45</f>
        <v>17.699017012564166</v>
      </c>
      <c r="O46" s="166">
        <f t="shared" si="3"/>
        <v>68.165202395857563</v>
      </c>
      <c r="P46" s="59">
        <f t="shared" si="4"/>
        <v>0</v>
      </c>
      <c r="Q46" s="74">
        <f t="shared" si="5"/>
        <v>0</v>
      </c>
      <c r="R46" s="197">
        <f t="shared" si="6"/>
        <v>68.165202395857563</v>
      </c>
      <c r="S46" s="166">
        <f t="shared" si="7"/>
        <v>-5.8347976041424374</v>
      </c>
      <c r="T46" s="196"/>
    </row>
    <row r="47" spans="1:20" x14ac:dyDescent="0.25">
      <c r="A47" s="61">
        <f>'A) Base RI'!A48</f>
        <v>5477</v>
      </c>
      <c r="B47" s="72" t="str">
        <f>'A) Base RI'!B48</f>
        <v>Cossonay</v>
      </c>
      <c r="C47" s="205">
        <v>2031097.4712699354</v>
      </c>
      <c r="D47" s="206">
        <v>624118.2375690504</v>
      </c>
      <c r="E47" s="207">
        <v>0</v>
      </c>
      <c r="F47" s="206">
        <v>0</v>
      </c>
      <c r="G47" s="206">
        <v>0</v>
      </c>
      <c r="H47" s="208">
        <f t="shared" si="0"/>
        <v>2655215.7088389858</v>
      </c>
      <c r="I47" s="272">
        <v>125737.979346211</v>
      </c>
      <c r="J47" s="125">
        <f>'B) D RI'!U48</f>
        <v>120589.74256854257</v>
      </c>
      <c r="K47" s="86">
        <f t="shared" si="1"/>
        <v>21.117054072644429</v>
      </c>
      <c r="L47" s="43">
        <f>'B) D RI'!S48</f>
        <v>69.3</v>
      </c>
      <c r="M47" s="43">
        <f t="shared" si="2"/>
        <v>48.182945927355568</v>
      </c>
      <c r="N47" s="166">
        <f>'J) Plafonnement effort'!G46+'J) Plafonnement effort'!H46-'K) Plafonnement aide'!I46</f>
        <v>16.327253396514482</v>
      </c>
      <c r="O47" s="166">
        <f t="shared" si="3"/>
        <v>64.510199323870054</v>
      </c>
      <c r="P47" s="59">
        <f t="shared" si="4"/>
        <v>0</v>
      </c>
      <c r="Q47" s="74">
        <f t="shared" si="5"/>
        <v>0</v>
      </c>
      <c r="R47" s="197">
        <f t="shared" si="6"/>
        <v>64.510199323870054</v>
      </c>
      <c r="S47" s="166">
        <f t="shared" si="7"/>
        <v>-4.7898006761299428</v>
      </c>
      <c r="T47" s="196"/>
    </row>
    <row r="48" spans="1:20" x14ac:dyDescent="0.25">
      <c r="A48" s="61">
        <f>'A) Base RI'!A49</f>
        <v>5478</v>
      </c>
      <c r="B48" s="72" t="str">
        <f>'A) Base RI'!B49</f>
        <v>Cottens</v>
      </c>
      <c r="C48" s="205">
        <v>234631.44613428798</v>
      </c>
      <c r="D48" s="206">
        <v>135005.70090552612</v>
      </c>
      <c r="E48" s="207">
        <v>0</v>
      </c>
      <c r="F48" s="206">
        <v>0</v>
      </c>
      <c r="G48" s="206">
        <v>0</v>
      </c>
      <c r="H48" s="208">
        <f t="shared" si="0"/>
        <v>369637.1470398141</v>
      </c>
      <c r="I48" s="272">
        <v>15613.399583333334</v>
      </c>
      <c r="J48" s="125">
        <f>'B) D RI'!U49</f>
        <v>15464.23347222222</v>
      </c>
      <c r="K48" s="86">
        <f t="shared" si="1"/>
        <v>23.674353882186342</v>
      </c>
      <c r="L48" s="43">
        <f>'B) D RI'!S49</f>
        <v>72</v>
      </c>
      <c r="M48" s="43">
        <f t="shared" si="2"/>
        <v>48.325646117813662</v>
      </c>
      <c r="N48" s="166">
        <f>'J) Plafonnement effort'!G47+'J) Plafonnement effort'!H47-'K) Plafonnement aide'!I47</f>
        <v>24.163366965875461</v>
      </c>
      <c r="O48" s="166">
        <f t="shared" si="3"/>
        <v>72.489013083689116</v>
      </c>
      <c r="P48" s="59">
        <f t="shared" si="4"/>
        <v>0</v>
      </c>
      <c r="Q48" s="74">
        <f t="shared" si="5"/>
        <v>0</v>
      </c>
      <c r="R48" s="197">
        <f t="shared" si="6"/>
        <v>72.489013083689116</v>
      </c>
      <c r="S48" s="166">
        <f t="shared" si="7"/>
        <v>0.489013083689116</v>
      </c>
      <c r="T48" s="196"/>
    </row>
    <row r="49" spans="1:20" x14ac:dyDescent="0.25">
      <c r="A49" s="61">
        <f>'A) Base RI'!A50</f>
        <v>5479</v>
      </c>
      <c r="B49" s="72" t="str">
        <f>'A) Base RI'!B50</f>
        <v>Cuarnens</v>
      </c>
      <c r="C49" s="205">
        <v>245001.50233626348</v>
      </c>
      <c r="D49" s="206">
        <v>30085.372478921548</v>
      </c>
      <c r="E49" s="207">
        <v>0</v>
      </c>
      <c r="F49" s="206">
        <v>0</v>
      </c>
      <c r="G49" s="206">
        <v>0</v>
      </c>
      <c r="H49" s="208">
        <f t="shared" si="0"/>
        <v>275086.87481518503</v>
      </c>
      <c r="I49" s="272">
        <v>12479.493246753247</v>
      </c>
      <c r="J49" s="125">
        <f>'B) D RI'!U50</f>
        <v>11805.525064935064</v>
      </c>
      <c r="K49" s="86">
        <f t="shared" si="1"/>
        <v>22.043112598883258</v>
      </c>
      <c r="L49" s="43">
        <f>'B) D RI'!S50</f>
        <v>77</v>
      </c>
      <c r="M49" s="43">
        <f t="shared" si="2"/>
        <v>54.956887401116745</v>
      </c>
      <c r="N49" s="166">
        <f>'J) Plafonnement effort'!G48+'J) Plafonnement effort'!H48-'K) Plafonnement aide'!I48</f>
        <v>0.24273661890340925</v>
      </c>
      <c r="O49" s="166">
        <f t="shared" si="3"/>
        <v>55.199624020020153</v>
      </c>
      <c r="P49" s="59">
        <f t="shared" si="4"/>
        <v>0</v>
      </c>
      <c r="Q49" s="74">
        <f t="shared" si="5"/>
        <v>0</v>
      </c>
      <c r="R49" s="197">
        <f t="shared" si="6"/>
        <v>55.199624020020153</v>
      </c>
      <c r="S49" s="166">
        <f t="shared" si="7"/>
        <v>-21.800375979979847</v>
      </c>
      <c r="T49" s="196"/>
    </row>
    <row r="50" spans="1:20" x14ac:dyDescent="0.25">
      <c r="A50" s="61">
        <f>'A) Base RI'!A51</f>
        <v>5480</v>
      </c>
      <c r="B50" s="72" t="str">
        <f>'A) Base RI'!B51</f>
        <v>Daillens</v>
      </c>
      <c r="C50" s="205">
        <v>654507.22977662005</v>
      </c>
      <c r="D50" s="206">
        <v>558925.15211136674</v>
      </c>
      <c r="E50" s="207">
        <v>0</v>
      </c>
      <c r="F50" s="206">
        <v>0</v>
      </c>
      <c r="G50" s="206">
        <v>0</v>
      </c>
      <c r="H50" s="208">
        <f t="shared" si="0"/>
        <v>1213432.3818879868</v>
      </c>
      <c r="I50" s="272">
        <v>38475.41492957747</v>
      </c>
      <c r="J50" s="125">
        <f>'B) D RI'!U51</f>
        <v>42113.849718309852</v>
      </c>
      <c r="K50" s="86">
        <f t="shared" si="1"/>
        <v>31.537863441082127</v>
      </c>
      <c r="L50" s="43">
        <f>'B) D RI'!S51</f>
        <v>71</v>
      </c>
      <c r="M50" s="43">
        <f t="shared" si="2"/>
        <v>39.462136558917877</v>
      </c>
      <c r="N50" s="166">
        <f>'J) Plafonnement effort'!G49+'J) Plafonnement effort'!H49-'K) Plafonnement aide'!I49</f>
        <v>31.753810000012447</v>
      </c>
      <c r="O50" s="166">
        <f t="shared" si="3"/>
        <v>71.215946558930327</v>
      </c>
      <c r="P50" s="59">
        <f t="shared" si="4"/>
        <v>0</v>
      </c>
      <c r="Q50" s="74">
        <f t="shared" si="5"/>
        <v>0</v>
      </c>
      <c r="R50" s="197">
        <f t="shared" si="6"/>
        <v>71.215946558930327</v>
      </c>
      <c r="S50" s="166">
        <f t="shared" si="7"/>
        <v>0.21594655893032666</v>
      </c>
      <c r="T50" s="196"/>
    </row>
    <row r="51" spans="1:20" x14ac:dyDescent="0.25">
      <c r="A51" s="61">
        <f>'A) Base RI'!A52</f>
        <v>5481</v>
      </c>
      <c r="B51" s="72" t="str">
        <f>'A) Base RI'!B52</f>
        <v>Dizy</v>
      </c>
      <c r="C51" s="205">
        <v>134322.47422085062</v>
      </c>
      <c r="D51" s="206">
        <v>87813.050541252902</v>
      </c>
      <c r="E51" s="207">
        <v>0</v>
      </c>
      <c r="F51" s="206">
        <v>0</v>
      </c>
      <c r="G51" s="206">
        <v>0</v>
      </c>
      <c r="H51" s="208">
        <f t="shared" si="0"/>
        <v>222135.52476210351</v>
      </c>
      <c r="I51" s="272">
        <v>8070.2010810810825</v>
      </c>
      <c r="J51" s="125">
        <f>'B) D RI'!U52</f>
        <v>8240.9954054054051</v>
      </c>
      <c r="K51" s="86">
        <f t="shared" si="1"/>
        <v>27.525401477647726</v>
      </c>
      <c r="L51" s="43">
        <f>'B) D RI'!S52</f>
        <v>74</v>
      </c>
      <c r="M51" s="43">
        <f t="shared" si="2"/>
        <v>46.474598522352274</v>
      </c>
      <c r="N51" s="166">
        <f>'J) Plafonnement effort'!G50+'J) Plafonnement effort'!H50-'K) Plafonnement aide'!I50</f>
        <v>27.428317019171583</v>
      </c>
      <c r="O51" s="166">
        <f t="shared" si="3"/>
        <v>73.902915541523853</v>
      </c>
      <c r="P51" s="59">
        <f t="shared" si="4"/>
        <v>0</v>
      </c>
      <c r="Q51" s="74">
        <f t="shared" si="5"/>
        <v>0</v>
      </c>
      <c r="R51" s="197">
        <f t="shared" si="6"/>
        <v>73.902915541523853</v>
      </c>
      <c r="S51" s="166">
        <f t="shared" si="7"/>
        <v>-9.7084458476146551E-2</v>
      </c>
      <c r="T51" s="196"/>
    </row>
    <row r="52" spans="1:20" x14ac:dyDescent="0.25">
      <c r="A52" s="61">
        <f>'A) Base RI'!A53</f>
        <v>5482</v>
      </c>
      <c r="B52" s="72" t="str">
        <f>'A) Base RI'!B53</f>
        <v>Eclépens</v>
      </c>
      <c r="C52" s="205">
        <v>1234366.237448574</v>
      </c>
      <c r="D52" s="206">
        <v>1077287</v>
      </c>
      <c r="E52" s="207">
        <v>0</v>
      </c>
      <c r="F52" s="206">
        <v>0</v>
      </c>
      <c r="G52" s="206">
        <v>0</v>
      </c>
      <c r="H52" s="208">
        <f t="shared" si="0"/>
        <v>2311653.237448574</v>
      </c>
      <c r="I52" s="272">
        <v>68499.201739130425</v>
      </c>
      <c r="J52" s="125">
        <f>'B) D RI'!U53</f>
        <v>64551.928043478263</v>
      </c>
      <c r="K52" s="86">
        <f t="shared" si="1"/>
        <v>33.747155861059234</v>
      </c>
      <c r="L52" s="43">
        <f>'B) D RI'!S53</f>
        <v>46</v>
      </c>
      <c r="M52" s="43">
        <f t="shared" si="2"/>
        <v>12.252844138940766</v>
      </c>
      <c r="N52" s="166">
        <f>'J) Plafonnement effort'!G51+'J) Plafonnement effort'!H51-'K) Plafonnement aide'!I51</f>
        <v>35.305745667479727</v>
      </c>
      <c r="O52" s="166">
        <f t="shared" si="3"/>
        <v>47.558589806420493</v>
      </c>
      <c r="P52" s="59">
        <f t="shared" si="4"/>
        <v>0</v>
      </c>
      <c r="Q52" s="74">
        <f t="shared" si="5"/>
        <v>0</v>
      </c>
      <c r="R52" s="197">
        <f t="shared" si="6"/>
        <v>47.558589806420493</v>
      </c>
      <c r="S52" s="166">
        <f t="shared" si="7"/>
        <v>1.5585898064204926</v>
      </c>
      <c r="T52" s="196"/>
    </row>
    <row r="53" spans="1:20" x14ac:dyDescent="0.25">
      <c r="A53" s="61">
        <f>'A) Base RI'!A54</f>
        <v>5483</v>
      </c>
      <c r="B53" s="72" t="str">
        <f>'A) Base RI'!B54</f>
        <v>Ferreyres</v>
      </c>
      <c r="C53" s="205">
        <v>143871.52566804222</v>
      </c>
      <c r="D53" s="206">
        <v>80870.165096787154</v>
      </c>
      <c r="E53" s="207">
        <v>0</v>
      </c>
      <c r="F53" s="206">
        <v>0</v>
      </c>
      <c r="G53" s="206">
        <v>0</v>
      </c>
      <c r="H53" s="208">
        <f t="shared" si="0"/>
        <v>224741.69076482937</v>
      </c>
      <c r="I53" s="272">
        <v>10043.857368421051</v>
      </c>
      <c r="J53" s="125">
        <f>'B) D RI'!U54</f>
        <v>9097.5578947368413</v>
      </c>
      <c r="K53" s="86">
        <f t="shared" si="1"/>
        <v>22.37603368118717</v>
      </c>
      <c r="L53" s="43">
        <f>'B) D RI'!S54</f>
        <v>76</v>
      </c>
      <c r="M53" s="43">
        <f t="shared" si="2"/>
        <v>53.623966318812833</v>
      </c>
      <c r="N53" s="166">
        <f>'J) Plafonnement effort'!G52+'J) Plafonnement effort'!H52-'K) Plafonnement aide'!I52</f>
        <v>18.392126208462265</v>
      </c>
      <c r="O53" s="166">
        <f t="shared" si="3"/>
        <v>72.016092527275106</v>
      </c>
      <c r="P53" s="59">
        <f t="shared" si="4"/>
        <v>0</v>
      </c>
      <c r="Q53" s="74">
        <f t="shared" si="5"/>
        <v>0</v>
      </c>
      <c r="R53" s="197">
        <f t="shared" si="6"/>
        <v>72.016092527275106</v>
      </c>
      <c r="S53" s="166">
        <f t="shared" si="7"/>
        <v>-3.9839074727248942</v>
      </c>
      <c r="T53" s="196"/>
    </row>
    <row r="54" spans="1:20" x14ac:dyDescent="0.25">
      <c r="A54" s="61">
        <f>'A) Base RI'!A55</f>
        <v>5484</v>
      </c>
      <c r="B54" s="72" t="str">
        <f>'A) Base RI'!B55</f>
        <v>Gollion</v>
      </c>
      <c r="C54" s="205">
        <v>420918.07843709009</v>
      </c>
      <c r="D54" s="206">
        <v>123968.59129166289</v>
      </c>
      <c r="E54" s="207">
        <v>0</v>
      </c>
      <c r="F54" s="206">
        <v>0</v>
      </c>
      <c r="G54" s="206">
        <v>0</v>
      </c>
      <c r="H54" s="208">
        <f t="shared" si="0"/>
        <v>544886.66972875292</v>
      </c>
      <c r="I54" s="272">
        <v>24450.824189189188</v>
      </c>
      <c r="J54" s="125">
        <f>'B) D RI'!U55</f>
        <v>23163.007162162161</v>
      </c>
      <c r="K54" s="86">
        <f t="shared" si="1"/>
        <v>22.285002154228891</v>
      </c>
      <c r="L54" s="43">
        <f>'B) D RI'!S55</f>
        <v>74</v>
      </c>
      <c r="M54" s="43">
        <f t="shared" si="2"/>
        <v>51.714997845771109</v>
      </c>
      <c r="N54" s="166">
        <f>'J) Plafonnement effort'!G53+'J) Plafonnement effort'!H53-'K) Plafonnement aide'!I53</f>
        <v>15.397364853207426</v>
      </c>
      <c r="O54" s="166">
        <f t="shared" si="3"/>
        <v>67.112362698978529</v>
      </c>
      <c r="P54" s="59">
        <f t="shared" si="4"/>
        <v>0</v>
      </c>
      <c r="Q54" s="74">
        <f t="shared" si="5"/>
        <v>0</v>
      </c>
      <c r="R54" s="197">
        <f t="shared" si="6"/>
        <v>67.112362698978529</v>
      </c>
      <c r="S54" s="166">
        <f t="shared" si="7"/>
        <v>-6.8876373010214706</v>
      </c>
      <c r="T54" s="196"/>
    </row>
    <row r="55" spans="1:20" x14ac:dyDescent="0.25">
      <c r="A55" s="61">
        <f>'A) Base RI'!A56</f>
        <v>5485</v>
      </c>
      <c r="B55" s="72" t="str">
        <f>'A) Base RI'!B56</f>
        <v>Grancy</v>
      </c>
      <c r="C55" s="205">
        <v>290644.4098220421</v>
      </c>
      <c r="D55" s="206">
        <v>293675</v>
      </c>
      <c r="E55" s="207">
        <v>0</v>
      </c>
      <c r="F55" s="206">
        <v>0</v>
      </c>
      <c r="G55" s="206">
        <v>0</v>
      </c>
      <c r="H55" s="208">
        <f t="shared" si="0"/>
        <v>584319.4098220421</v>
      </c>
      <c r="I55" s="272">
        <v>18011.997142857144</v>
      </c>
      <c r="J55" s="125">
        <f>'B) D RI'!U56</f>
        <v>17298.355857142858</v>
      </c>
      <c r="K55" s="86">
        <f t="shared" si="1"/>
        <v>32.440567538828439</v>
      </c>
      <c r="L55" s="43">
        <f>'B) D RI'!S56</f>
        <v>70</v>
      </c>
      <c r="M55" s="43">
        <f t="shared" si="2"/>
        <v>37.559432461171561</v>
      </c>
      <c r="N55" s="166">
        <f>'J) Plafonnement effort'!G54+'J) Plafonnement effort'!H54-'K) Plafonnement aide'!I54</f>
        <v>30.507461488989016</v>
      </c>
      <c r="O55" s="166">
        <f t="shared" si="3"/>
        <v>68.066893950160576</v>
      </c>
      <c r="P55" s="59">
        <f t="shared" si="4"/>
        <v>0</v>
      </c>
      <c r="Q55" s="74">
        <f t="shared" si="5"/>
        <v>0</v>
      </c>
      <c r="R55" s="197">
        <f t="shared" si="6"/>
        <v>68.066893950160576</v>
      </c>
      <c r="S55" s="166">
        <f t="shared" si="7"/>
        <v>-1.9331060498394237</v>
      </c>
      <c r="T55" s="196"/>
    </row>
    <row r="56" spans="1:20" x14ac:dyDescent="0.25">
      <c r="A56" s="61">
        <f>'A) Base RI'!A57</f>
        <v>5486</v>
      </c>
      <c r="B56" s="72" t="str">
        <f>'A) Base RI'!B57</f>
        <v>L'Isle</v>
      </c>
      <c r="C56" s="205">
        <v>518102.00840114173</v>
      </c>
      <c r="D56" s="206">
        <v>28892.002965370775</v>
      </c>
      <c r="E56" s="207">
        <v>0</v>
      </c>
      <c r="F56" s="206">
        <v>0</v>
      </c>
      <c r="G56" s="206">
        <v>0</v>
      </c>
      <c r="H56" s="208">
        <f t="shared" si="0"/>
        <v>546994.01136651251</v>
      </c>
      <c r="I56" s="272">
        <v>26627.790138888886</v>
      </c>
      <c r="J56" s="125">
        <f>'B) D RI'!U57</f>
        <v>27212.445657894736</v>
      </c>
      <c r="K56" s="86">
        <f t="shared" si="1"/>
        <v>20.54222331306601</v>
      </c>
      <c r="L56" s="43">
        <f>'B) D RI'!S57</f>
        <v>76</v>
      </c>
      <c r="M56" s="43">
        <f t="shared" si="2"/>
        <v>55.45777668693399</v>
      </c>
      <c r="N56" s="166">
        <f>'J) Plafonnement effort'!G55+'J) Plafonnement effort'!H55-'K) Plafonnement aide'!I55</f>
        <v>11.655018300639936</v>
      </c>
      <c r="O56" s="166">
        <f t="shared" si="3"/>
        <v>67.11279498757392</v>
      </c>
      <c r="P56" s="59">
        <f t="shared" si="4"/>
        <v>0</v>
      </c>
      <c r="Q56" s="74">
        <f t="shared" si="5"/>
        <v>0</v>
      </c>
      <c r="R56" s="197">
        <f t="shared" si="6"/>
        <v>67.11279498757392</v>
      </c>
      <c r="S56" s="166">
        <f t="shared" si="7"/>
        <v>-8.8872050124260795</v>
      </c>
      <c r="T56" s="196"/>
    </row>
    <row r="57" spans="1:20" x14ac:dyDescent="0.25">
      <c r="A57" s="61">
        <f>'A) Base RI'!A58</f>
        <v>5487</v>
      </c>
      <c r="B57" s="72" t="str">
        <f>'A) Base RI'!B58</f>
        <v>Lussery-Villars</v>
      </c>
      <c r="C57" s="205">
        <v>249348.70724757737</v>
      </c>
      <c r="D57" s="206">
        <v>160463.55778442629</v>
      </c>
      <c r="E57" s="207">
        <v>0</v>
      </c>
      <c r="F57" s="206">
        <v>0</v>
      </c>
      <c r="G57" s="206">
        <v>0</v>
      </c>
      <c r="H57" s="208">
        <f t="shared" si="0"/>
        <v>409812.26503200363</v>
      </c>
      <c r="I57" s="272">
        <v>14161.564</v>
      </c>
      <c r="J57" s="125">
        <f>'B) D RI'!U58</f>
        <v>12274.32455882353</v>
      </c>
      <c r="K57" s="86">
        <f t="shared" si="1"/>
        <v>28.938347842936249</v>
      </c>
      <c r="L57" s="43">
        <f>'B) D RI'!S58</f>
        <v>68</v>
      </c>
      <c r="M57" s="43">
        <f t="shared" si="2"/>
        <v>39.061652157063747</v>
      </c>
      <c r="N57" s="166">
        <f>'J) Plafonnement effort'!G56+'J) Plafonnement effort'!H56-'K) Plafonnement aide'!I56</f>
        <v>19.464028432288593</v>
      </c>
      <c r="O57" s="166">
        <f t="shared" si="3"/>
        <v>58.525680589352341</v>
      </c>
      <c r="P57" s="59">
        <f t="shared" si="4"/>
        <v>0</v>
      </c>
      <c r="Q57" s="74">
        <f t="shared" si="5"/>
        <v>0</v>
      </c>
      <c r="R57" s="197">
        <f t="shared" si="6"/>
        <v>58.525680589352341</v>
      </c>
      <c r="S57" s="166">
        <f t="shared" si="7"/>
        <v>-9.4743194106476594</v>
      </c>
      <c r="T57" s="196"/>
    </row>
    <row r="58" spans="1:20" x14ac:dyDescent="0.25">
      <c r="A58" s="61">
        <f>'A) Base RI'!A59</f>
        <v>5488</v>
      </c>
      <c r="B58" s="72" t="str">
        <f>'A) Base RI'!B59</f>
        <v>Mauraz</v>
      </c>
      <c r="C58" s="205">
        <v>22328.00936820903</v>
      </c>
      <c r="D58" s="206">
        <v>14502.851162874485</v>
      </c>
      <c r="E58" s="207">
        <v>0</v>
      </c>
      <c r="F58" s="206">
        <v>0</v>
      </c>
      <c r="G58" s="206">
        <v>0</v>
      </c>
      <c r="H58" s="208">
        <f t="shared" si="0"/>
        <v>36830.860531083512</v>
      </c>
      <c r="I58" s="272">
        <v>1648.4024324324325</v>
      </c>
      <c r="J58" s="125">
        <f>'B) D RI'!U59</f>
        <v>1417.5255405405405</v>
      </c>
      <c r="K58" s="86">
        <f t="shared" si="1"/>
        <v>22.343367011861769</v>
      </c>
      <c r="L58" s="43">
        <f>'B) D RI'!S59</f>
        <v>74</v>
      </c>
      <c r="M58" s="43">
        <f t="shared" si="2"/>
        <v>51.656632988138227</v>
      </c>
      <c r="N58" s="166">
        <f>'J) Plafonnement effort'!G57+'J) Plafonnement effort'!H57-'K) Plafonnement aide'!I57</f>
        <v>15.932804069121584</v>
      </c>
      <c r="O58" s="166">
        <f t="shared" si="3"/>
        <v>67.589437057259815</v>
      </c>
      <c r="P58" s="59">
        <f t="shared" si="4"/>
        <v>0</v>
      </c>
      <c r="Q58" s="74">
        <f t="shared" si="5"/>
        <v>0</v>
      </c>
      <c r="R58" s="197">
        <f t="shared" si="6"/>
        <v>67.589437057259815</v>
      </c>
      <c r="S58" s="166">
        <f t="shared" si="7"/>
        <v>-6.4105629427401851</v>
      </c>
      <c r="T58" s="196"/>
    </row>
    <row r="59" spans="1:20" x14ac:dyDescent="0.25">
      <c r="A59" s="61">
        <f>'A) Base RI'!A60</f>
        <v>5489</v>
      </c>
      <c r="B59" s="72" t="str">
        <f>'A) Base RI'!B60</f>
        <v>Mex</v>
      </c>
      <c r="C59" s="205">
        <v>1145121.1205275774</v>
      </c>
      <c r="D59" s="206">
        <v>802656</v>
      </c>
      <c r="E59" s="207">
        <v>0</v>
      </c>
      <c r="F59" s="206">
        <v>0</v>
      </c>
      <c r="G59" s="206">
        <v>0</v>
      </c>
      <c r="H59" s="208">
        <f t="shared" si="0"/>
        <v>1947777.1205275774</v>
      </c>
      <c r="I59" s="272">
        <v>53932.616065573762</v>
      </c>
      <c r="J59" s="125">
        <f>'B) D RI'!U60</f>
        <v>37121.285573770496</v>
      </c>
      <c r="K59" s="86">
        <f t="shared" si="1"/>
        <v>36.115012818205962</v>
      </c>
      <c r="L59" s="43">
        <f>'B) D RI'!S60</f>
        <v>61</v>
      </c>
      <c r="M59" s="43">
        <f t="shared" si="2"/>
        <v>24.884987181794038</v>
      </c>
      <c r="N59" s="166">
        <f>'J) Plafonnement effort'!G58+'J) Plafonnement effort'!H58-'K) Plafonnement aide'!I58</f>
        <v>34.057909234674348</v>
      </c>
      <c r="O59" s="166">
        <f t="shared" si="3"/>
        <v>58.942896416468386</v>
      </c>
      <c r="P59" s="59">
        <f t="shared" si="4"/>
        <v>0</v>
      </c>
      <c r="Q59" s="74">
        <f t="shared" si="5"/>
        <v>0</v>
      </c>
      <c r="R59" s="197">
        <f t="shared" si="6"/>
        <v>58.942896416468386</v>
      </c>
      <c r="S59" s="166">
        <f t="shared" si="7"/>
        <v>-2.0571035835316138</v>
      </c>
      <c r="T59" s="196"/>
    </row>
    <row r="60" spans="1:20" x14ac:dyDescent="0.25">
      <c r="A60" s="61">
        <f>'A) Base RI'!A61</f>
        <v>5490</v>
      </c>
      <c r="B60" s="72" t="str">
        <f>'A) Base RI'!B61</f>
        <v>Moiry</v>
      </c>
      <c r="C60" s="205">
        <v>132437.58838513837</v>
      </c>
      <c r="D60" s="206">
        <v>-9505.7223198069842</v>
      </c>
      <c r="E60" s="207">
        <v>0</v>
      </c>
      <c r="F60" s="206">
        <v>0</v>
      </c>
      <c r="G60" s="206">
        <v>-1116.7608574396581</v>
      </c>
      <c r="H60" s="208">
        <f t="shared" si="0"/>
        <v>121815.10520789173</v>
      </c>
      <c r="I60" s="272">
        <v>7150.2259259259263</v>
      </c>
      <c r="J60" s="125">
        <f>'B) D RI'!U61</f>
        <v>7321.727037037037</v>
      </c>
      <c r="K60" s="86">
        <f t="shared" si="1"/>
        <v>17.036539330345306</v>
      </c>
      <c r="L60" s="43">
        <f>'B) D RI'!S61</f>
        <v>81</v>
      </c>
      <c r="M60" s="43">
        <f t="shared" si="2"/>
        <v>63.963460669654694</v>
      </c>
      <c r="N60" s="166">
        <f>'J) Plafonnement effort'!G59+'J) Plafonnement effort'!H59-'K) Plafonnement aide'!I59</f>
        <v>10.181223474903245</v>
      </c>
      <c r="O60" s="166">
        <f t="shared" si="3"/>
        <v>74.144684144557942</v>
      </c>
      <c r="P60" s="59">
        <f t="shared" si="4"/>
        <v>0</v>
      </c>
      <c r="Q60" s="74">
        <f t="shared" si="5"/>
        <v>0</v>
      </c>
      <c r="R60" s="197">
        <f t="shared" si="6"/>
        <v>74.144684144557942</v>
      </c>
      <c r="S60" s="166">
        <f t="shared" si="7"/>
        <v>-6.8553158554420577</v>
      </c>
      <c r="T60" s="196"/>
    </row>
    <row r="61" spans="1:20" x14ac:dyDescent="0.25">
      <c r="A61" s="61">
        <f>'A) Base RI'!A62</f>
        <v>5491</v>
      </c>
      <c r="B61" s="72" t="str">
        <f>'A) Base RI'!B62</f>
        <v>Mont-la-Ville</v>
      </c>
      <c r="C61" s="205">
        <v>204369.06858472625</v>
      </c>
      <c r="D61" s="206">
        <v>-33544.401877045486</v>
      </c>
      <c r="E61" s="207">
        <v>0</v>
      </c>
      <c r="F61" s="206">
        <v>0</v>
      </c>
      <c r="G61" s="206">
        <v>0</v>
      </c>
      <c r="H61" s="208">
        <f t="shared" si="0"/>
        <v>170824.66670768076</v>
      </c>
      <c r="I61" s="272">
        <v>9158.0513157894729</v>
      </c>
      <c r="J61" s="125">
        <f>'B) D RI'!U62</f>
        <v>8599.6809210526335</v>
      </c>
      <c r="K61" s="86">
        <f t="shared" si="1"/>
        <v>18.652949281159906</v>
      </c>
      <c r="L61" s="43">
        <f>'B) D RI'!S62</f>
        <v>76</v>
      </c>
      <c r="M61" s="43">
        <f t="shared" ref="M61:M114" si="8">L61-K61</f>
        <v>57.347050718840094</v>
      </c>
      <c r="N61" s="166">
        <f>'J) Plafonnement effort'!G60+'J) Plafonnement effort'!H60-'K) Plafonnement aide'!I60</f>
        <v>-0.83499009003633162</v>
      </c>
      <c r="O61" s="166">
        <f t="shared" ref="O61:O114" si="9">M61+N61</f>
        <v>56.512060628803766</v>
      </c>
      <c r="P61" s="59">
        <f t="shared" ref="P61:P114" si="10">IF(O61&gt;$P$5,$P$5-O61,0)</f>
        <v>0</v>
      </c>
      <c r="Q61" s="74">
        <f t="shared" si="5"/>
        <v>0</v>
      </c>
      <c r="R61" s="197">
        <f t="shared" ref="R61:R114" si="11">O61+P61</f>
        <v>56.512060628803766</v>
      </c>
      <c r="S61" s="166">
        <f t="shared" ref="S61:S114" si="12">R61-L61</f>
        <v>-19.487939371196234</v>
      </c>
      <c r="T61" s="196"/>
    </row>
    <row r="62" spans="1:20" x14ac:dyDescent="0.25">
      <c r="A62" s="61">
        <f>'A) Base RI'!A63</f>
        <v>5492</v>
      </c>
      <c r="B62" s="72" t="str">
        <f>'A) Base RI'!B63</f>
        <v>Montricher</v>
      </c>
      <c r="C62" s="205">
        <v>4920408.5286381561</v>
      </c>
      <c r="D62" s="206">
        <v>1708302</v>
      </c>
      <c r="E62" s="207">
        <v>0</v>
      </c>
      <c r="F62" s="206">
        <v>0</v>
      </c>
      <c r="G62" s="206">
        <v>0</v>
      </c>
      <c r="H62" s="208">
        <f t="shared" si="0"/>
        <v>6628710.5286381561</v>
      </c>
      <c r="I62" s="272">
        <v>150474.39203125</v>
      </c>
      <c r="J62" s="125">
        <f>'B) D RI'!U63</f>
        <v>187025.79406249998</v>
      </c>
      <c r="K62" s="86">
        <f t="shared" ref="K62:K116" si="13">H62/I62</f>
        <v>44.052083807466246</v>
      </c>
      <c r="L62" s="43">
        <f>'B) D RI'!S63</f>
        <v>64</v>
      </c>
      <c r="M62" s="43">
        <f t="shared" si="8"/>
        <v>19.947916192533754</v>
      </c>
      <c r="N62" s="166">
        <f>'J) Plafonnement effort'!G61+'J) Plafonnement effort'!H61-'K) Plafonnement aide'!I61</f>
        <v>49.717609252479974</v>
      </c>
      <c r="O62" s="166">
        <f t="shared" si="9"/>
        <v>69.665525445013728</v>
      </c>
      <c r="P62" s="59">
        <f t="shared" si="10"/>
        <v>0</v>
      </c>
      <c r="Q62" s="74">
        <f t="shared" si="5"/>
        <v>0</v>
      </c>
      <c r="R62" s="197">
        <f t="shared" si="11"/>
        <v>69.665525445013728</v>
      </c>
      <c r="S62" s="166">
        <f t="shared" si="12"/>
        <v>5.6655254450137278</v>
      </c>
      <c r="T62" s="196"/>
    </row>
    <row r="63" spans="1:20" x14ac:dyDescent="0.25">
      <c r="A63" s="61">
        <f>'A) Base RI'!A64</f>
        <v>5493</v>
      </c>
      <c r="B63" s="72" t="str">
        <f>'A) Base RI'!B64</f>
        <v>Orny</v>
      </c>
      <c r="C63" s="205">
        <v>173936.62156396045</v>
      </c>
      <c r="D63" s="206">
        <v>78.528142144990852</v>
      </c>
      <c r="E63" s="207">
        <v>0</v>
      </c>
      <c r="F63" s="206">
        <v>0</v>
      </c>
      <c r="G63" s="206">
        <v>0</v>
      </c>
      <c r="H63" s="208">
        <f t="shared" si="0"/>
        <v>174015.14970610544</v>
      </c>
      <c r="I63" s="272">
        <v>9474.9746364594321</v>
      </c>
      <c r="J63" s="125">
        <f>'B) D RI'!U64</f>
        <v>10614.324773445733</v>
      </c>
      <c r="K63" s="86">
        <f t="shared" si="13"/>
        <v>18.36576417170555</v>
      </c>
      <c r="L63" s="43">
        <f>'B) D RI'!S64</f>
        <v>73</v>
      </c>
      <c r="M63" s="43">
        <f t="shared" si="8"/>
        <v>54.63423582829445</v>
      </c>
      <c r="N63" s="166">
        <f>'J) Plafonnement effort'!G62+'J) Plafonnement effort'!H62-'K) Plafonnement aide'!I62</f>
        <v>16.307944400910351</v>
      </c>
      <c r="O63" s="166">
        <f t="shared" si="9"/>
        <v>70.942180229204808</v>
      </c>
      <c r="P63" s="59">
        <f t="shared" si="10"/>
        <v>0</v>
      </c>
      <c r="Q63" s="74">
        <f t="shared" ref="Q63:Q117" si="14">P63*J63</f>
        <v>0</v>
      </c>
      <c r="R63" s="197">
        <f t="shared" si="11"/>
        <v>70.942180229204808</v>
      </c>
      <c r="S63" s="166">
        <f t="shared" si="12"/>
        <v>-2.0578197707951915</v>
      </c>
      <c r="T63" s="196"/>
    </row>
    <row r="64" spans="1:20" x14ac:dyDescent="0.25">
      <c r="A64" s="61">
        <f>'A) Base RI'!A65</f>
        <v>5494</v>
      </c>
      <c r="B64" s="72" t="str">
        <f>'A) Base RI'!B65</f>
        <v>Pampigny</v>
      </c>
      <c r="C64" s="205">
        <v>536054.47745054634</v>
      </c>
      <c r="D64" s="206">
        <v>203326.73677942372</v>
      </c>
      <c r="E64" s="207">
        <v>0</v>
      </c>
      <c r="F64" s="206">
        <v>0</v>
      </c>
      <c r="G64" s="206">
        <v>0</v>
      </c>
      <c r="H64" s="208">
        <f t="shared" si="0"/>
        <v>739381.21422997001</v>
      </c>
      <c r="I64" s="272">
        <v>34918.82189206349</v>
      </c>
      <c r="J64" s="125">
        <f>'B) D RI'!U65</f>
        <v>33982.091568253971</v>
      </c>
      <c r="K64" s="86">
        <f t="shared" si="13"/>
        <v>21.174288654853502</v>
      </c>
      <c r="L64" s="43">
        <f>'B) D RI'!S65</f>
        <v>75</v>
      </c>
      <c r="M64" s="43">
        <f t="shared" si="8"/>
        <v>53.825711345146502</v>
      </c>
      <c r="N64" s="166">
        <f>'J) Plafonnement effort'!G63+'J) Plafonnement effort'!H63-'K) Plafonnement aide'!I63</f>
        <v>16.420025854460349</v>
      </c>
      <c r="O64" s="166">
        <f t="shared" si="9"/>
        <v>70.24573719960685</v>
      </c>
      <c r="P64" s="59">
        <f t="shared" si="10"/>
        <v>0</v>
      </c>
      <c r="Q64" s="74">
        <f t="shared" si="14"/>
        <v>0</v>
      </c>
      <c r="R64" s="197">
        <f t="shared" si="11"/>
        <v>70.24573719960685</v>
      </c>
      <c r="S64" s="166">
        <f t="shared" si="12"/>
        <v>-4.7542628003931497</v>
      </c>
      <c r="T64" s="196"/>
    </row>
    <row r="65" spans="1:20" x14ac:dyDescent="0.25">
      <c r="A65" s="61">
        <f>'A) Base RI'!A66</f>
        <v>5495</v>
      </c>
      <c r="B65" s="72" t="str">
        <f>'A) Base RI'!B66</f>
        <v>Penthalaz</v>
      </c>
      <c r="C65" s="205">
        <v>1423122.4615455647</v>
      </c>
      <c r="D65" s="206">
        <v>-362145.11305783386</v>
      </c>
      <c r="E65" s="207">
        <v>0</v>
      </c>
      <c r="F65" s="206">
        <v>0</v>
      </c>
      <c r="G65" s="206">
        <v>0</v>
      </c>
      <c r="H65" s="208">
        <f t="shared" si="0"/>
        <v>1060977.3484877308</v>
      </c>
      <c r="I65" s="272">
        <v>87716.055405405408</v>
      </c>
      <c r="J65" s="125">
        <f>'B) D RI'!U66</f>
        <v>96162.321351351362</v>
      </c>
      <c r="K65" s="86">
        <f t="shared" si="13"/>
        <v>12.095588927068297</v>
      </c>
      <c r="L65" s="43">
        <f>'B) D RI'!S66</f>
        <v>74</v>
      </c>
      <c r="M65" s="43">
        <f t="shared" si="8"/>
        <v>61.904411072931701</v>
      </c>
      <c r="N65" s="166">
        <f>'J) Plafonnement effort'!G64+'J) Plafonnement effort'!H64-'K) Plafonnement aide'!I64</f>
        <v>12.232712396382915</v>
      </c>
      <c r="O65" s="166">
        <f t="shared" si="9"/>
        <v>74.137123469314616</v>
      </c>
      <c r="P65" s="59">
        <f t="shared" si="10"/>
        <v>0</v>
      </c>
      <c r="Q65" s="74">
        <f t="shared" si="14"/>
        <v>0</v>
      </c>
      <c r="R65" s="197">
        <f t="shared" si="11"/>
        <v>74.137123469314616</v>
      </c>
      <c r="S65" s="166">
        <f t="shared" si="12"/>
        <v>0.13712346931461639</v>
      </c>
      <c r="T65" s="196"/>
    </row>
    <row r="66" spans="1:20" x14ac:dyDescent="0.25">
      <c r="A66" s="61">
        <f>'A) Base RI'!A67</f>
        <v>5496</v>
      </c>
      <c r="B66" s="72" t="str">
        <f>'A) Base RI'!B67</f>
        <v>Penthaz</v>
      </c>
      <c r="C66" s="205">
        <v>810867.26833439339</v>
      </c>
      <c r="D66" s="206">
        <v>183880.98576242267</v>
      </c>
      <c r="E66" s="207">
        <v>0</v>
      </c>
      <c r="F66" s="206">
        <v>0</v>
      </c>
      <c r="G66" s="206">
        <v>0</v>
      </c>
      <c r="H66" s="208">
        <f t="shared" si="0"/>
        <v>994748.25409681606</v>
      </c>
      <c r="I66" s="272">
        <v>51566.366901408452</v>
      </c>
      <c r="J66" s="125">
        <f>'B) D RI'!U67</f>
        <v>55211.289014084505</v>
      </c>
      <c r="K66" s="86">
        <f t="shared" si="13"/>
        <v>19.29064066116409</v>
      </c>
      <c r="L66" s="43">
        <f>'B) D RI'!S67</f>
        <v>71</v>
      </c>
      <c r="M66" s="43">
        <f t="shared" si="8"/>
        <v>51.70935933883591</v>
      </c>
      <c r="N66" s="166">
        <f>'J) Plafonnement effort'!G65+'J) Plafonnement effort'!H65-'K) Plafonnement aide'!I65</f>
        <v>20.321075832221887</v>
      </c>
      <c r="O66" s="166">
        <f t="shared" si="9"/>
        <v>72.030435171057803</v>
      </c>
      <c r="P66" s="59">
        <f t="shared" si="10"/>
        <v>0</v>
      </c>
      <c r="Q66" s="74">
        <f t="shared" si="14"/>
        <v>0</v>
      </c>
      <c r="R66" s="197">
        <f t="shared" si="11"/>
        <v>72.030435171057803</v>
      </c>
      <c r="S66" s="166">
        <f t="shared" si="12"/>
        <v>1.0304351710578032</v>
      </c>
      <c r="T66" s="196"/>
    </row>
    <row r="67" spans="1:20" x14ac:dyDescent="0.25">
      <c r="A67" s="61">
        <f>'A) Base RI'!A68</f>
        <v>5497</v>
      </c>
      <c r="B67" s="72" t="str">
        <f>'A) Base RI'!B68</f>
        <v>Pompaples</v>
      </c>
      <c r="C67" s="205">
        <v>355562.27867843863</v>
      </c>
      <c r="D67" s="206">
        <v>3326.1480528209941</v>
      </c>
      <c r="E67" s="207">
        <v>0</v>
      </c>
      <c r="F67" s="206">
        <v>0</v>
      </c>
      <c r="G67" s="206">
        <v>0</v>
      </c>
      <c r="H67" s="208">
        <f t="shared" si="0"/>
        <v>358888.42673125962</v>
      </c>
      <c r="I67" s="272">
        <v>20299.313939393938</v>
      </c>
      <c r="J67" s="125">
        <f>'B) D RI'!U68</f>
        <v>22227.212272727276</v>
      </c>
      <c r="K67" s="86">
        <f t="shared" si="13"/>
        <v>17.679830353023974</v>
      </c>
      <c r="L67" s="43">
        <f>'B) D RI'!S68</f>
        <v>66</v>
      </c>
      <c r="M67" s="43">
        <f t="shared" si="8"/>
        <v>48.320169646976026</v>
      </c>
      <c r="N67" s="166">
        <f>'J) Plafonnement effort'!G66+'J) Plafonnement effort'!H66-'K) Plafonnement aide'!I66</f>
        <v>16.46638316510991</v>
      </c>
      <c r="O67" s="166">
        <f t="shared" si="9"/>
        <v>64.786552812085944</v>
      </c>
      <c r="P67" s="59">
        <f t="shared" si="10"/>
        <v>0</v>
      </c>
      <c r="Q67" s="74">
        <f t="shared" si="14"/>
        <v>0</v>
      </c>
      <c r="R67" s="197">
        <f t="shared" si="11"/>
        <v>64.786552812085944</v>
      </c>
      <c r="S67" s="166">
        <f t="shared" si="12"/>
        <v>-1.2134471879140563</v>
      </c>
      <c r="T67" s="196"/>
    </row>
    <row r="68" spans="1:20" x14ac:dyDescent="0.25">
      <c r="A68" s="61">
        <f>'A) Base RI'!A69</f>
        <v>5498</v>
      </c>
      <c r="B68" s="72" t="str">
        <f>'A) Base RI'!B69</f>
        <v>La Sarraz</v>
      </c>
      <c r="C68" s="205">
        <v>1110764.6007609051</v>
      </c>
      <c r="D68" s="206">
        <v>85778.763613966294</v>
      </c>
      <c r="E68" s="207">
        <v>0</v>
      </c>
      <c r="F68" s="206">
        <v>0</v>
      </c>
      <c r="G68" s="206">
        <v>0</v>
      </c>
      <c r="H68" s="208">
        <f t="shared" si="0"/>
        <v>1196543.3643748714</v>
      </c>
      <c r="I68" s="272">
        <v>72296.623593750002</v>
      </c>
      <c r="J68" s="125">
        <f>'B) D RI'!U69</f>
        <v>72104.13</v>
      </c>
      <c r="K68" s="86">
        <f t="shared" si="13"/>
        <v>16.550473658334326</v>
      </c>
      <c r="L68" s="43">
        <f>'B) D RI'!S69</f>
        <v>64</v>
      </c>
      <c r="M68" s="43">
        <f t="shared" si="8"/>
        <v>47.449526341665674</v>
      </c>
      <c r="N68" s="166">
        <f>'J) Plafonnement effort'!G67+'J) Plafonnement effort'!H67-'K) Plafonnement aide'!I67</f>
        <v>10.637590605290814</v>
      </c>
      <c r="O68" s="166">
        <f t="shared" si="9"/>
        <v>58.087116946956485</v>
      </c>
      <c r="P68" s="59">
        <f t="shared" si="10"/>
        <v>0</v>
      </c>
      <c r="Q68" s="74">
        <f t="shared" si="14"/>
        <v>0</v>
      </c>
      <c r="R68" s="197">
        <f t="shared" si="11"/>
        <v>58.087116946956485</v>
      </c>
      <c r="S68" s="166">
        <f t="shared" si="12"/>
        <v>-5.9128830530435152</v>
      </c>
      <c r="T68" s="196"/>
    </row>
    <row r="69" spans="1:20" x14ac:dyDescent="0.25">
      <c r="A69" s="61">
        <f>'A) Base RI'!A70</f>
        <v>5499</v>
      </c>
      <c r="B69" s="72" t="str">
        <f>'A) Base RI'!B70</f>
        <v>Senarclens</v>
      </c>
      <c r="C69" s="205">
        <v>249268.19212460003</v>
      </c>
      <c r="D69" s="206">
        <v>247638.86312178156</v>
      </c>
      <c r="E69" s="207">
        <v>0</v>
      </c>
      <c r="F69" s="206">
        <v>0</v>
      </c>
      <c r="G69" s="206">
        <v>0</v>
      </c>
      <c r="H69" s="208">
        <f t="shared" si="0"/>
        <v>496907.05524638155</v>
      </c>
      <c r="I69" s="272">
        <v>17459.062919708031</v>
      </c>
      <c r="J69" s="125">
        <f>'B) D RI'!U70</f>
        <v>21697.695620437953</v>
      </c>
      <c r="K69" s="86">
        <f t="shared" si="13"/>
        <v>28.461267224454872</v>
      </c>
      <c r="L69" s="43">
        <f>'B) D RI'!S70</f>
        <v>68.5</v>
      </c>
      <c r="M69" s="43">
        <f t="shared" si="8"/>
        <v>40.038732775545128</v>
      </c>
      <c r="N69" s="166">
        <f>'J) Plafonnement effort'!G68+'J) Plafonnement effort'!H68-'K) Plafonnement aide'!I68</f>
        <v>34.820305278889052</v>
      </c>
      <c r="O69" s="166">
        <f t="shared" si="9"/>
        <v>74.85903805443418</v>
      </c>
      <c r="P69" s="59">
        <f t="shared" si="10"/>
        <v>0</v>
      </c>
      <c r="Q69" s="74">
        <f t="shared" si="14"/>
        <v>0</v>
      </c>
      <c r="R69" s="197">
        <f t="shared" si="11"/>
        <v>74.85903805443418</v>
      </c>
      <c r="S69" s="166">
        <f t="shared" si="12"/>
        <v>6.3590380544341798</v>
      </c>
      <c r="T69" s="196"/>
    </row>
    <row r="70" spans="1:20" x14ac:dyDescent="0.25">
      <c r="A70" s="61">
        <f>'A) Base RI'!A71</f>
        <v>5500</v>
      </c>
      <c r="B70" s="72" t="str">
        <f>'A) Base RI'!B71</f>
        <v>Sévery</v>
      </c>
      <c r="C70" s="205">
        <v>86578.555828251396</v>
      </c>
      <c r="D70" s="206">
        <v>717.03796579265327</v>
      </c>
      <c r="E70" s="207">
        <v>0</v>
      </c>
      <c r="F70" s="206">
        <v>0</v>
      </c>
      <c r="G70" s="206">
        <v>0</v>
      </c>
      <c r="H70" s="208">
        <f t="shared" si="0"/>
        <v>87295.593794044049</v>
      </c>
      <c r="I70" s="272">
        <v>6102.0277564102553</v>
      </c>
      <c r="J70" s="125">
        <f>'B) D RI'!U71</f>
        <v>6767.1525657894736</v>
      </c>
      <c r="K70" s="86">
        <f t="shared" si="13"/>
        <v>14.305997494413058</v>
      </c>
      <c r="L70" s="43">
        <f>'B) D RI'!S71</f>
        <v>76</v>
      </c>
      <c r="M70" s="43">
        <f t="shared" si="8"/>
        <v>61.694002505586944</v>
      </c>
      <c r="N70" s="166">
        <f>'J) Plafonnement effort'!G69+'J) Plafonnement effort'!H69-'K) Plafonnement aide'!I69</f>
        <v>18.181710670788519</v>
      </c>
      <c r="O70" s="166">
        <f t="shared" si="9"/>
        <v>79.875713176375456</v>
      </c>
      <c r="P70" s="59">
        <f t="shared" si="10"/>
        <v>0</v>
      </c>
      <c r="Q70" s="74">
        <f t="shared" si="14"/>
        <v>0</v>
      </c>
      <c r="R70" s="197">
        <f t="shared" si="11"/>
        <v>79.875713176375456</v>
      </c>
      <c r="S70" s="166">
        <f t="shared" si="12"/>
        <v>3.8757131763754558</v>
      </c>
      <c r="T70" s="196"/>
    </row>
    <row r="71" spans="1:20" x14ac:dyDescent="0.25">
      <c r="A71" s="61">
        <f>'A) Base RI'!A72</f>
        <v>5501</v>
      </c>
      <c r="B71" s="72" t="str">
        <f>'A) Base RI'!B72</f>
        <v>Sullens</v>
      </c>
      <c r="C71" s="205">
        <v>725555.54373147653</v>
      </c>
      <c r="D71" s="206">
        <v>568685.60544915986</v>
      </c>
      <c r="E71" s="207">
        <v>0</v>
      </c>
      <c r="F71" s="206">
        <v>0</v>
      </c>
      <c r="G71" s="206">
        <v>0</v>
      </c>
      <c r="H71" s="208">
        <f t="shared" ref="H71:H134" si="15">SUM(C71:G71)</f>
        <v>1294241.1491806363</v>
      </c>
      <c r="I71" s="272">
        <v>37787.89666666666</v>
      </c>
      <c r="J71" s="125">
        <f>'B) D RI'!U72</f>
        <v>35887.851857142865</v>
      </c>
      <c r="K71" s="86">
        <f t="shared" si="13"/>
        <v>34.250150533578342</v>
      </c>
      <c r="L71" s="43">
        <f>'B) D RI'!S72</f>
        <v>70</v>
      </c>
      <c r="M71" s="43">
        <f t="shared" si="8"/>
        <v>35.749849466421658</v>
      </c>
      <c r="N71" s="166">
        <f>'J) Plafonnement effort'!G70+'J) Plafonnement effort'!H70-'K) Plafonnement aide'!I70</f>
        <v>31.601866899297693</v>
      </c>
      <c r="O71" s="166">
        <f t="shared" si="9"/>
        <v>67.351716365719355</v>
      </c>
      <c r="P71" s="59">
        <f t="shared" si="10"/>
        <v>0</v>
      </c>
      <c r="Q71" s="74">
        <f t="shared" si="14"/>
        <v>0</v>
      </c>
      <c r="R71" s="197">
        <f t="shared" si="11"/>
        <v>67.351716365719355</v>
      </c>
      <c r="S71" s="166">
        <f t="shared" si="12"/>
        <v>-2.6482836342806451</v>
      </c>
      <c r="T71" s="196"/>
    </row>
    <row r="72" spans="1:20" x14ac:dyDescent="0.25">
      <c r="A72" s="61">
        <f>'A) Base RI'!A73</f>
        <v>5503</v>
      </c>
      <c r="B72" s="72" t="str">
        <f>'A) Base RI'!B73</f>
        <v>Vufflens-la-Ville</v>
      </c>
      <c r="C72" s="205">
        <v>862855.62396622985</v>
      </c>
      <c r="D72" s="206">
        <v>888044</v>
      </c>
      <c r="E72" s="207">
        <v>0</v>
      </c>
      <c r="F72" s="206">
        <v>0</v>
      </c>
      <c r="G72" s="206">
        <v>0</v>
      </c>
      <c r="H72" s="208">
        <f t="shared" si="15"/>
        <v>1750899.6239662298</v>
      </c>
      <c r="I72" s="272">
        <v>57812.991915422885</v>
      </c>
      <c r="J72" s="125">
        <f>'B) D RI'!U73</f>
        <v>61379.446318407958</v>
      </c>
      <c r="K72" s="86">
        <f t="shared" si="13"/>
        <v>30.285573639359406</v>
      </c>
      <c r="L72" s="43">
        <f>'B) D RI'!S73</f>
        <v>67</v>
      </c>
      <c r="M72" s="43">
        <f t="shared" si="8"/>
        <v>36.714426360640594</v>
      </c>
      <c r="N72" s="166">
        <f>'J) Plafonnement effort'!G71+'J) Plafonnement effort'!H71-'K) Plafonnement aide'!I71</f>
        <v>36.450069680381517</v>
      </c>
      <c r="O72" s="166">
        <f t="shared" si="9"/>
        <v>73.164496041022119</v>
      </c>
      <c r="P72" s="59">
        <f t="shared" si="10"/>
        <v>0</v>
      </c>
      <c r="Q72" s="74">
        <f t="shared" si="14"/>
        <v>0</v>
      </c>
      <c r="R72" s="197">
        <f t="shared" si="11"/>
        <v>73.164496041022119</v>
      </c>
      <c r="S72" s="166">
        <f t="shared" si="12"/>
        <v>6.1644960410221188</v>
      </c>
      <c r="T72" s="196"/>
    </row>
    <row r="73" spans="1:20" x14ac:dyDescent="0.25">
      <c r="A73" s="61">
        <f>'A) Base RI'!A74</f>
        <v>5511</v>
      </c>
      <c r="B73" s="72" t="str">
        <f>'A) Base RI'!B74</f>
        <v>Assens</v>
      </c>
      <c r="C73" s="205">
        <v>615885.95566889294</v>
      </c>
      <c r="D73" s="206">
        <v>523784.50844447361</v>
      </c>
      <c r="E73" s="207">
        <v>0</v>
      </c>
      <c r="F73" s="206">
        <v>0</v>
      </c>
      <c r="G73" s="206">
        <v>0</v>
      </c>
      <c r="H73" s="208">
        <f t="shared" si="15"/>
        <v>1139670.4641133666</v>
      </c>
      <c r="I73" s="272">
        <v>39783.593571428566</v>
      </c>
      <c r="J73" s="125">
        <f>'B) D RI'!U74</f>
        <v>41422.612571428566</v>
      </c>
      <c r="K73" s="86">
        <f t="shared" si="13"/>
        <v>28.646745097754195</v>
      </c>
      <c r="L73" s="43">
        <f>'B) D RI'!S74</f>
        <v>70</v>
      </c>
      <c r="M73" s="43">
        <f t="shared" si="8"/>
        <v>41.353254902245808</v>
      </c>
      <c r="N73" s="166">
        <f>'J) Plafonnement effort'!G72+'J) Plafonnement effort'!H72-'K) Plafonnement aide'!I72</f>
        <v>27.122540407483875</v>
      </c>
      <c r="O73" s="166">
        <f t="shared" si="9"/>
        <v>68.475795309729676</v>
      </c>
      <c r="P73" s="59">
        <f t="shared" si="10"/>
        <v>0</v>
      </c>
      <c r="Q73" s="74">
        <f t="shared" si="14"/>
        <v>0</v>
      </c>
      <c r="R73" s="197">
        <f t="shared" si="11"/>
        <v>68.475795309729676</v>
      </c>
      <c r="S73" s="166">
        <f t="shared" si="12"/>
        <v>-1.5242046902703237</v>
      </c>
      <c r="T73" s="196"/>
    </row>
    <row r="74" spans="1:20" x14ac:dyDescent="0.25">
      <c r="A74" s="61">
        <f>'A) Base RI'!A75</f>
        <v>5512</v>
      </c>
      <c r="B74" s="72" t="str">
        <f>'A) Base RI'!B75</f>
        <v>Bercher</v>
      </c>
      <c r="C74" s="205">
        <v>545400.21859234548</v>
      </c>
      <c r="D74" s="206">
        <v>187475.63597094239</v>
      </c>
      <c r="E74" s="207">
        <v>0</v>
      </c>
      <c r="F74" s="206">
        <v>0</v>
      </c>
      <c r="G74" s="206">
        <v>0</v>
      </c>
      <c r="H74" s="208">
        <f t="shared" si="15"/>
        <v>732875.85456328792</v>
      </c>
      <c r="I74" s="272">
        <v>36622.722911392411</v>
      </c>
      <c r="J74" s="125">
        <f>'B) D RI'!U75</f>
        <v>32079.191772151898</v>
      </c>
      <c r="K74" s="86">
        <f t="shared" si="13"/>
        <v>20.011506417380794</v>
      </c>
      <c r="L74" s="43">
        <f>'B) D RI'!S75</f>
        <v>79</v>
      </c>
      <c r="M74" s="43">
        <f t="shared" si="8"/>
        <v>58.988493582619206</v>
      </c>
      <c r="N74" s="166">
        <f>'J) Plafonnement effort'!G73+'J) Plafonnement effort'!H73-'K) Plafonnement aide'!I73</f>
        <v>12.680713807825967</v>
      </c>
      <c r="O74" s="166">
        <f t="shared" si="9"/>
        <v>71.669207390445166</v>
      </c>
      <c r="P74" s="59">
        <f t="shared" si="10"/>
        <v>0</v>
      </c>
      <c r="Q74" s="74">
        <f t="shared" si="14"/>
        <v>0</v>
      </c>
      <c r="R74" s="197">
        <f t="shared" si="11"/>
        <v>71.669207390445166</v>
      </c>
      <c r="S74" s="166">
        <f t="shared" si="12"/>
        <v>-7.3307926095548339</v>
      </c>
      <c r="T74" s="196"/>
    </row>
    <row r="75" spans="1:20" x14ac:dyDescent="0.25">
      <c r="A75" s="61">
        <f>'A) Base RI'!A76</f>
        <v>5513</v>
      </c>
      <c r="B75" s="72" t="str">
        <f>'A) Base RI'!B76</f>
        <v>Bioley-Orjulaz</v>
      </c>
      <c r="C75" s="205">
        <v>721895.79102772311</v>
      </c>
      <c r="D75" s="206">
        <v>483614</v>
      </c>
      <c r="E75" s="207">
        <v>0</v>
      </c>
      <c r="F75" s="206">
        <v>0</v>
      </c>
      <c r="G75" s="206">
        <v>0</v>
      </c>
      <c r="H75" s="208">
        <f t="shared" si="15"/>
        <v>1205509.7910277231</v>
      </c>
      <c r="I75" s="272">
        <v>30506.038333333338</v>
      </c>
      <c r="J75" s="125">
        <f>'B) D RI'!U76</f>
        <v>24024.471515151512</v>
      </c>
      <c r="K75" s="86">
        <f t="shared" si="13"/>
        <v>39.517087661641291</v>
      </c>
      <c r="L75" s="43">
        <f>'B) D RI'!S76</f>
        <v>66</v>
      </c>
      <c r="M75" s="43">
        <f t="shared" si="8"/>
        <v>26.482912338358709</v>
      </c>
      <c r="N75" s="166">
        <f>'J) Plafonnement effort'!G74+'J) Plafonnement effort'!H74-'K) Plafonnement aide'!I74</f>
        <v>34.195203908709651</v>
      </c>
      <c r="O75" s="166">
        <f t="shared" si="9"/>
        <v>60.67811624706836</v>
      </c>
      <c r="P75" s="59">
        <f t="shared" si="10"/>
        <v>0</v>
      </c>
      <c r="Q75" s="74">
        <f t="shared" si="14"/>
        <v>0</v>
      </c>
      <c r="R75" s="197">
        <f t="shared" si="11"/>
        <v>60.67811624706836</v>
      </c>
      <c r="S75" s="166">
        <f t="shared" si="12"/>
        <v>-5.3218837529316403</v>
      </c>
      <c r="T75" s="196"/>
    </row>
    <row r="76" spans="1:20" x14ac:dyDescent="0.25">
      <c r="A76" s="61">
        <f>'A) Base RI'!A77</f>
        <v>5514</v>
      </c>
      <c r="B76" s="72" t="str">
        <f>'A) Base RI'!B77</f>
        <v>Bottens</v>
      </c>
      <c r="C76" s="205">
        <v>649584.88053275936</v>
      </c>
      <c r="D76" s="206">
        <v>337259.34399685147</v>
      </c>
      <c r="E76" s="207">
        <v>0</v>
      </c>
      <c r="F76" s="206">
        <v>0</v>
      </c>
      <c r="G76" s="206">
        <v>0</v>
      </c>
      <c r="H76" s="208">
        <f t="shared" si="15"/>
        <v>986844.22452961083</v>
      </c>
      <c r="I76" s="272">
        <v>42846.050910973077</v>
      </c>
      <c r="J76" s="125">
        <f>'B) D RI'!U77</f>
        <v>38346.680434782604</v>
      </c>
      <c r="K76" s="86">
        <f t="shared" si="13"/>
        <v>23.03232628323455</v>
      </c>
      <c r="L76" s="43">
        <f>'B) D RI'!S77</f>
        <v>69</v>
      </c>
      <c r="M76" s="43">
        <f t="shared" si="8"/>
        <v>45.967673716765447</v>
      </c>
      <c r="N76" s="166">
        <f>'J) Plafonnement effort'!G75+'J) Plafonnement effort'!H75-'K) Plafonnement aide'!I75</f>
        <v>24.960503781666063</v>
      </c>
      <c r="O76" s="166">
        <f t="shared" si="9"/>
        <v>70.928177498431509</v>
      </c>
      <c r="P76" s="59">
        <f t="shared" si="10"/>
        <v>0</v>
      </c>
      <c r="Q76" s="74">
        <f t="shared" si="14"/>
        <v>0</v>
      </c>
      <c r="R76" s="197">
        <f t="shared" si="11"/>
        <v>70.928177498431509</v>
      </c>
      <c r="S76" s="166">
        <f t="shared" si="12"/>
        <v>1.9281774984315092</v>
      </c>
      <c r="T76" s="196"/>
    </row>
    <row r="77" spans="1:20" x14ac:dyDescent="0.25">
      <c r="A77" s="61">
        <f>'A) Base RI'!A78</f>
        <v>5515</v>
      </c>
      <c r="B77" s="72" t="str">
        <f>'A) Base RI'!B78</f>
        <v>Bretigny-sur-Morrens</v>
      </c>
      <c r="C77" s="205">
        <v>403161.51478308102</v>
      </c>
      <c r="D77" s="206">
        <v>71152.565098803607</v>
      </c>
      <c r="E77" s="207">
        <v>0</v>
      </c>
      <c r="F77" s="206">
        <v>0</v>
      </c>
      <c r="G77" s="206">
        <v>0</v>
      </c>
      <c r="H77" s="208">
        <f t="shared" si="15"/>
        <v>474314.07988188462</v>
      </c>
      <c r="I77" s="272">
        <v>22223.6698630137</v>
      </c>
      <c r="J77" s="125">
        <f>'B) D RI'!U78</f>
        <v>24345.34643835617</v>
      </c>
      <c r="K77" s="86">
        <f t="shared" si="13"/>
        <v>21.342743246527153</v>
      </c>
      <c r="L77" s="43">
        <f>'B) D RI'!S78</f>
        <v>73</v>
      </c>
      <c r="M77" s="43">
        <f t="shared" si="8"/>
        <v>51.657256753472851</v>
      </c>
      <c r="N77" s="166">
        <f>'J) Plafonnement effort'!G76+'J) Plafonnement effort'!H76-'K) Plafonnement aide'!I76</f>
        <v>20.837471717495514</v>
      </c>
      <c r="O77" s="166">
        <f t="shared" si="9"/>
        <v>72.494728470968369</v>
      </c>
      <c r="P77" s="59">
        <f t="shared" si="10"/>
        <v>0</v>
      </c>
      <c r="Q77" s="74">
        <f t="shared" si="14"/>
        <v>0</v>
      </c>
      <c r="R77" s="197">
        <f t="shared" si="11"/>
        <v>72.494728470968369</v>
      </c>
      <c r="S77" s="166">
        <f t="shared" si="12"/>
        <v>-0.50527152903163142</v>
      </c>
      <c r="T77" s="196"/>
    </row>
    <row r="78" spans="1:20" x14ac:dyDescent="0.25">
      <c r="A78" s="61">
        <f>'A) Base RI'!A79</f>
        <v>5516</v>
      </c>
      <c r="B78" s="72" t="str">
        <f>'A) Base RI'!B79</f>
        <v>Cugy</v>
      </c>
      <c r="C78" s="205">
        <v>1754421.3995468393</v>
      </c>
      <c r="D78" s="206">
        <v>1413745.2017462724</v>
      </c>
      <c r="E78" s="207">
        <v>0</v>
      </c>
      <c r="F78" s="206">
        <v>0</v>
      </c>
      <c r="G78" s="206">
        <v>0</v>
      </c>
      <c r="H78" s="208">
        <f t="shared" si="15"/>
        <v>3168166.6012931117</v>
      </c>
      <c r="I78" s="272">
        <v>117631.39925373136</v>
      </c>
      <c r="J78" s="125">
        <f>'B) D RI'!U79</f>
        <v>104935.17701492537</v>
      </c>
      <c r="K78" s="86">
        <f t="shared" si="13"/>
        <v>26.933001064276763</v>
      </c>
      <c r="L78" s="43">
        <f>'B) D RI'!S79</f>
        <v>67</v>
      </c>
      <c r="M78" s="43">
        <f t="shared" si="8"/>
        <v>40.066998935723234</v>
      </c>
      <c r="N78" s="166">
        <f>'J) Plafonnement effort'!G77+'J) Plafonnement effort'!H77-'K) Plafonnement aide'!I77</f>
        <v>25.467688896083814</v>
      </c>
      <c r="O78" s="166">
        <f t="shared" si="9"/>
        <v>65.534687831807048</v>
      </c>
      <c r="P78" s="59">
        <f t="shared" si="10"/>
        <v>0</v>
      </c>
      <c r="Q78" s="74">
        <f t="shared" si="14"/>
        <v>0</v>
      </c>
      <c r="R78" s="197">
        <f t="shared" si="11"/>
        <v>65.534687831807048</v>
      </c>
      <c r="S78" s="166">
        <f t="shared" si="12"/>
        <v>-1.465312168192952</v>
      </c>
      <c r="T78" s="196"/>
    </row>
    <row r="79" spans="1:20" x14ac:dyDescent="0.25">
      <c r="A79" s="61">
        <f>'A) Base RI'!A80</f>
        <v>5518</v>
      </c>
      <c r="B79" s="72" t="str">
        <f>'A) Base RI'!B80</f>
        <v>Echallens</v>
      </c>
      <c r="C79" s="205">
        <v>2866065.731095423</v>
      </c>
      <c r="D79" s="206">
        <v>-376333.15662903152</v>
      </c>
      <c r="E79" s="207">
        <v>0</v>
      </c>
      <c r="F79" s="206">
        <v>0</v>
      </c>
      <c r="G79" s="206">
        <v>0</v>
      </c>
      <c r="H79" s="208">
        <f t="shared" si="15"/>
        <v>2489732.5744663915</v>
      </c>
      <c r="I79" s="272">
        <v>173156.24540540541</v>
      </c>
      <c r="J79" s="125">
        <f>'B) D RI'!U80</f>
        <v>181423.1631081081</v>
      </c>
      <c r="K79" s="86">
        <f t="shared" si="13"/>
        <v>14.37853176267051</v>
      </c>
      <c r="L79" s="43">
        <f>'B) D RI'!S80</f>
        <v>74</v>
      </c>
      <c r="M79" s="43">
        <f t="shared" si="8"/>
        <v>59.621468237329488</v>
      </c>
      <c r="N79" s="166">
        <f>'J) Plafonnement effort'!G78+'J) Plafonnement effort'!H78-'K) Plafonnement aide'!I78</f>
        <v>11.766280307614958</v>
      </c>
      <c r="O79" s="166">
        <f t="shared" si="9"/>
        <v>71.387748544944444</v>
      </c>
      <c r="P79" s="59">
        <f t="shared" si="10"/>
        <v>0</v>
      </c>
      <c r="Q79" s="74">
        <f t="shared" si="14"/>
        <v>0</v>
      </c>
      <c r="R79" s="197">
        <f t="shared" si="11"/>
        <v>71.387748544944444</v>
      </c>
      <c r="S79" s="166">
        <f t="shared" si="12"/>
        <v>-2.6122514550555564</v>
      </c>
      <c r="T79" s="196"/>
    </row>
    <row r="80" spans="1:20" x14ac:dyDescent="0.25">
      <c r="A80" s="61">
        <f>'A) Base RI'!A81</f>
        <v>5520</v>
      </c>
      <c r="B80" s="72" t="str">
        <f>'A) Base RI'!B81</f>
        <v>Essertines-sur-Yverdon</v>
      </c>
      <c r="C80" s="205">
        <v>448309.3000033361</v>
      </c>
      <c r="D80" s="206">
        <v>172612.49514389923</v>
      </c>
      <c r="E80" s="207">
        <v>0</v>
      </c>
      <c r="F80" s="206">
        <v>0</v>
      </c>
      <c r="G80" s="206">
        <v>0</v>
      </c>
      <c r="H80" s="208">
        <f t="shared" si="15"/>
        <v>620921.79514723527</v>
      </c>
      <c r="I80" s="272">
        <v>27983.283972602738</v>
      </c>
      <c r="J80" s="125">
        <f>'B) D RI'!U81</f>
        <v>28021.579589041095</v>
      </c>
      <c r="K80" s="86">
        <f t="shared" si="13"/>
        <v>22.189025267911866</v>
      </c>
      <c r="L80" s="43">
        <f>'B) D RI'!S81</f>
        <v>73</v>
      </c>
      <c r="M80" s="43">
        <f t="shared" si="8"/>
        <v>50.810974732088134</v>
      </c>
      <c r="N80" s="166">
        <f>'J) Plafonnement effort'!G79+'J) Plafonnement effort'!H79-'K) Plafonnement aide'!I79</f>
        <v>17.866711603220359</v>
      </c>
      <c r="O80" s="166">
        <f t="shared" si="9"/>
        <v>68.677686335308493</v>
      </c>
      <c r="P80" s="59">
        <f t="shared" si="10"/>
        <v>0</v>
      </c>
      <c r="Q80" s="74">
        <f t="shared" si="14"/>
        <v>0</v>
      </c>
      <c r="R80" s="197">
        <f t="shared" si="11"/>
        <v>68.677686335308493</v>
      </c>
      <c r="S80" s="166">
        <f t="shared" si="12"/>
        <v>-4.3223136646915066</v>
      </c>
      <c r="T80" s="196"/>
    </row>
    <row r="81" spans="1:20" x14ac:dyDescent="0.25">
      <c r="A81" s="61">
        <f>'A) Base RI'!A82</f>
        <v>5521</v>
      </c>
      <c r="B81" s="72" t="str">
        <f>'A) Base RI'!B82</f>
        <v>Etagnières</v>
      </c>
      <c r="C81" s="205">
        <v>609603.06205441325</v>
      </c>
      <c r="D81" s="206">
        <v>271580.94315000169</v>
      </c>
      <c r="E81" s="207">
        <v>0</v>
      </c>
      <c r="F81" s="206">
        <v>0</v>
      </c>
      <c r="G81" s="206">
        <v>0</v>
      </c>
      <c r="H81" s="208">
        <f t="shared" si="15"/>
        <v>881184.00520441495</v>
      </c>
      <c r="I81" s="272">
        <v>36300.178904109591</v>
      </c>
      <c r="J81" s="125">
        <f>'B) D RI'!U82</f>
        <v>40532.749863013705</v>
      </c>
      <c r="K81" s="86">
        <f t="shared" si="13"/>
        <v>24.274921827028653</v>
      </c>
      <c r="L81" s="43">
        <f>'B) D RI'!S82</f>
        <v>73</v>
      </c>
      <c r="M81" s="43">
        <f t="shared" si="8"/>
        <v>48.725078172971351</v>
      </c>
      <c r="N81" s="166">
        <f>'J) Plafonnement effort'!G80+'J) Plafonnement effort'!H80-'K) Plafonnement aide'!I80</f>
        <v>25.998690083633392</v>
      </c>
      <c r="O81" s="166">
        <f t="shared" si="9"/>
        <v>74.723768256604743</v>
      </c>
      <c r="P81" s="59">
        <f t="shared" si="10"/>
        <v>0</v>
      </c>
      <c r="Q81" s="74">
        <f t="shared" si="14"/>
        <v>0</v>
      </c>
      <c r="R81" s="197">
        <f t="shared" si="11"/>
        <v>74.723768256604743</v>
      </c>
      <c r="S81" s="166">
        <f t="shared" si="12"/>
        <v>1.7237682566047425</v>
      </c>
      <c r="T81" s="196"/>
    </row>
    <row r="82" spans="1:20" x14ac:dyDescent="0.25">
      <c r="A82" s="61">
        <f>'A) Base RI'!A83</f>
        <v>5522</v>
      </c>
      <c r="B82" s="72" t="str">
        <f>'A) Base RI'!B83</f>
        <v>Fey</v>
      </c>
      <c r="C82" s="205">
        <v>307672.3842301172</v>
      </c>
      <c r="D82" s="206">
        <v>-12116.245361446228</v>
      </c>
      <c r="E82" s="207">
        <v>0</v>
      </c>
      <c r="F82" s="206">
        <v>0</v>
      </c>
      <c r="G82" s="206">
        <v>0</v>
      </c>
      <c r="H82" s="208">
        <f t="shared" si="15"/>
        <v>295556.13886867097</v>
      </c>
      <c r="I82" s="272">
        <v>16159.379733333333</v>
      </c>
      <c r="J82" s="125">
        <f>'B) D RI'!U83</f>
        <v>18218.5124</v>
      </c>
      <c r="K82" s="86">
        <f t="shared" si="13"/>
        <v>18.290067053687839</v>
      </c>
      <c r="L82" s="43">
        <f>'B) D RI'!S83</f>
        <v>75</v>
      </c>
      <c r="M82" s="43">
        <f t="shared" si="8"/>
        <v>56.709932946312165</v>
      </c>
      <c r="N82" s="166">
        <f>'J) Plafonnement effort'!G81+'J) Plafonnement effort'!H81-'K) Plafonnement aide'!I81</f>
        <v>13.888315568622957</v>
      </c>
      <c r="O82" s="166">
        <f t="shared" si="9"/>
        <v>70.598248514935122</v>
      </c>
      <c r="P82" s="59">
        <f t="shared" si="10"/>
        <v>0</v>
      </c>
      <c r="Q82" s="74">
        <f t="shared" si="14"/>
        <v>0</v>
      </c>
      <c r="R82" s="197">
        <f t="shared" si="11"/>
        <v>70.598248514935122</v>
      </c>
      <c r="S82" s="166">
        <f t="shared" si="12"/>
        <v>-4.401751485064878</v>
      </c>
      <c r="T82" s="196"/>
    </row>
    <row r="83" spans="1:20" x14ac:dyDescent="0.25">
      <c r="A83" s="61">
        <f>'A) Base RI'!A84</f>
        <v>5523</v>
      </c>
      <c r="B83" s="72" t="str">
        <f>'A) Base RI'!B84</f>
        <v>Froideville</v>
      </c>
      <c r="C83" s="205">
        <v>1207903.2173256087</v>
      </c>
      <c r="D83" s="206">
        <v>108005.53636846226</v>
      </c>
      <c r="E83" s="207">
        <v>0</v>
      </c>
      <c r="F83" s="206">
        <v>0</v>
      </c>
      <c r="G83" s="206">
        <v>0</v>
      </c>
      <c r="H83" s="208">
        <f t="shared" si="15"/>
        <v>1315908.753694071</v>
      </c>
      <c r="I83" s="272">
        <v>72242.876052631575</v>
      </c>
      <c r="J83" s="125">
        <f>'B) D RI'!U84</f>
        <v>77819.657763157898</v>
      </c>
      <c r="K83" s="86">
        <f t="shared" si="13"/>
        <v>18.215065977375865</v>
      </c>
      <c r="L83" s="43">
        <f>'B) D RI'!S84</f>
        <v>76</v>
      </c>
      <c r="M83" s="43">
        <f t="shared" si="8"/>
        <v>57.784934022624135</v>
      </c>
      <c r="N83" s="166">
        <f>'J) Plafonnement effort'!G82+'J) Plafonnement effort'!H82-'K) Plafonnement aide'!I82</f>
        <v>18.801764680843299</v>
      </c>
      <c r="O83" s="166">
        <f t="shared" si="9"/>
        <v>76.586698703467434</v>
      </c>
      <c r="P83" s="59">
        <f t="shared" si="10"/>
        <v>0</v>
      </c>
      <c r="Q83" s="74">
        <f t="shared" si="14"/>
        <v>0</v>
      </c>
      <c r="R83" s="197">
        <f t="shared" si="11"/>
        <v>76.586698703467434</v>
      </c>
      <c r="S83" s="166">
        <f t="shared" si="12"/>
        <v>0.5866987034674338</v>
      </c>
      <c r="T83" s="196"/>
    </row>
    <row r="84" spans="1:20" x14ac:dyDescent="0.25">
      <c r="A84" s="61">
        <f>'A) Base RI'!A85</f>
        <v>5527</v>
      </c>
      <c r="B84" s="72" t="str">
        <f>'A) Base RI'!B85</f>
        <v>Morrens</v>
      </c>
      <c r="C84" s="205">
        <v>597354.18242371769</v>
      </c>
      <c r="D84" s="206">
        <v>413345.38344496442</v>
      </c>
      <c r="E84" s="207">
        <v>0</v>
      </c>
      <c r="F84" s="206">
        <v>0</v>
      </c>
      <c r="G84" s="206">
        <v>0</v>
      </c>
      <c r="H84" s="208">
        <f t="shared" si="15"/>
        <v>1010699.5658686821</v>
      </c>
      <c r="I84" s="272">
        <v>37759.681126760574</v>
      </c>
      <c r="J84" s="125">
        <f>'B) D RI'!U85</f>
        <v>36998.677183098589</v>
      </c>
      <c r="K84" s="86">
        <f t="shared" si="13"/>
        <v>26.766634031567381</v>
      </c>
      <c r="L84" s="43">
        <f>'B) D RI'!S85</f>
        <v>71</v>
      </c>
      <c r="M84" s="43">
        <f t="shared" si="8"/>
        <v>44.233365968432622</v>
      </c>
      <c r="N84" s="166">
        <f>'J) Plafonnement effort'!G83+'J) Plafonnement effort'!H83-'K) Plafonnement aide'!I83</f>
        <v>28.850392544472676</v>
      </c>
      <c r="O84" s="166">
        <f t="shared" si="9"/>
        <v>73.083758512905291</v>
      </c>
      <c r="P84" s="59">
        <f t="shared" si="10"/>
        <v>0</v>
      </c>
      <c r="Q84" s="74">
        <f t="shared" si="14"/>
        <v>0</v>
      </c>
      <c r="R84" s="197">
        <f t="shared" si="11"/>
        <v>73.083758512905291</v>
      </c>
      <c r="S84" s="166">
        <f t="shared" si="12"/>
        <v>2.0837585129052911</v>
      </c>
      <c r="T84" s="196"/>
    </row>
    <row r="85" spans="1:20" x14ac:dyDescent="0.25">
      <c r="A85" s="61">
        <f>'A) Base RI'!A86</f>
        <v>5529</v>
      </c>
      <c r="B85" s="72" t="str">
        <f>'A) Base RI'!B86</f>
        <v>Oulens-sous-Echallens</v>
      </c>
      <c r="C85" s="205">
        <v>279793.70857276249</v>
      </c>
      <c r="D85" s="206">
        <v>221021.1426183799</v>
      </c>
      <c r="E85" s="207">
        <v>0</v>
      </c>
      <c r="F85" s="206">
        <v>0</v>
      </c>
      <c r="G85" s="206">
        <v>0</v>
      </c>
      <c r="H85" s="208">
        <f t="shared" si="15"/>
        <v>500814.8511911424</v>
      </c>
      <c r="I85" s="272">
        <v>19397.63972972973</v>
      </c>
      <c r="J85" s="125">
        <f>'B) D RI'!U86</f>
        <v>16830.940140845072</v>
      </c>
      <c r="K85" s="86">
        <f t="shared" si="13"/>
        <v>25.818339662405943</v>
      </c>
      <c r="L85" s="43">
        <f>'B) D RI'!S86</f>
        <v>71</v>
      </c>
      <c r="M85" s="43">
        <f t="shared" si="8"/>
        <v>45.181660337594053</v>
      </c>
      <c r="N85" s="166">
        <f>'J) Plafonnement effort'!G84+'J) Plafonnement effort'!H84-'K) Plafonnement aide'!I84</f>
        <v>20.708869195858753</v>
      </c>
      <c r="O85" s="166">
        <f t="shared" si="9"/>
        <v>65.890529533452806</v>
      </c>
      <c r="P85" s="59">
        <f t="shared" si="10"/>
        <v>0</v>
      </c>
      <c r="Q85" s="74">
        <f t="shared" si="14"/>
        <v>0</v>
      </c>
      <c r="R85" s="197">
        <f t="shared" si="11"/>
        <v>65.890529533452806</v>
      </c>
      <c r="S85" s="166">
        <f t="shared" si="12"/>
        <v>-5.1094704665471937</v>
      </c>
      <c r="T85" s="196"/>
    </row>
    <row r="86" spans="1:20" x14ac:dyDescent="0.25">
      <c r="A86" s="61">
        <f>'A) Base RI'!A87</f>
        <v>5530</v>
      </c>
      <c r="B86" s="72" t="str">
        <f>'A) Base RI'!B87</f>
        <v>Pailly</v>
      </c>
      <c r="C86" s="205">
        <v>231534.40835151181</v>
      </c>
      <c r="D86" s="206">
        <v>-13915.4837632954</v>
      </c>
      <c r="E86" s="207">
        <v>0</v>
      </c>
      <c r="F86" s="206">
        <v>0</v>
      </c>
      <c r="G86" s="206">
        <v>0</v>
      </c>
      <c r="H86" s="208">
        <f t="shared" si="15"/>
        <v>217618.92458821641</v>
      </c>
      <c r="I86" s="272">
        <v>13906.482623655915</v>
      </c>
      <c r="J86" s="125">
        <f>'B) D RI'!U87</f>
        <v>15988.116172043008</v>
      </c>
      <c r="K86" s="86">
        <f t="shared" si="13"/>
        <v>15.648739546693941</v>
      </c>
      <c r="L86" s="43">
        <f>'B) D RI'!S87</f>
        <v>77.5</v>
      </c>
      <c r="M86" s="43">
        <f t="shared" si="8"/>
        <v>61.851260453306061</v>
      </c>
      <c r="N86" s="166">
        <f>'J) Plafonnement effort'!G85+'J) Plafonnement effort'!H85-'K) Plafonnement aide'!I85</f>
        <v>2.5328674413335079</v>
      </c>
      <c r="O86" s="166">
        <f t="shared" si="9"/>
        <v>64.384127894639562</v>
      </c>
      <c r="P86" s="59">
        <f t="shared" si="10"/>
        <v>0</v>
      </c>
      <c r="Q86" s="74">
        <f t="shared" si="14"/>
        <v>0</v>
      </c>
      <c r="R86" s="197">
        <f t="shared" si="11"/>
        <v>64.384127894639562</v>
      </c>
      <c r="S86" s="166">
        <f t="shared" si="12"/>
        <v>-13.115872105360438</v>
      </c>
      <c r="T86" s="196"/>
    </row>
    <row r="87" spans="1:20" x14ac:dyDescent="0.25">
      <c r="A87" s="61">
        <f>'A) Base RI'!A88</f>
        <v>5531</v>
      </c>
      <c r="B87" s="72" t="str">
        <f>'A) Base RI'!B88</f>
        <v>Penthéréaz</v>
      </c>
      <c r="C87" s="205">
        <v>178641.56778520526</v>
      </c>
      <c r="D87" s="206">
        <v>112107.22617224714</v>
      </c>
      <c r="E87" s="207">
        <v>0</v>
      </c>
      <c r="F87" s="206">
        <v>0</v>
      </c>
      <c r="G87" s="206">
        <v>0</v>
      </c>
      <c r="H87" s="208">
        <f t="shared" si="15"/>
        <v>290748.79395745241</v>
      </c>
      <c r="I87" s="272">
        <v>13188.510897435897</v>
      </c>
      <c r="J87" s="125">
        <f>'B) D RI'!U88</f>
        <v>11628.696923076923</v>
      </c>
      <c r="K87" s="86">
        <f t="shared" si="13"/>
        <v>22.045611988991087</v>
      </c>
      <c r="L87" s="43">
        <f>'B) D RI'!S88</f>
        <v>78</v>
      </c>
      <c r="M87" s="43">
        <f t="shared" si="8"/>
        <v>55.954388011008916</v>
      </c>
      <c r="N87" s="166">
        <f>'J) Plafonnement effort'!G86+'J) Plafonnement effort'!H86-'K) Plafonnement aide'!I86</f>
        <v>18.363778123868659</v>
      </c>
      <c r="O87" s="166">
        <f t="shared" si="9"/>
        <v>74.318166134877572</v>
      </c>
      <c r="P87" s="59">
        <f t="shared" si="10"/>
        <v>0</v>
      </c>
      <c r="Q87" s="74">
        <f t="shared" si="14"/>
        <v>0</v>
      </c>
      <c r="R87" s="197">
        <f t="shared" si="11"/>
        <v>74.318166134877572</v>
      </c>
      <c r="S87" s="166">
        <f t="shared" si="12"/>
        <v>-3.6818338651224281</v>
      </c>
      <c r="T87" s="196"/>
    </row>
    <row r="88" spans="1:20" x14ac:dyDescent="0.25">
      <c r="A88" s="61">
        <f>'A) Base RI'!A89</f>
        <v>5533</v>
      </c>
      <c r="B88" s="72" t="str">
        <f>'A) Base RI'!B89</f>
        <v>Poliez-Pittet</v>
      </c>
      <c r="C88" s="205">
        <v>343134.31651487382</v>
      </c>
      <c r="D88" s="206">
        <v>109155.71106344194</v>
      </c>
      <c r="E88" s="207">
        <v>0</v>
      </c>
      <c r="F88" s="206">
        <v>0</v>
      </c>
      <c r="G88" s="206">
        <v>0</v>
      </c>
      <c r="H88" s="208">
        <f t="shared" si="15"/>
        <v>452290.02757831576</v>
      </c>
      <c r="I88" s="272">
        <v>23278.194178403755</v>
      </c>
      <c r="J88" s="125">
        <f>'B) D RI'!U89</f>
        <v>21286.915727699528</v>
      </c>
      <c r="K88" s="86">
        <f t="shared" si="13"/>
        <v>19.429772950254272</v>
      </c>
      <c r="L88" s="43">
        <f>'B) D RI'!S89</f>
        <v>71</v>
      </c>
      <c r="M88" s="43">
        <f t="shared" si="8"/>
        <v>51.570227049745725</v>
      </c>
      <c r="N88" s="166">
        <f>'J) Plafonnement effort'!G87+'J) Plafonnement effort'!H87-'K) Plafonnement aide'!I87</f>
        <v>13.099054686388744</v>
      </c>
      <c r="O88" s="166">
        <f t="shared" si="9"/>
        <v>64.669281736134465</v>
      </c>
      <c r="P88" s="59">
        <f t="shared" si="10"/>
        <v>0</v>
      </c>
      <c r="Q88" s="74">
        <f t="shared" si="14"/>
        <v>0</v>
      </c>
      <c r="R88" s="197">
        <f t="shared" si="11"/>
        <v>64.669281736134465</v>
      </c>
      <c r="S88" s="166">
        <f t="shared" si="12"/>
        <v>-6.3307182638655348</v>
      </c>
      <c r="T88" s="196"/>
    </row>
    <row r="89" spans="1:20" x14ac:dyDescent="0.25">
      <c r="A89" s="61">
        <f>'A) Base RI'!A90</f>
        <v>5534</v>
      </c>
      <c r="B89" s="72" t="str">
        <f>'A) Base RI'!B90</f>
        <v>Rueyres</v>
      </c>
      <c r="C89" s="205">
        <v>110222.7689405948</v>
      </c>
      <c r="D89" s="206">
        <v>27735.09126030092</v>
      </c>
      <c r="E89" s="207">
        <v>0</v>
      </c>
      <c r="F89" s="206">
        <v>0</v>
      </c>
      <c r="G89" s="206">
        <v>0</v>
      </c>
      <c r="H89" s="208">
        <f t="shared" si="15"/>
        <v>137957.86020089572</v>
      </c>
      <c r="I89" s="272">
        <v>7491.8463013698638</v>
      </c>
      <c r="J89" s="125">
        <f>'B) D RI'!U90</f>
        <v>8123.1504109589041</v>
      </c>
      <c r="K89" s="86">
        <f t="shared" si="13"/>
        <v>18.414400756682703</v>
      </c>
      <c r="L89" s="43">
        <f>'B) D RI'!S90</f>
        <v>73</v>
      </c>
      <c r="M89" s="43">
        <f t="shared" si="8"/>
        <v>54.585599243317297</v>
      </c>
      <c r="N89" s="166">
        <f>'J) Plafonnement effort'!G88+'J) Plafonnement effort'!H88-'K) Plafonnement aide'!I88</f>
        <v>24.47607168246396</v>
      </c>
      <c r="O89" s="166">
        <f t="shared" si="9"/>
        <v>79.061670925781257</v>
      </c>
      <c r="P89" s="59">
        <f t="shared" si="10"/>
        <v>0</v>
      </c>
      <c r="Q89" s="74">
        <f t="shared" si="14"/>
        <v>0</v>
      </c>
      <c r="R89" s="197">
        <f t="shared" si="11"/>
        <v>79.061670925781257</v>
      </c>
      <c r="S89" s="166">
        <f t="shared" si="12"/>
        <v>6.0616709257812573</v>
      </c>
      <c r="T89" s="196"/>
    </row>
    <row r="90" spans="1:20" x14ac:dyDescent="0.25">
      <c r="A90" s="61">
        <f>'A) Base RI'!A91</f>
        <v>5535</v>
      </c>
      <c r="B90" s="72" t="str">
        <f>'A) Base RI'!B91</f>
        <v>Saint-Barthélemy</v>
      </c>
      <c r="C90" s="205">
        <v>312204.72723111126</v>
      </c>
      <c r="D90" s="206">
        <v>-27251.849682339584</v>
      </c>
      <c r="E90" s="207">
        <v>0</v>
      </c>
      <c r="F90" s="206">
        <v>0</v>
      </c>
      <c r="G90" s="206">
        <v>0</v>
      </c>
      <c r="H90" s="208">
        <f t="shared" si="15"/>
        <v>284952.87754877168</v>
      </c>
      <c r="I90" s="272">
        <v>20337.444935064934</v>
      </c>
      <c r="J90" s="125">
        <f>'B) D RI'!U91</f>
        <v>21652.779733333333</v>
      </c>
      <c r="K90" s="86">
        <f t="shared" si="13"/>
        <v>14.01124273273229</v>
      </c>
      <c r="L90" s="43">
        <f>'B) D RI'!S91</f>
        <v>75</v>
      </c>
      <c r="M90" s="43">
        <f t="shared" si="8"/>
        <v>60.988757267267708</v>
      </c>
      <c r="N90" s="166">
        <f>'J) Plafonnement effort'!G89+'J) Plafonnement effort'!H89-'K) Plafonnement aide'!I89</f>
        <v>15.595709599655354</v>
      </c>
      <c r="O90" s="166">
        <f t="shared" si="9"/>
        <v>76.584466866923066</v>
      </c>
      <c r="P90" s="59">
        <f t="shared" si="10"/>
        <v>0</v>
      </c>
      <c r="Q90" s="74">
        <f t="shared" si="14"/>
        <v>0</v>
      </c>
      <c r="R90" s="197">
        <f t="shared" si="11"/>
        <v>76.584466866923066</v>
      </c>
      <c r="S90" s="166">
        <f t="shared" si="12"/>
        <v>1.5844668669230657</v>
      </c>
      <c r="T90" s="196"/>
    </row>
    <row r="91" spans="1:20" x14ac:dyDescent="0.25">
      <c r="A91" s="61">
        <f>'A) Base RI'!A92</f>
        <v>5537</v>
      </c>
      <c r="B91" s="72" t="str">
        <f>'A) Base RI'!B92</f>
        <v>Villars-le-Terroir</v>
      </c>
      <c r="C91" s="205">
        <v>503598.13016487134</v>
      </c>
      <c r="D91" s="206">
        <v>151667.56991960923</v>
      </c>
      <c r="E91" s="207">
        <v>0</v>
      </c>
      <c r="F91" s="206">
        <v>0</v>
      </c>
      <c r="G91" s="206">
        <v>0</v>
      </c>
      <c r="H91" s="208">
        <f t="shared" si="15"/>
        <v>655265.70008448057</v>
      </c>
      <c r="I91" s="272">
        <v>28392.00020547945</v>
      </c>
      <c r="J91" s="125">
        <f>'B) D RI'!U92</f>
        <v>28181.728767123288</v>
      </c>
      <c r="K91" s="86">
        <f t="shared" si="13"/>
        <v>23.079236944990548</v>
      </c>
      <c r="L91" s="43">
        <f>'B) D RI'!S92</f>
        <v>73</v>
      </c>
      <c r="M91" s="43">
        <f t="shared" si="8"/>
        <v>49.920763055009452</v>
      </c>
      <c r="N91" s="166">
        <f>'J) Plafonnement effort'!G90+'J) Plafonnement effort'!H90-'K) Plafonnement aide'!I90</f>
        <v>18.77770275572578</v>
      </c>
      <c r="O91" s="166">
        <f t="shared" si="9"/>
        <v>68.698465810735229</v>
      </c>
      <c r="P91" s="59">
        <f t="shared" si="10"/>
        <v>0</v>
      </c>
      <c r="Q91" s="74">
        <f t="shared" si="14"/>
        <v>0</v>
      </c>
      <c r="R91" s="197">
        <f t="shared" si="11"/>
        <v>68.698465810735229</v>
      </c>
      <c r="S91" s="166">
        <f t="shared" si="12"/>
        <v>-4.3015341892647712</v>
      </c>
      <c r="T91" s="196"/>
    </row>
    <row r="92" spans="1:20" x14ac:dyDescent="0.25">
      <c r="A92" s="61">
        <f>'A) Base RI'!A93</f>
        <v>5539</v>
      </c>
      <c r="B92" s="72" t="str">
        <f>'A) Base RI'!B93</f>
        <v>Vuarrens</v>
      </c>
      <c r="C92" s="205">
        <v>435314.1855186664</v>
      </c>
      <c r="D92" s="206">
        <v>-80372.66872531391</v>
      </c>
      <c r="E92" s="207">
        <v>0</v>
      </c>
      <c r="F92" s="206">
        <v>0</v>
      </c>
      <c r="G92" s="206">
        <v>0</v>
      </c>
      <c r="H92" s="208">
        <f t="shared" si="15"/>
        <v>354941.51679335249</v>
      </c>
      <c r="I92" s="272">
        <v>22715.815066666666</v>
      </c>
      <c r="J92" s="125">
        <f>'B) D RI'!U93</f>
        <v>22756.172933333331</v>
      </c>
      <c r="K92" s="86">
        <f t="shared" si="13"/>
        <v>15.625304033848909</v>
      </c>
      <c r="L92" s="43">
        <f>'B) D RI'!S93</f>
        <v>75</v>
      </c>
      <c r="M92" s="43">
        <f t="shared" si="8"/>
        <v>59.374695966151094</v>
      </c>
      <c r="N92" s="166">
        <f>'J) Plafonnement effort'!G91+'J) Plafonnement effort'!H91-'K) Plafonnement aide'!I91</f>
        <v>10.19778028265222</v>
      </c>
      <c r="O92" s="166">
        <f t="shared" si="9"/>
        <v>69.572476248803312</v>
      </c>
      <c r="P92" s="59">
        <f t="shared" si="10"/>
        <v>0</v>
      </c>
      <c r="Q92" s="74">
        <f t="shared" si="14"/>
        <v>0</v>
      </c>
      <c r="R92" s="197">
        <f t="shared" si="11"/>
        <v>69.572476248803312</v>
      </c>
      <c r="S92" s="166">
        <f t="shared" si="12"/>
        <v>-5.4275237511966878</v>
      </c>
      <c r="T92" s="196"/>
    </row>
    <row r="93" spans="1:20" x14ac:dyDescent="0.25">
      <c r="A93" s="61">
        <f>'A) Base RI'!A94</f>
        <v>5540</v>
      </c>
      <c r="B93" s="72" t="str">
        <f>'A) Base RI'!B94</f>
        <v>Montilliez</v>
      </c>
      <c r="C93" s="205">
        <v>796349.16690057679</v>
      </c>
      <c r="D93" s="206">
        <v>92843.766692241421</v>
      </c>
      <c r="E93" s="207">
        <v>0</v>
      </c>
      <c r="F93" s="206">
        <v>0</v>
      </c>
      <c r="G93" s="206">
        <v>0</v>
      </c>
      <c r="H93" s="208">
        <f t="shared" si="15"/>
        <v>889192.93359281821</v>
      </c>
      <c r="I93" s="272">
        <v>49229.090304054065</v>
      </c>
      <c r="J93" s="125">
        <f>'B) D RI'!U94</f>
        <v>47199.265101351346</v>
      </c>
      <c r="K93" s="86">
        <f>H93/I93</f>
        <v>18.062347447431755</v>
      </c>
      <c r="L93" s="43">
        <f>'B) D RI'!S94</f>
        <v>74</v>
      </c>
      <c r="M93" s="43">
        <f>L93-K93</f>
        <v>55.937652552568245</v>
      </c>
      <c r="N93" s="166">
        <f>'J) Plafonnement effort'!G92+'J) Plafonnement effort'!H92-'K) Plafonnement aide'!I92</f>
        <v>-6.1676469457535852</v>
      </c>
      <c r="O93" s="166">
        <f>M93+N93</f>
        <v>49.770005606814664</v>
      </c>
      <c r="P93" s="59">
        <f t="shared" si="10"/>
        <v>0</v>
      </c>
      <c r="Q93" s="74">
        <f>P93*J93</f>
        <v>0</v>
      </c>
      <c r="R93" s="197">
        <f>O93+P93</f>
        <v>49.770005606814664</v>
      </c>
      <c r="S93" s="166">
        <f>R93-L93</f>
        <v>-24.229994393185336</v>
      </c>
      <c r="T93" s="196"/>
    </row>
    <row r="94" spans="1:20" x14ac:dyDescent="0.25">
      <c r="A94" s="61">
        <f>'A) Base RI'!A95</f>
        <v>5541</v>
      </c>
      <c r="B94" s="72" t="str">
        <f>'A) Base RI'!B95</f>
        <v>Goumoëns</v>
      </c>
      <c r="C94" s="205">
        <v>466679.59753181739</v>
      </c>
      <c r="D94" s="206">
        <v>101047.00165087677</v>
      </c>
      <c r="E94" s="207">
        <v>0</v>
      </c>
      <c r="F94" s="206">
        <v>0</v>
      </c>
      <c r="G94" s="206">
        <v>0</v>
      </c>
      <c r="H94" s="208">
        <f t="shared" si="15"/>
        <v>567726.59918269422</v>
      </c>
      <c r="I94" s="272">
        <v>28419.250909090908</v>
      </c>
      <c r="J94" s="125">
        <f>'B) D RI'!U95</f>
        <v>35607.690389610398</v>
      </c>
      <c r="K94" s="86">
        <f>H94/I94</f>
        <v>19.976831936871591</v>
      </c>
      <c r="L94" s="43">
        <f>'B) D RI'!S95</f>
        <v>77</v>
      </c>
      <c r="M94" s="43">
        <f>L94-K94</f>
        <v>57.023168063128409</v>
      </c>
      <c r="N94" s="166">
        <f>'J) Plafonnement effort'!G93+'J) Plafonnement effort'!H93-'K) Plafonnement aide'!I93</f>
        <v>24.484914839057616</v>
      </c>
      <c r="O94" s="166">
        <f>M94+N94</f>
        <v>81.508082902186032</v>
      </c>
      <c r="P94" s="59">
        <f t="shared" si="10"/>
        <v>0</v>
      </c>
      <c r="Q94" s="74">
        <f>P94*J94</f>
        <v>0</v>
      </c>
      <c r="R94" s="197">
        <f>O94+P94</f>
        <v>81.508082902186032</v>
      </c>
      <c r="S94" s="166">
        <f>R94-L94</f>
        <v>4.5080829021860325</v>
      </c>
      <c r="T94" s="196"/>
    </row>
    <row r="95" spans="1:20" x14ac:dyDescent="0.25">
      <c r="A95" s="61">
        <f>'A) Base RI'!A96</f>
        <v>5551</v>
      </c>
      <c r="B95" s="72" t="str">
        <f>'A) Base RI'!B96</f>
        <v>Bonvillars</v>
      </c>
      <c r="C95" s="205">
        <v>366111.31039013912</v>
      </c>
      <c r="D95" s="206">
        <v>306538.13790887105</v>
      </c>
      <c r="E95" s="207">
        <v>0</v>
      </c>
      <c r="F95" s="206">
        <v>0</v>
      </c>
      <c r="G95" s="206">
        <v>0</v>
      </c>
      <c r="H95" s="208">
        <f t="shared" si="15"/>
        <v>672649.44829901017</v>
      </c>
      <c r="I95" s="272">
        <v>20657.866545454548</v>
      </c>
      <c r="J95" s="125">
        <f>'B) D RI'!U96</f>
        <v>15988.430935064936</v>
      </c>
      <c r="K95" s="86">
        <f t="shared" si="13"/>
        <v>32.561419003213402</v>
      </c>
      <c r="L95" s="43">
        <f>'B) D RI'!S96</f>
        <v>55</v>
      </c>
      <c r="M95" s="43">
        <f>L95-K95</f>
        <v>22.438580996786598</v>
      </c>
      <c r="N95" s="166">
        <f>'J) Plafonnement effort'!G94+'J) Plafonnement effort'!H94-'K) Plafonnement aide'!I94</f>
        <v>18.502839706891123</v>
      </c>
      <c r="O95" s="166">
        <f>M95+N95</f>
        <v>40.941420703677721</v>
      </c>
      <c r="P95" s="59">
        <f t="shared" si="10"/>
        <v>0</v>
      </c>
      <c r="Q95" s="74">
        <f>P95*J95</f>
        <v>0</v>
      </c>
      <c r="R95" s="197">
        <f>O95+P95</f>
        <v>40.941420703677721</v>
      </c>
      <c r="S95" s="166">
        <f>R95-L95</f>
        <v>-14.058579296322279</v>
      </c>
      <c r="T95" s="196"/>
    </row>
    <row r="96" spans="1:20" x14ac:dyDescent="0.25">
      <c r="A96" s="61">
        <f>'A) Base RI'!A97</f>
        <v>5552</v>
      </c>
      <c r="B96" s="72" t="str">
        <f>'A) Base RI'!B97</f>
        <v>Bullet</v>
      </c>
      <c r="C96" s="205">
        <v>296700.51547349268</v>
      </c>
      <c r="D96" s="206">
        <v>11925.643341490184</v>
      </c>
      <c r="E96" s="207">
        <v>0</v>
      </c>
      <c r="F96" s="206">
        <v>0</v>
      </c>
      <c r="G96" s="206">
        <v>0</v>
      </c>
      <c r="H96" s="208">
        <f t="shared" si="15"/>
        <v>308626.15881498286</v>
      </c>
      <c r="I96" s="272">
        <v>15344.039999999997</v>
      </c>
      <c r="J96" s="125">
        <f>'B) D RI'!U97</f>
        <v>15525.607571428574</v>
      </c>
      <c r="K96" s="86">
        <f t="shared" si="13"/>
        <v>20.113748322800443</v>
      </c>
      <c r="L96" s="43">
        <f>'B) D RI'!S97</f>
        <v>70</v>
      </c>
      <c r="M96" s="43">
        <f t="shared" si="8"/>
        <v>49.886251677199553</v>
      </c>
      <c r="N96" s="166">
        <f>'J) Plafonnement effort'!G95+'J) Plafonnement effort'!H95-'K) Plafonnement aide'!I95</f>
        <v>11.745727212475179</v>
      </c>
      <c r="O96" s="166">
        <f t="shared" si="9"/>
        <v>61.631978889674734</v>
      </c>
      <c r="P96" s="59">
        <f t="shared" si="10"/>
        <v>0</v>
      </c>
      <c r="Q96" s="74">
        <f t="shared" si="14"/>
        <v>0</v>
      </c>
      <c r="R96" s="197">
        <f t="shared" si="11"/>
        <v>61.631978889674734</v>
      </c>
      <c r="S96" s="166">
        <f t="shared" si="12"/>
        <v>-8.368021110325266</v>
      </c>
      <c r="T96" s="196"/>
    </row>
    <row r="97" spans="1:20" x14ac:dyDescent="0.25">
      <c r="A97" s="61">
        <f>'A) Base RI'!A98</f>
        <v>5553</v>
      </c>
      <c r="B97" s="72" t="str">
        <f>'A) Base RI'!B98</f>
        <v>Champagne</v>
      </c>
      <c r="C97" s="205">
        <v>540809.75396835443</v>
      </c>
      <c r="D97" s="206">
        <v>384217.20410723332</v>
      </c>
      <c r="E97" s="207">
        <v>0</v>
      </c>
      <c r="F97" s="206">
        <v>0</v>
      </c>
      <c r="G97" s="206">
        <v>0</v>
      </c>
      <c r="H97" s="208">
        <f t="shared" si="15"/>
        <v>925026.95807558775</v>
      </c>
      <c r="I97" s="272">
        <v>34561.95904761905</v>
      </c>
      <c r="J97" s="125">
        <f>'B) D RI'!U98</f>
        <v>43429.608412698406</v>
      </c>
      <c r="K97" s="86">
        <f t="shared" si="13"/>
        <v>26.764309187482596</v>
      </c>
      <c r="L97" s="43">
        <f>'B) D RI'!S98</f>
        <v>63</v>
      </c>
      <c r="M97" s="43">
        <f t="shared" si="8"/>
        <v>36.235690812517404</v>
      </c>
      <c r="N97" s="166">
        <f>'J) Plafonnement effort'!G96+'J) Plafonnement effort'!H96-'K) Plafonnement aide'!I96</f>
        <v>28.982731434045778</v>
      </c>
      <c r="O97" s="166">
        <f t="shared" si="9"/>
        <v>65.218422246563179</v>
      </c>
      <c r="P97" s="59">
        <f t="shared" si="10"/>
        <v>0</v>
      </c>
      <c r="Q97" s="74">
        <f t="shared" si="14"/>
        <v>0</v>
      </c>
      <c r="R97" s="197">
        <f t="shared" si="11"/>
        <v>65.218422246563179</v>
      </c>
      <c r="S97" s="166">
        <f t="shared" si="12"/>
        <v>2.2184222465631791</v>
      </c>
      <c r="T97" s="196"/>
    </row>
    <row r="98" spans="1:20" x14ac:dyDescent="0.25">
      <c r="A98" s="61">
        <f>'A) Base RI'!A99</f>
        <v>5554</v>
      </c>
      <c r="B98" s="72" t="str">
        <f>'A) Base RI'!B99</f>
        <v>Concise</v>
      </c>
      <c r="C98" s="205">
        <v>467139.65047587198</v>
      </c>
      <c r="D98" s="206">
        <v>171108.40893106826</v>
      </c>
      <c r="E98" s="207">
        <v>0</v>
      </c>
      <c r="F98" s="206">
        <v>0</v>
      </c>
      <c r="G98" s="206">
        <v>0</v>
      </c>
      <c r="H98" s="208">
        <f t="shared" si="15"/>
        <v>638248.05940694024</v>
      </c>
      <c r="I98" s="272">
        <v>28927.786533333336</v>
      </c>
      <c r="J98" s="125">
        <f>'B) D RI'!U99</f>
        <v>29691.100933333331</v>
      </c>
      <c r="K98" s="86">
        <f t="shared" si="13"/>
        <v>22.063494511461855</v>
      </c>
      <c r="L98" s="43">
        <f>'B) D RI'!S99</f>
        <v>75</v>
      </c>
      <c r="M98" s="43">
        <f t="shared" si="8"/>
        <v>52.936505488538145</v>
      </c>
      <c r="N98" s="166">
        <f>'J) Plafonnement effort'!G97+'J) Plafonnement effort'!H97-'K) Plafonnement aide'!I97</f>
        <v>22.769179928151406</v>
      </c>
      <c r="O98" s="166">
        <f t="shared" si="9"/>
        <v>75.705685416689548</v>
      </c>
      <c r="P98" s="59">
        <f t="shared" si="10"/>
        <v>0</v>
      </c>
      <c r="Q98" s="74">
        <f t="shared" si="14"/>
        <v>0</v>
      </c>
      <c r="R98" s="197">
        <f t="shared" si="11"/>
        <v>75.705685416689548</v>
      </c>
      <c r="S98" s="166">
        <f t="shared" si="12"/>
        <v>0.70568541668954765</v>
      </c>
      <c r="T98" s="196"/>
    </row>
    <row r="99" spans="1:20" x14ac:dyDescent="0.25">
      <c r="A99" s="61">
        <f>'A) Base RI'!A100</f>
        <v>5555</v>
      </c>
      <c r="B99" s="72" t="str">
        <f>'A) Base RI'!B100</f>
        <v>Corcelles-près-Concise</v>
      </c>
      <c r="C99" s="205">
        <v>175098.82305524792</v>
      </c>
      <c r="D99" s="206">
        <v>42994.928360722726</v>
      </c>
      <c r="E99" s="207">
        <v>0</v>
      </c>
      <c r="F99" s="206">
        <v>0</v>
      </c>
      <c r="G99" s="206">
        <v>0</v>
      </c>
      <c r="H99" s="208">
        <f t="shared" si="15"/>
        <v>218093.75141597065</v>
      </c>
      <c r="I99" s="272">
        <v>9553.9681690140824</v>
      </c>
      <c r="J99" s="125">
        <f>'B) D RI'!U100</f>
        <v>9762.6867605633779</v>
      </c>
      <c r="K99" s="86">
        <f t="shared" si="13"/>
        <v>22.827556838979582</v>
      </c>
      <c r="L99" s="43">
        <f>'B) D RI'!S100</f>
        <v>71</v>
      </c>
      <c r="M99" s="43">
        <f t="shared" si="8"/>
        <v>48.172443161020418</v>
      </c>
      <c r="N99" s="166">
        <f>'J) Plafonnement effort'!G98+'J) Plafonnement effort'!H98-'K) Plafonnement aide'!I98</f>
        <v>12.737841853601514</v>
      </c>
      <c r="O99" s="166">
        <f t="shared" si="9"/>
        <v>60.910285014621934</v>
      </c>
      <c r="P99" s="59">
        <f t="shared" si="10"/>
        <v>0</v>
      </c>
      <c r="Q99" s="74">
        <f t="shared" si="14"/>
        <v>0</v>
      </c>
      <c r="R99" s="197">
        <f t="shared" si="11"/>
        <v>60.910285014621934</v>
      </c>
      <c r="S99" s="166">
        <f t="shared" si="12"/>
        <v>-10.089714985378066</v>
      </c>
      <c r="T99" s="196"/>
    </row>
    <row r="100" spans="1:20" x14ac:dyDescent="0.25">
      <c r="A100" s="61">
        <f>'A) Base RI'!A101</f>
        <v>5556</v>
      </c>
      <c r="B100" s="72" t="str">
        <f>'A) Base RI'!B101</f>
        <v>Fiez</v>
      </c>
      <c r="C100" s="205">
        <v>191880.19847374287</v>
      </c>
      <c r="D100" s="206">
        <v>25422.852682410361</v>
      </c>
      <c r="E100" s="207">
        <v>0</v>
      </c>
      <c r="F100" s="206">
        <v>0</v>
      </c>
      <c r="G100" s="206">
        <v>0</v>
      </c>
      <c r="H100" s="208">
        <f t="shared" si="15"/>
        <v>217303.05115615323</v>
      </c>
      <c r="I100" s="272">
        <v>10930.395096618358</v>
      </c>
      <c r="J100" s="125">
        <f>'B) D RI'!U101</f>
        <v>10799.932053140095</v>
      </c>
      <c r="K100" s="86">
        <f t="shared" si="13"/>
        <v>19.880621810586003</v>
      </c>
      <c r="L100" s="43">
        <f>'B) D RI'!S101</f>
        <v>69</v>
      </c>
      <c r="M100" s="43">
        <f t="shared" si="8"/>
        <v>49.119378189413993</v>
      </c>
      <c r="N100" s="166">
        <f>'J) Plafonnement effort'!G99+'J) Plafonnement effort'!H99-'K) Plafonnement aide'!I99</f>
        <v>13.377278326853363</v>
      </c>
      <c r="O100" s="166">
        <f t="shared" si="9"/>
        <v>62.496656516267358</v>
      </c>
      <c r="P100" s="59">
        <f t="shared" si="10"/>
        <v>0</v>
      </c>
      <c r="Q100" s="74">
        <f t="shared" si="14"/>
        <v>0</v>
      </c>
      <c r="R100" s="197">
        <f t="shared" si="11"/>
        <v>62.496656516267358</v>
      </c>
      <c r="S100" s="166">
        <f t="shared" si="12"/>
        <v>-6.5033434837326425</v>
      </c>
      <c r="T100" s="196"/>
    </row>
    <row r="101" spans="1:20" x14ac:dyDescent="0.25">
      <c r="A101" s="61">
        <f>'A) Base RI'!A102</f>
        <v>5557</v>
      </c>
      <c r="B101" s="72" t="str">
        <f>'A) Base RI'!B102</f>
        <v>Fontaines-sur-Grandson</v>
      </c>
      <c r="C101" s="205">
        <v>99077.879519971611</v>
      </c>
      <c r="D101" s="206">
        <v>1148.7324963019782</v>
      </c>
      <c r="E101" s="207">
        <v>0</v>
      </c>
      <c r="F101" s="206">
        <v>0</v>
      </c>
      <c r="G101" s="206">
        <v>0</v>
      </c>
      <c r="H101" s="208">
        <f t="shared" si="15"/>
        <v>100226.61201627359</v>
      </c>
      <c r="I101" s="272">
        <v>4594.8315942028985</v>
      </c>
      <c r="J101" s="125">
        <f>'B) D RI'!U102</f>
        <v>4200.6523188405799</v>
      </c>
      <c r="K101" s="86">
        <f t="shared" si="13"/>
        <v>21.812902162230536</v>
      </c>
      <c r="L101" s="43">
        <f>'B) D RI'!S102</f>
        <v>69</v>
      </c>
      <c r="M101" s="43">
        <f t="shared" si="8"/>
        <v>47.187097837769464</v>
      </c>
      <c r="N101" s="166">
        <f>'J) Plafonnement effort'!G100+'J) Plafonnement effort'!H100-'K) Plafonnement aide'!I100</f>
        <v>6.5264642146210274</v>
      </c>
      <c r="O101" s="166">
        <f t="shared" si="9"/>
        <v>53.713562052390493</v>
      </c>
      <c r="P101" s="59">
        <f t="shared" si="10"/>
        <v>0</v>
      </c>
      <c r="Q101" s="74">
        <f t="shared" si="14"/>
        <v>0</v>
      </c>
      <c r="R101" s="197">
        <f t="shared" si="11"/>
        <v>53.713562052390493</v>
      </c>
      <c r="S101" s="166">
        <f t="shared" si="12"/>
        <v>-15.286437947609507</v>
      </c>
      <c r="T101" s="196"/>
    </row>
    <row r="102" spans="1:20" x14ac:dyDescent="0.25">
      <c r="A102" s="61">
        <f>'A) Base RI'!A103</f>
        <v>5559</v>
      </c>
      <c r="B102" s="72" t="str">
        <f>'A) Base RI'!B103</f>
        <v>Giez</v>
      </c>
      <c r="C102" s="205">
        <v>337113.60599411698</v>
      </c>
      <c r="D102" s="206">
        <v>196837.91399803181</v>
      </c>
      <c r="E102" s="207">
        <v>0</v>
      </c>
      <c r="F102" s="206">
        <v>0</v>
      </c>
      <c r="G102" s="206">
        <v>0</v>
      </c>
      <c r="H102" s="208">
        <f t="shared" si="15"/>
        <v>533951.51999214874</v>
      </c>
      <c r="I102" s="272">
        <v>14748.809242424242</v>
      </c>
      <c r="J102" s="125">
        <f>'B) D RI'!U103</f>
        <v>17998.483636363639</v>
      </c>
      <c r="K102" s="86">
        <f t="shared" si="13"/>
        <v>36.203025696221147</v>
      </c>
      <c r="L102" s="43">
        <f>'B) D RI'!S103</f>
        <v>66</v>
      </c>
      <c r="M102" s="43">
        <f t="shared" si="8"/>
        <v>29.796974303778853</v>
      </c>
      <c r="N102" s="166">
        <f>'J) Plafonnement effort'!G101+'J) Plafonnement effort'!H101-'K) Plafonnement aide'!I101</f>
        <v>32.496026993679848</v>
      </c>
      <c r="O102" s="166">
        <f t="shared" si="9"/>
        <v>62.293001297458702</v>
      </c>
      <c r="P102" s="59">
        <f t="shared" si="10"/>
        <v>0</v>
      </c>
      <c r="Q102" s="74">
        <f t="shared" si="14"/>
        <v>0</v>
      </c>
      <c r="R102" s="197">
        <f t="shared" si="11"/>
        <v>62.293001297458702</v>
      </c>
      <c r="S102" s="166">
        <f t="shared" si="12"/>
        <v>-3.7069987025412985</v>
      </c>
      <c r="T102" s="196"/>
    </row>
    <row r="103" spans="1:20" x14ac:dyDescent="0.25">
      <c r="A103" s="61">
        <f>'A) Base RI'!A104</f>
        <v>5560</v>
      </c>
      <c r="B103" s="72" t="str">
        <f>'A) Base RI'!B104</f>
        <v>Grandevent</v>
      </c>
      <c r="C103" s="205">
        <v>129034.61650979676</v>
      </c>
      <c r="D103" s="206">
        <v>24126.379578171051</v>
      </c>
      <c r="E103" s="207">
        <v>0</v>
      </c>
      <c r="F103" s="206">
        <v>0</v>
      </c>
      <c r="G103" s="206">
        <v>0</v>
      </c>
      <c r="H103" s="208">
        <f t="shared" si="15"/>
        <v>153160.99608796783</v>
      </c>
      <c r="I103" s="272">
        <v>6117.1622727272734</v>
      </c>
      <c r="J103" s="125">
        <f>'B) D RI'!U104</f>
        <v>6396.1444117647052</v>
      </c>
      <c r="K103" s="86">
        <f t="shared" si="13"/>
        <v>25.037916154492102</v>
      </c>
      <c r="L103" s="43">
        <f>'B) D RI'!S104</f>
        <v>68</v>
      </c>
      <c r="M103" s="43">
        <f t="shared" si="8"/>
        <v>42.962083845507898</v>
      </c>
      <c r="N103" s="166">
        <f>'J) Plafonnement effort'!G102+'J) Plafonnement effort'!H102-'K) Plafonnement aide'!I102</f>
        <v>19.912982991263792</v>
      </c>
      <c r="O103" s="166">
        <f t="shared" si="9"/>
        <v>62.875066836771694</v>
      </c>
      <c r="P103" s="59">
        <f t="shared" si="10"/>
        <v>0</v>
      </c>
      <c r="Q103" s="74">
        <f t="shared" si="14"/>
        <v>0</v>
      </c>
      <c r="R103" s="197">
        <f t="shared" si="11"/>
        <v>62.875066836771694</v>
      </c>
      <c r="S103" s="166">
        <f t="shared" si="12"/>
        <v>-5.1249331632283059</v>
      </c>
      <c r="T103" s="196"/>
    </row>
    <row r="104" spans="1:20" x14ac:dyDescent="0.25">
      <c r="A104" s="61">
        <f>'A) Base RI'!A105</f>
        <v>5561</v>
      </c>
      <c r="B104" s="72" t="str">
        <f>'A) Base RI'!B105</f>
        <v>Grandson</v>
      </c>
      <c r="C104" s="205">
        <v>1825046.9271756124</v>
      </c>
      <c r="D104" s="206">
        <v>435572.94893185608</v>
      </c>
      <c r="E104" s="207">
        <v>0</v>
      </c>
      <c r="F104" s="206">
        <v>0</v>
      </c>
      <c r="G104" s="206">
        <v>0</v>
      </c>
      <c r="H104" s="208">
        <f t="shared" si="15"/>
        <v>2260619.8761074683</v>
      </c>
      <c r="I104" s="272">
        <v>108535.21144927538</v>
      </c>
      <c r="J104" s="125">
        <f>'B) D RI'!U105</f>
        <v>106507.86840579711</v>
      </c>
      <c r="K104" s="86">
        <f t="shared" si="13"/>
        <v>20.828446786266994</v>
      </c>
      <c r="L104" s="43">
        <f>'B) D RI'!S105</f>
        <v>69</v>
      </c>
      <c r="M104" s="43">
        <f t="shared" si="8"/>
        <v>48.171553213733006</v>
      </c>
      <c r="N104" s="166">
        <f>'J) Plafonnement effort'!G103+'J) Plafonnement effort'!H103-'K) Plafonnement aide'!I103</f>
        <v>15.627854918231648</v>
      </c>
      <c r="O104" s="166">
        <f t="shared" si="9"/>
        <v>63.799408131964654</v>
      </c>
      <c r="P104" s="59">
        <f t="shared" si="10"/>
        <v>0</v>
      </c>
      <c r="Q104" s="74">
        <f t="shared" si="14"/>
        <v>0</v>
      </c>
      <c r="R104" s="197">
        <f t="shared" si="11"/>
        <v>63.799408131964654</v>
      </c>
      <c r="S104" s="166">
        <f t="shared" si="12"/>
        <v>-5.200591868035346</v>
      </c>
      <c r="T104" s="196"/>
    </row>
    <row r="105" spans="1:20" x14ac:dyDescent="0.25">
      <c r="A105" s="61">
        <f>'A) Base RI'!A106</f>
        <v>5562</v>
      </c>
      <c r="B105" s="72" t="str">
        <f>'A) Base RI'!B106</f>
        <v>Mauborget</v>
      </c>
      <c r="C105" s="205">
        <v>73484.138722006988</v>
      </c>
      <c r="D105" s="206">
        <v>22922.669110681076</v>
      </c>
      <c r="E105" s="207">
        <v>0</v>
      </c>
      <c r="F105" s="206">
        <v>0</v>
      </c>
      <c r="G105" s="206">
        <v>0</v>
      </c>
      <c r="H105" s="208">
        <f t="shared" si="15"/>
        <v>96406.807832688064</v>
      </c>
      <c r="I105" s="272">
        <v>3378.0009047619046</v>
      </c>
      <c r="J105" s="125">
        <f>'B) D RI'!U106</f>
        <v>3916.9319285714282</v>
      </c>
      <c r="K105" s="86">
        <f t="shared" si="13"/>
        <v>28.539603910935959</v>
      </c>
      <c r="L105" s="43">
        <f>'B) D RI'!S106</f>
        <v>70</v>
      </c>
      <c r="M105" s="43">
        <f t="shared" si="8"/>
        <v>41.460396089064041</v>
      </c>
      <c r="N105" s="166">
        <f>'J) Plafonnement effort'!G104+'J) Plafonnement effort'!H104-'K) Plafonnement aide'!I104</f>
        <v>21.959323508805927</v>
      </c>
      <c r="O105" s="166">
        <f t="shared" si="9"/>
        <v>63.419719597869971</v>
      </c>
      <c r="P105" s="59">
        <f t="shared" si="10"/>
        <v>0</v>
      </c>
      <c r="Q105" s="74">
        <f t="shared" si="14"/>
        <v>0</v>
      </c>
      <c r="R105" s="197">
        <f t="shared" si="11"/>
        <v>63.419719597869971</v>
      </c>
      <c r="S105" s="166">
        <f t="shared" si="12"/>
        <v>-6.580280402130029</v>
      </c>
      <c r="T105" s="196"/>
    </row>
    <row r="106" spans="1:20" x14ac:dyDescent="0.25">
      <c r="A106" s="61">
        <f>'A) Base RI'!A107</f>
        <v>5563</v>
      </c>
      <c r="B106" s="72" t="str">
        <f>'A) Base RI'!B107</f>
        <v>Mutrux</v>
      </c>
      <c r="C106" s="205">
        <v>59765.888286436886</v>
      </c>
      <c r="D106" s="206">
        <v>-15050.419673971497</v>
      </c>
      <c r="E106" s="207">
        <v>0</v>
      </c>
      <c r="F106" s="206">
        <v>0</v>
      </c>
      <c r="G106" s="206">
        <v>0</v>
      </c>
      <c r="H106" s="208">
        <f t="shared" si="15"/>
        <v>44715.468612465389</v>
      </c>
      <c r="I106" s="272">
        <v>3733.6552866242037</v>
      </c>
      <c r="J106" s="125">
        <f>'B) D RI'!U107</f>
        <v>4102.2142675159239</v>
      </c>
      <c r="K106" s="86">
        <f t="shared" si="13"/>
        <v>11.97632485587469</v>
      </c>
      <c r="L106" s="43">
        <f>'B) D RI'!S107</f>
        <v>78.5</v>
      </c>
      <c r="M106" s="43">
        <f t="shared" si="8"/>
        <v>66.523675144125306</v>
      </c>
      <c r="N106" s="166">
        <f>'J) Plafonnement effort'!G105+'J) Plafonnement effort'!H105-'K) Plafonnement aide'!I105</f>
        <v>11.32742390088683</v>
      </c>
      <c r="O106" s="166">
        <f t="shared" si="9"/>
        <v>77.851099045012134</v>
      </c>
      <c r="P106" s="59">
        <f t="shared" si="10"/>
        <v>0</v>
      </c>
      <c r="Q106" s="74">
        <f t="shared" si="14"/>
        <v>0</v>
      </c>
      <c r="R106" s="197">
        <f t="shared" si="11"/>
        <v>77.851099045012134</v>
      </c>
      <c r="S106" s="166">
        <f t="shared" si="12"/>
        <v>-0.64890095498786593</v>
      </c>
      <c r="T106" s="196"/>
    </row>
    <row r="107" spans="1:20" x14ac:dyDescent="0.25">
      <c r="A107" s="61">
        <f>'A) Base RI'!A108</f>
        <v>5564</v>
      </c>
      <c r="B107" s="72" t="str">
        <f>'A) Base RI'!B108</f>
        <v>Novalles</v>
      </c>
      <c r="C107" s="205">
        <v>40935.551425983838</v>
      </c>
      <c r="D107" s="206">
        <v>-13817.100123669865</v>
      </c>
      <c r="E107" s="207">
        <v>0</v>
      </c>
      <c r="F107" s="206">
        <v>0</v>
      </c>
      <c r="G107" s="206">
        <v>0</v>
      </c>
      <c r="H107" s="208">
        <f t="shared" si="15"/>
        <v>27118.451302313973</v>
      </c>
      <c r="I107" s="272">
        <v>2399.5770723684213</v>
      </c>
      <c r="J107" s="125">
        <f>'B) D RI'!U108</f>
        <v>2120.1975328947365</v>
      </c>
      <c r="K107" s="86">
        <f t="shared" si="13"/>
        <v>11.301346230795422</v>
      </c>
      <c r="L107" s="43">
        <f>'B) D RI'!S108</f>
        <v>76</v>
      </c>
      <c r="M107" s="43">
        <f t="shared" si="8"/>
        <v>64.698653769204583</v>
      </c>
      <c r="N107" s="166">
        <f>'J) Plafonnement effort'!G106+'J) Plafonnement effort'!H106-'K) Plafonnement aide'!I106</f>
        <v>0.41909710524538513</v>
      </c>
      <c r="O107" s="166">
        <f t="shared" si="9"/>
        <v>65.117750874449968</v>
      </c>
      <c r="P107" s="59">
        <f t="shared" si="10"/>
        <v>0</v>
      </c>
      <c r="Q107" s="74">
        <f t="shared" si="14"/>
        <v>0</v>
      </c>
      <c r="R107" s="197">
        <f t="shared" si="11"/>
        <v>65.117750874449968</v>
      </c>
      <c r="S107" s="166">
        <f t="shared" si="12"/>
        <v>-10.882249125550032</v>
      </c>
      <c r="T107" s="196"/>
    </row>
    <row r="108" spans="1:20" x14ac:dyDescent="0.25">
      <c r="A108" s="61">
        <f>'A) Base RI'!A109</f>
        <v>5565</v>
      </c>
      <c r="B108" s="72" t="str">
        <f>'A) Base RI'!B109</f>
        <v>Onnens</v>
      </c>
      <c r="C108" s="205">
        <v>543749.90253515379</v>
      </c>
      <c r="D108" s="206">
        <v>216273.47188917897</v>
      </c>
      <c r="E108" s="207">
        <v>0</v>
      </c>
      <c r="F108" s="206">
        <v>0</v>
      </c>
      <c r="G108" s="206">
        <v>0</v>
      </c>
      <c r="H108" s="208">
        <f t="shared" si="15"/>
        <v>760023.37442433275</v>
      </c>
      <c r="I108" s="272">
        <v>18028.040615384612</v>
      </c>
      <c r="J108" s="125">
        <f>'B) D RI'!U109</f>
        <v>19222.665538461537</v>
      </c>
      <c r="K108" s="86">
        <f t="shared" si="13"/>
        <v>42.157846803149013</v>
      </c>
      <c r="L108" s="43">
        <f>'B) D RI'!S109</f>
        <v>65</v>
      </c>
      <c r="M108" s="43">
        <f t="shared" si="8"/>
        <v>22.842153196850987</v>
      </c>
      <c r="N108" s="166">
        <f>'J) Plafonnement effort'!G107+'J) Plafonnement effort'!H107-'K) Plafonnement aide'!I107</f>
        <v>29.977402764288065</v>
      </c>
      <c r="O108" s="166">
        <f t="shared" si="9"/>
        <v>52.819555961139052</v>
      </c>
      <c r="P108" s="59">
        <f t="shared" si="10"/>
        <v>0</v>
      </c>
      <c r="Q108" s="74">
        <f t="shared" si="14"/>
        <v>0</v>
      </c>
      <c r="R108" s="197">
        <f t="shared" si="11"/>
        <v>52.819555961139052</v>
      </c>
      <c r="S108" s="166">
        <f t="shared" si="12"/>
        <v>-12.180444038860948</v>
      </c>
      <c r="T108" s="196"/>
    </row>
    <row r="109" spans="1:20" x14ac:dyDescent="0.25">
      <c r="A109" s="61">
        <f>'A) Base RI'!A110</f>
        <v>5566</v>
      </c>
      <c r="B109" s="72" t="str">
        <f>'A) Base RI'!B110</f>
        <v>Provence</v>
      </c>
      <c r="C109" s="205">
        <v>116560.37934250447</v>
      </c>
      <c r="D109" s="206">
        <v>-155492.08644200402</v>
      </c>
      <c r="E109" s="207">
        <v>687.31450690697056</v>
      </c>
      <c r="F109" s="206">
        <v>0</v>
      </c>
      <c r="G109" s="206">
        <v>0</v>
      </c>
      <c r="H109" s="208">
        <f t="shared" si="15"/>
        <v>-38244.392592592572</v>
      </c>
      <c r="I109" s="272">
        <v>6953.5259259259255</v>
      </c>
      <c r="J109" s="125">
        <f>'B) D RI'!U110</f>
        <v>7814.1319753086409</v>
      </c>
      <c r="K109" s="86">
        <f t="shared" si="13"/>
        <v>-5.4999999999999973</v>
      </c>
      <c r="L109" s="43">
        <f>'B) D RI'!S110</f>
        <v>81</v>
      </c>
      <c r="M109" s="43">
        <f t="shared" si="8"/>
        <v>86.5</v>
      </c>
      <c r="N109" s="166">
        <f>'J) Plafonnement effort'!G108+'J) Plafonnement effort'!H108-'K) Plafonnement aide'!I108</f>
        <v>-24.223720814698414</v>
      </c>
      <c r="O109" s="166">
        <f t="shared" si="9"/>
        <v>62.27627918530159</v>
      </c>
      <c r="P109" s="59">
        <f t="shared" si="10"/>
        <v>0</v>
      </c>
      <c r="Q109" s="74">
        <f t="shared" si="14"/>
        <v>0</v>
      </c>
      <c r="R109" s="197">
        <f t="shared" si="11"/>
        <v>62.27627918530159</v>
      </c>
      <c r="S109" s="166">
        <f t="shared" si="12"/>
        <v>-18.72372081469841</v>
      </c>
      <c r="T109" s="196"/>
    </row>
    <row r="110" spans="1:20" x14ac:dyDescent="0.25">
      <c r="A110" s="61">
        <f>'A) Base RI'!A111</f>
        <v>5568</v>
      </c>
      <c r="B110" s="72" t="str">
        <f>'A) Base RI'!B111</f>
        <v>Sainte-Croix</v>
      </c>
      <c r="C110" s="205">
        <v>2328276.5643309425</v>
      </c>
      <c r="D110" s="206">
        <v>-2094181.6619155989</v>
      </c>
      <c r="E110" s="207">
        <v>0</v>
      </c>
      <c r="F110" s="206">
        <v>0</v>
      </c>
      <c r="G110" s="206">
        <v>0</v>
      </c>
      <c r="H110" s="208">
        <f t="shared" si="15"/>
        <v>234094.90241534356</v>
      </c>
      <c r="I110" s="272">
        <v>95577.709714285724</v>
      </c>
      <c r="J110" s="125">
        <f>'B) D RI'!U111</f>
        <v>93435.029714285716</v>
      </c>
      <c r="K110" s="86">
        <f t="shared" si="13"/>
        <v>2.4492625227695122</v>
      </c>
      <c r="L110" s="43">
        <f>'B) D RI'!S111</f>
        <v>70</v>
      </c>
      <c r="M110" s="43">
        <f t="shared" si="8"/>
        <v>67.550737477230484</v>
      </c>
      <c r="N110" s="166">
        <f>'J) Plafonnement effort'!G109+'J) Plafonnement effort'!H109-'K) Plafonnement aide'!I109</f>
        <v>-10.450868577450722</v>
      </c>
      <c r="O110" s="166">
        <f t="shared" si="9"/>
        <v>57.099868899779764</v>
      </c>
      <c r="P110" s="59">
        <f t="shared" si="10"/>
        <v>0</v>
      </c>
      <c r="Q110" s="74">
        <f t="shared" si="14"/>
        <v>0</v>
      </c>
      <c r="R110" s="197">
        <f t="shared" si="11"/>
        <v>57.099868899779764</v>
      </c>
      <c r="S110" s="166">
        <f t="shared" si="12"/>
        <v>-12.900131100220236</v>
      </c>
      <c r="T110" s="196"/>
    </row>
    <row r="111" spans="1:20" x14ac:dyDescent="0.25">
      <c r="A111" s="61">
        <f>'A) Base RI'!A112</f>
        <v>5571</v>
      </c>
      <c r="B111" s="72" t="str">
        <f>'A) Base RI'!B112</f>
        <v>Tévenon</v>
      </c>
      <c r="C111" s="205">
        <v>341580.69210292376</v>
      </c>
      <c r="D111" s="206">
        <v>-1281.0156230243156</v>
      </c>
      <c r="E111" s="207">
        <v>0</v>
      </c>
      <c r="F111" s="206">
        <v>0</v>
      </c>
      <c r="G111" s="206">
        <v>0</v>
      </c>
      <c r="H111" s="208">
        <f t="shared" si="15"/>
        <v>340299.67647989944</v>
      </c>
      <c r="I111" s="272">
        <v>19746.460639269408</v>
      </c>
      <c r="J111" s="125">
        <f>'B) D RI'!U112</f>
        <v>20766.182465753427</v>
      </c>
      <c r="K111" s="86">
        <f t="shared" si="13"/>
        <v>17.233451740873097</v>
      </c>
      <c r="L111" s="43">
        <f>'B) D RI'!S112</f>
        <v>73</v>
      </c>
      <c r="M111" s="43">
        <f t="shared" si="8"/>
        <v>55.766548259126907</v>
      </c>
      <c r="N111" s="166">
        <f>'J) Plafonnement effort'!G110+'J) Plafonnement effort'!H110-'K) Plafonnement aide'!I110</f>
        <v>15.192769697479793</v>
      </c>
      <c r="O111" s="166">
        <f t="shared" si="9"/>
        <v>70.959317956606696</v>
      </c>
      <c r="P111" s="59">
        <f t="shared" si="10"/>
        <v>0</v>
      </c>
      <c r="Q111" s="74">
        <f t="shared" si="14"/>
        <v>0</v>
      </c>
      <c r="R111" s="197">
        <f t="shared" si="11"/>
        <v>70.959317956606696</v>
      </c>
      <c r="S111" s="166">
        <f t="shared" si="12"/>
        <v>-2.0406820433933035</v>
      </c>
      <c r="T111" s="196"/>
    </row>
    <row r="112" spans="1:20" x14ac:dyDescent="0.25">
      <c r="A112" s="61">
        <f>'A) Base RI'!A113</f>
        <v>5581</v>
      </c>
      <c r="B112" s="72" t="str">
        <f>'A) Base RI'!B113</f>
        <v>Belmont-sur-Lausanne</v>
      </c>
      <c r="C112" s="205">
        <v>3001109.1865774021</v>
      </c>
      <c r="D112" s="206">
        <v>2249611</v>
      </c>
      <c r="E112" s="207">
        <v>0</v>
      </c>
      <c r="F112" s="206">
        <v>0</v>
      </c>
      <c r="G112" s="206">
        <v>0</v>
      </c>
      <c r="H112" s="208">
        <f t="shared" si="15"/>
        <v>5250720.1865774021</v>
      </c>
      <c r="I112" s="272">
        <v>180220.53318944844</v>
      </c>
      <c r="J112" s="125">
        <f>'B) D RI'!U113</f>
        <v>173034.35179856114</v>
      </c>
      <c r="K112" s="86">
        <f t="shared" si="13"/>
        <v>29.13497199044366</v>
      </c>
      <c r="L112" s="43">
        <f>'B) D RI'!S113</f>
        <v>69.5</v>
      </c>
      <c r="M112" s="43">
        <f t="shared" si="8"/>
        <v>40.36502800955634</v>
      </c>
      <c r="N112" s="166">
        <f>'J) Plafonnement effort'!G111+'J) Plafonnement effort'!H111-'K) Plafonnement aide'!I111</f>
        <v>26.491505560632078</v>
      </c>
      <c r="O112" s="166">
        <f t="shared" si="9"/>
        <v>66.856533570188418</v>
      </c>
      <c r="P112" s="59">
        <f t="shared" si="10"/>
        <v>0</v>
      </c>
      <c r="Q112" s="74">
        <f t="shared" si="14"/>
        <v>0</v>
      </c>
      <c r="R112" s="197">
        <f t="shared" si="11"/>
        <v>66.856533570188418</v>
      </c>
      <c r="S112" s="166">
        <f t="shared" si="12"/>
        <v>-2.643466429811582</v>
      </c>
      <c r="T112" s="196"/>
    </row>
    <row r="113" spans="1:20" x14ac:dyDescent="0.25">
      <c r="A113" s="61">
        <f>'A) Base RI'!A114</f>
        <v>5582</v>
      </c>
      <c r="B113" s="72" t="str">
        <f>'A) Base RI'!B114</f>
        <v>Cheseaux-sur-Lausanne</v>
      </c>
      <c r="C113" s="205">
        <v>2291983.3290125746</v>
      </c>
      <c r="D113" s="206">
        <v>592846.06382330181</v>
      </c>
      <c r="E113" s="207">
        <v>0</v>
      </c>
      <c r="F113" s="206">
        <v>0</v>
      </c>
      <c r="G113" s="206">
        <v>0</v>
      </c>
      <c r="H113" s="208">
        <f t="shared" si="15"/>
        <v>2884829.3928358764</v>
      </c>
      <c r="I113" s="272">
        <v>145388.39302013422</v>
      </c>
      <c r="J113" s="125">
        <f>'B) D RI'!U114</f>
        <v>165346.44872483221</v>
      </c>
      <c r="K113" s="86">
        <f t="shared" si="13"/>
        <v>19.842226280308147</v>
      </c>
      <c r="L113" s="43">
        <f>'B) D RI'!S114</f>
        <v>74.5</v>
      </c>
      <c r="M113" s="43">
        <f t="shared" si="8"/>
        <v>54.657773719691853</v>
      </c>
      <c r="N113" s="166">
        <f>'J) Plafonnement effort'!G112+'J) Plafonnement effort'!H112-'K) Plafonnement aide'!I112</f>
        <v>24.29954811975832</v>
      </c>
      <c r="O113" s="166">
        <f t="shared" si="9"/>
        <v>78.957321839450174</v>
      </c>
      <c r="P113" s="59">
        <f t="shared" si="10"/>
        <v>0</v>
      </c>
      <c r="Q113" s="74">
        <f t="shared" si="14"/>
        <v>0</v>
      </c>
      <c r="R113" s="197">
        <f t="shared" si="11"/>
        <v>78.957321839450174</v>
      </c>
      <c r="S113" s="166">
        <f t="shared" si="12"/>
        <v>4.4573218394501737</v>
      </c>
      <c r="T113" s="196"/>
    </row>
    <row r="114" spans="1:20" x14ac:dyDescent="0.25">
      <c r="A114" s="61">
        <f>'A) Base RI'!A115</f>
        <v>5583</v>
      </c>
      <c r="B114" s="72" t="str">
        <f>'A) Base RI'!B115</f>
        <v>Crissier</v>
      </c>
      <c r="C114" s="205">
        <v>5225517.3376860553</v>
      </c>
      <c r="D114" s="206">
        <v>1883223.3831918323</v>
      </c>
      <c r="E114" s="207">
        <v>0</v>
      </c>
      <c r="F114" s="206">
        <v>0</v>
      </c>
      <c r="G114" s="206">
        <v>0</v>
      </c>
      <c r="H114" s="208">
        <f t="shared" si="15"/>
        <v>7108740.7208778877</v>
      </c>
      <c r="I114" s="272">
        <v>300610.54815384618</v>
      </c>
      <c r="J114" s="125">
        <f>'B) D RI'!U115</f>
        <v>323925.7196923077</v>
      </c>
      <c r="K114" s="86">
        <f t="shared" si="13"/>
        <v>23.647675587350925</v>
      </c>
      <c r="L114" s="43">
        <f>'B) D RI'!S115</f>
        <v>65</v>
      </c>
      <c r="M114" s="43">
        <f t="shared" si="8"/>
        <v>41.352324412649075</v>
      </c>
      <c r="N114" s="166">
        <f>'J) Plafonnement effort'!G113+'J) Plafonnement effort'!H113-'K) Plafonnement aide'!I113</f>
        <v>21.3485581926899</v>
      </c>
      <c r="O114" s="166">
        <f t="shared" si="9"/>
        <v>62.700882605338975</v>
      </c>
      <c r="P114" s="59">
        <f t="shared" si="10"/>
        <v>0</v>
      </c>
      <c r="Q114" s="74">
        <f t="shared" si="14"/>
        <v>0</v>
      </c>
      <c r="R114" s="197">
        <f t="shared" si="11"/>
        <v>62.700882605338975</v>
      </c>
      <c r="S114" s="166">
        <f t="shared" si="12"/>
        <v>-2.2991173946610246</v>
      </c>
      <c r="T114" s="196"/>
    </row>
    <row r="115" spans="1:20" x14ac:dyDescent="0.25">
      <c r="A115" s="61">
        <f>'A) Base RI'!A116</f>
        <v>5584</v>
      </c>
      <c r="B115" s="72" t="str">
        <f>'A) Base RI'!B116</f>
        <v>Epalinges</v>
      </c>
      <c r="C115" s="205">
        <v>7261352.5701147458</v>
      </c>
      <c r="D115" s="206">
        <v>4371545</v>
      </c>
      <c r="E115" s="207">
        <v>0</v>
      </c>
      <c r="F115" s="206">
        <v>0</v>
      </c>
      <c r="G115" s="206">
        <v>0</v>
      </c>
      <c r="H115" s="208">
        <f t="shared" si="15"/>
        <v>11632897.570114747</v>
      </c>
      <c r="I115" s="272">
        <v>461506.63590909087</v>
      </c>
      <c r="J115" s="125">
        <f>'B) D RI'!U116</f>
        <v>455923.60696969699</v>
      </c>
      <c r="K115" s="86">
        <f t="shared" si="13"/>
        <v>25.206349519113381</v>
      </c>
      <c r="L115" s="43">
        <f>'B) D RI'!S116</f>
        <v>66</v>
      </c>
      <c r="M115" s="43">
        <f t="shared" ref="M115:M166" si="16">L115-K115</f>
        <v>40.793650480886619</v>
      </c>
      <c r="N115" s="166">
        <f>'J) Plafonnement effort'!G114+'J) Plafonnement effort'!H114-'K) Plafonnement aide'!I114</f>
        <v>22.493140134141793</v>
      </c>
      <c r="O115" s="166">
        <f t="shared" ref="O115:O166" si="17">M115+N115</f>
        <v>63.286790615028409</v>
      </c>
      <c r="P115" s="59">
        <f t="shared" ref="P115:P166" si="18">IF(O115&gt;$P$5,$P$5-O115,0)</f>
        <v>0</v>
      </c>
      <c r="Q115" s="74">
        <f t="shared" si="14"/>
        <v>0</v>
      </c>
      <c r="R115" s="197">
        <f t="shared" ref="R115:R166" si="19">O115+P115</f>
        <v>63.286790615028409</v>
      </c>
      <c r="S115" s="166">
        <f t="shared" ref="S115:S166" si="20">R115-L115</f>
        <v>-2.7132093849715915</v>
      </c>
      <c r="T115" s="196"/>
    </row>
    <row r="116" spans="1:20" x14ac:dyDescent="0.25">
      <c r="A116" s="61">
        <f>'A) Base RI'!A117</f>
        <v>5585</v>
      </c>
      <c r="B116" s="72" t="str">
        <f>'A) Base RI'!B117</f>
        <v>Jouxtens-Mézery</v>
      </c>
      <c r="C116" s="205">
        <v>5341381.7698115595</v>
      </c>
      <c r="D116" s="206">
        <v>2247557</v>
      </c>
      <c r="E116" s="207">
        <v>0</v>
      </c>
      <c r="F116" s="206">
        <v>0</v>
      </c>
      <c r="G116" s="206">
        <v>0</v>
      </c>
      <c r="H116" s="208">
        <f t="shared" si="15"/>
        <v>7588938.7698115595</v>
      </c>
      <c r="I116" s="272">
        <v>191565.37515151518</v>
      </c>
      <c r="J116" s="125">
        <f>'B) D RI'!U117</f>
        <v>159177.88018867921</v>
      </c>
      <c r="K116" s="86">
        <f t="shared" si="13"/>
        <v>39.615398992689705</v>
      </c>
      <c r="L116" s="43">
        <f>'B) D RI'!S117</f>
        <v>53</v>
      </c>
      <c r="M116" s="43">
        <f t="shared" si="16"/>
        <v>13.384601007310295</v>
      </c>
      <c r="N116" s="166">
        <f>'J) Plafonnement effort'!G115+'J) Plafonnement effort'!H115-'K) Plafonnement aide'!I115</f>
        <v>41.923311128469123</v>
      </c>
      <c r="O116" s="166">
        <f t="shared" si="17"/>
        <v>55.307912135779418</v>
      </c>
      <c r="P116" s="59">
        <f t="shared" si="18"/>
        <v>0</v>
      </c>
      <c r="Q116" s="74">
        <f t="shared" si="14"/>
        <v>0</v>
      </c>
      <c r="R116" s="197">
        <f t="shared" si="19"/>
        <v>55.307912135779418</v>
      </c>
      <c r="S116" s="166">
        <f t="shared" si="20"/>
        <v>2.3079121357794179</v>
      </c>
      <c r="T116" s="196"/>
    </row>
    <row r="117" spans="1:20" x14ac:dyDescent="0.25">
      <c r="A117" s="61">
        <f>'A) Base RI'!A118</f>
        <v>5586</v>
      </c>
      <c r="B117" s="72" t="str">
        <f>'A) Base RI'!B118</f>
        <v>Lausanne</v>
      </c>
      <c r="C117" s="205">
        <v>99416022.05181849</v>
      </c>
      <c r="D117" s="206">
        <v>-22783921</v>
      </c>
      <c r="E117" s="207">
        <v>0</v>
      </c>
      <c r="F117" s="206">
        <v>0</v>
      </c>
      <c r="G117" s="206">
        <v>0</v>
      </c>
      <c r="H117" s="208">
        <f t="shared" si="15"/>
        <v>76632101.05181849</v>
      </c>
      <c r="I117" s="272">
        <v>6035853.3985654004</v>
      </c>
      <c r="J117" s="125">
        <f>'B) D RI'!U118</f>
        <v>5897479.10464135</v>
      </c>
      <c r="K117" s="86">
        <f t="shared" ref="K117:K167" si="21">H117/I117</f>
        <v>12.69615015335402</v>
      </c>
      <c r="L117" s="43">
        <f>'B) D RI'!S118</f>
        <v>79</v>
      </c>
      <c r="M117" s="43">
        <f t="shared" si="16"/>
        <v>66.303849846645974</v>
      </c>
      <c r="N117" s="166">
        <f>'J) Plafonnement effort'!G116+'J) Plafonnement effort'!H116-'K) Plafonnement aide'!I116</f>
        <v>6.7337702689253467</v>
      </c>
      <c r="O117" s="166">
        <f t="shared" si="17"/>
        <v>73.037620115571315</v>
      </c>
      <c r="P117" s="59">
        <f t="shared" si="18"/>
        <v>0</v>
      </c>
      <c r="Q117" s="74">
        <f t="shared" si="14"/>
        <v>0</v>
      </c>
      <c r="R117" s="197">
        <f t="shared" si="19"/>
        <v>73.037620115571315</v>
      </c>
      <c r="S117" s="166">
        <f t="shared" si="20"/>
        <v>-5.9623798844286853</v>
      </c>
      <c r="T117" s="196"/>
    </row>
    <row r="118" spans="1:20" x14ac:dyDescent="0.25">
      <c r="A118" s="61">
        <f>'A) Base RI'!A119</f>
        <v>5587</v>
      </c>
      <c r="B118" s="72" t="str">
        <f>'A) Base RI'!B119</f>
        <v>Le Mont-sur-Lausanne</v>
      </c>
      <c r="C118" s="205">
        <v>5876805.9812785406</v>
      </c>
      <c r="D118" s="206">
        <v>3480784</v>
      </c>
      <c r="E118" s="207">
        <v>0</v>
      </c>
      <c r="F118" s="206">
        <v>0</v>
      </c>
      <c r="G118" s="206">
        <v>0</v>
      </c>
      <c r="H118" s="208">
        <f t="shared" si="15"/>
        <v>9357589.9812785406</v>
      </c>
      <c r="I118" s="272">
        <v>349051.38502222218</v>
      </c>
      <c r="J118" s="125">
        <f>'B) D RI'!U119</f>
        <v>380449.00348888891</v>
      </c>
      <c r="K118" s="86">
        <f t="shared" si="21"/>
        <v>26.808631573493955</v>
      </c>
      <c r="L118" s="43">
        <f>'B) D RI'!S119</f>
        <v>75</v>
      </c>
      <c r="M118" s="43">
        <f t="shared" si="16"/>
        <v>48.191368426506045</v>
      </c>
      <c r="N118" s="166">
        <f>'J) Plafonnement effort'!G117+'J) Plafonnement effort'!H117-'K) Plafonnement aide'!I117</f>
        <v>24.372684155534685</v>
      </c>
      <c r="O118" s="166">
        <f t="shared" si="17"/>
        <v>72.56405258204073</v>
      </c>
      <c r="P118" s="59">
        <f t="shared" si="18"/>
        <v>0</v>
      </c>
      <c r="Q118" s="74">
        <f t="shared" ref="Q118:Q167" si="22">P118*J118</f>
        <v>0</v>
      </c>
      <c r="R118" s="197">
        <f t="shared" si="19"/>
        <v>72.56405258204073</v>
      </c>
      <c r="S118" s="166">
        <f t="shared" si="20"/>
        <v>-2.4359474179592695</v>
      </c>
      <c r="T118" s="196"/>
    </row>
    <row r="119" spans="1:20" x14ac:dyDescent="0.25">
      <c r="A119" s="61">
        <f>'A) Base RI'!A120</f>
        <v>5588</v>
      </c>
      <c r="B119" s="72" t="str">
        <f>'A) Base RI'!B120</f>
        <v>Paudex</v>
      </c>
      <c r="C119" s="205">
        <v>3710384.7486003996</v>
      </c>
      <c r="D119" s="206">
        <v>1948379</v>
      </c>
      <c r="E119" s="207">
        <v>0</v>
      </c>
      <c r="F119" s="206">
        <v>0</v>
      </c>
      <c r="G119" s="206">
        <v>0</v>
      </c>
      <c r="H119" s="208">
        <f t="shared" si="15"/>
        <v>5658763.7486003991</v>
      </c>
      <c r="I119" s="272">
        <v>152550.33605110337</v>
      </c>
      <c r="J119" s="125">
        <f>'B) D RI'!U120</f>
        <v>152789.79231126595</v>
      </c>
      <c r="K119" s="86">
        <f t="shared" si="21"/>
        <v>37.094403690495639</v>
      </c>
      <c r="L119" s="43">
        <f>'B) D RI'!S120</f>
        <v>61.5</v>
      </c>
      <c r="M119" s="43">
        <f t="shared" si="16"/>
        <v>24.405596309504361</v>
      </c>
      <c r="N119" s="166">
        <f>'J) Plafonnement effort'!G118+'J) Plafonnement effort'!H118-'K) Plafonnement aide'!I118</f>
        <v>40.965950192727568</v>
      </c>
      <c r="O119" s="166">
        <f t="shared" si="17"/>
        <v>65.371546502231922</v>
      </c>
      <c r="P119" s="59">
        <f t="shared" si="18"/>
        <v>0</v>
      </c>
      <c r="Q119" s="74">
        <f t="shared" si="22"/>
        <v>0</v>
      </c>
      <c r="R119" s="197">
        <f t="shared" si="19"/>
        <v>65.371546502231922</v>
      </c>
      <c r="S119" s="166">
        <f t="shared" si="20"/>
        <v>3.8715465022319222</v>
      </c>
      <c r="T119" s="196"/>
    </row>
    <row r="120" spans="1:20" x14ac:dyDescent="0.25">
      <c r="A120" s="61">
        <f>'A) Base RI'!A121</f>
        <v>5589</v>
      </c>
      <c r="B120" s="72" t="str">
        <f>'A) Base RI'!B121</f>
        <v>Prilly</v>
      </c>
      <c r="C120" s="205">
        <v>6437087.0362233967</v>
      </c>
      <c r="D120" s="206">
        <v>-1395394.9608718101</v>
      </c>
      <c r="E120" s="207">
        <v>0</v>
      </c>
      <c r="F120" s="206">
        <v>0</v>
      </c>
      <c r="G120" s="206">
        <v>0</v>
      </c>
      <c r="H120" s="208">
        <f t="shared" si="15"/>
        <v>5041692.0753515866</v>
      </c>
      <c r="I120" s="272">
        <v>409964.00829931977</v>
      </c>
      <c r="J120" s="125">
        <f>'B) D RI'!U121</f>
        <v>462414.97306122456</v>
      </c>
      <c r="K120" s="86">
        <f t="shared" si="21"/>
        <v>12.297889505633346</v>
      </c>
      <c r="L120" s="43">
        <f>'B) D RI'!S121</f>
        <v>73.5</v>
      </c>
      <c r="M120" s="43">
        <f t="shared" si="16"/>
        <v>61.20211049436665</v>
      </c>
      <c r="N120" s="166">
        <f>'J) Plafonnement effort'!G119+'J) Plafonnement effort'!H119-'K) Plafonnement aide'!I119</f>
        <v>15.432930507846095</v>
      </c>
      <c r="O120" s="166">
        <f t="shared" si="17"/>
        <v>76.635041002212745</v>
      </c>
      <c r="P120" s="59">
        <f t="shared" si="18"/>
        <v>0</v>
      </c>
      <c r="Q120" s="74">
        <f t="shared" si="22"/>
        <v>0</v>
      </c>
      <c r="R120" s="197">
        <f t="shared" si="19"/>
        <v>76.635041002212745</v>
      </c>
      <c r="S120" s="166">
        <f t="shared" si="20"/>
        <v>3.1350410022127448</v>
      </c>
      <c r="T120" s="196"/>
    </row>
    <row r="121" spans="1:20" x14ac:dyDescent="0.25">
      <c r="A121" s="61">
        <f>'A) Base RI'!A122</f>
        <v>5590</v>
      </c>
      <c r="B121" s="72" t="str">
        <f>'A) Base RI'!B122</f>
        <v>Pully</v>
      </c>
      <c r="C121" s="205">
        <v>33554370.48875377</v>
      </c>
      <c r="D121" s="206">
        <v>10320849</v>
      </c>
      <c r="E121" s="207">
        <v>0</v>
      </c>
      <c r="F121" s="206">
        <v>0</v>
      </c>
      <c r="G121" s="206">
        <v>0</v>
      </c>
      <c r="H121" s="208">
        <f t="shared" si="15"/>
        <v>43875219.488753766</v>
      </c>
      <c r="I121" s="272">
        <v>1412228.1927210884</v>
      </c>
      <c r="J121" s="125">
        <f>'B) D RI'!U122</f>
        <v>1366683.426371882</v>
      </c>
      <c r="K121" s="86">
        <f t="shared" si="21"/>
        <v>31.068080721582799</v>
      </c>
      <c r="L121" s="43">
        <f>'B) D RI'!S122</f>
        <v>63</v>
      </c>
      <c r="M121" s="43">
        <f t="shared" si="16"/>
        <v>31.931919278417201</v>
      </c>
      <c r="N121" s="166">
        <f>'J) Plafonnement effort'!G120+'J) Plafonnement effort'!H120-'K) Plafonnement aide'!I120</f>
        <v>32.326362573249632</v>
      </c>
      <c r="O121" s="166">
        <f t="shared" si="17"/>
        <v>64.258281851666837</v>
      </c>
      <c r="P121" s="59">
        <f t="shared" si="18"/>
        <v>0</v>
      </c>
      <c r="Q121" s="74">
        <f t="shared" si="22"/>
        <v>0</v>
      </c>
      <c r="R121" s="197">
        <f t="shared" si="19"/>
        <v>64.258281851666837</v>
      </c>
      <c r="S121" s="166">
        <f t="shared" si="20"/>
        <v>1.2582818516668368</v>
      </c>
      <c r="T121" s="196"/>
    </row>
    <row r="122" spans="1:20" x14ac:dyDescent="0.25">
      <c r="A122" s="61">
        <f>'A) Base RI'!A123</f>
        <v>5591</v>
      </c>
      <c r="B122" s="72" t="str">
        <f>'A) Base RI'!B123</f>
        <v>Renens</v>
      </c>
      <c r="C122" s="205">
        <v>9128796.1812866498</v>
      </c>
      <c r="D122" s="206">
        <v>-15412893.400997672</v>
      </c>
      <c r="E122" s="207">
        <v>3494360.1524043791</v>
      </c>
      <c r="F122" s="206">
        <v>0</v>
      </c>
      <c r="G122" s="206">
        <v>0</v>
      </c>
      <c r="H122" s="208">
        <f t="shared" si="15"/>
        <v>-2789737.0673066434</v>
      </c>
      <c r="I122" s="272">
        <v>507224.92132848047</v>
      </c>
      <c r="J122" s="125">
        <f>'B) D RI'!U123</f>
        <v>546895.28569608741</v>
      </c>
      <c r="K122" s="86">
        <f t="shared" si="21"/>
        <v>-5.5000000000000018</v>
      </c>
      <c r="L122" s="43">
        <f>'B) D RI'!S123</f>
        <v>78.5</v>
      </c>
      <c r="M122" s="43">
        <f t="shared" si="16"/>
        <v>84</v>
      </c>
      <c r="N122" s="166">
        <f>'J) Plafonnement effort'!G121+'J) Plafonnement effort'!H121-'K) Plafonnement aide'!I121</f>
        <v>-15.786805205700604</v>
      </c>
      <c r="O122" s="166">
        <f t="shared" si="17"/>
        <v>68.213194794299397</v>
      </c>
      <c r="P122" s="59">
        <f t="shared" si="18"/>
        <v>0</v>
      </c>
      <c r="Q122" s="74">
        <f t="shared" si="22"/>
        <v>0</v>
      </c>
      <c r="R122" s="197">
        <f t="shared" si="19"/>
        <v>68.213194794299397</v>
      </c>
      <c r="S122" s="166">
        <f t="shared" si="20"/>
        <v>-10.286805205700603</v>
      </c>
      <c r="T122" s="196"/>
    </row>
    <row r="123" spans="1:20" x14ac:dyDescent="0.25">
      <c r="A123" s="61">
        <f>'A) Base RI'!A124</f>
        <v>5592</v>
      </c>
      <c r="B123" s="72" t="str">
        <f>'A) Base RI'!B124</f>
        <v>Romanel-sur-Lausanne</v>
      </c>
      <c r="C123" s="205">
        <v>1884108.8031983164</v>
      </c>
      <c r="D123" s="206">
        <v>617364.89213691792</v>
      </c>
      <c r="E123" s="207">
        <v>0</v>
      </c>
      <c r="F123" s="206">
        <v>0</v>
      </c>
      <c r="G123" s="206">
        <v>0</v>
      </c>
      <c r="H123" s="208">
        <f t="shared" si="15"/>
        <v>2501473.6953352345</v>
      </c>
      <c r="I123" s="272">
        <v>115467.46028571429</v>
      </c>
      <c r="J123" s="125">
        <f>'B) D RI'!U124</f>
        <v>110273.83828571429</v>
      </c>
      <c r="K123" s="86">
        <f t="shared" si="21"/>
        <v>21.663884259215134</v>
      </c>
      <c r="L123" s="43">
        <f>'B) D RI'!S124</f>
        <v>70</v>
      </c>
      <c r="M123" s="43">
        <f t="shared" si="16"/>
        <v>48.336115740784862</v>
      </c>
      <c r="N123" s="166">
        <f>'J) Plafonnement effort'!G122+'J) Plafonnement effort'!H122-'K) Plafonnement aide'!I122</f>
        <v>21.5086090537357</v>
      </c>
      <c r="O123" s="166">
        <f t="shared" si="17"/>
        <v>69.844724794520559</v>
      </c>
      <c r="P123" s="59">
        <f t="shared" si="18"/>
        <v>0</v>
      </c>
      <c r="Q123" s="74">
        <f t="shared" si="22"/>
        <v>0</v>
      </c>
      <c r="R123" s="197">
        <f t="shared" si="19"/>
        <v>69.844724794520559</v>
      </c>
      <c r="S123" s="166">
        <f t="shared" si="20"/>
        <v>-0.15527520547944107</v>
      </c>
      <c r="T123" s="196"/>
    </row>
    <row r="124" spans="1:20" x14ac:dyDescent="0.25">
      <c r="A124" s="61">
        <f>'A) Base RI'!A125</f>
        <v>5601</v>
      </c>
      <c r="B124" s="72" t="str">
        <f>'A) Base RI'!B125</f>
        <v>Chexbres</v>
      </c>
      <c r="C124" s="205">
        <v>1747416.7050968385</v>
      </c>
      <c r="D124" s="206">
        <v>1369864</v>
      </c>
      <c r="E124" s="207">
        <v>0</v>
      </c>
      <c r="F124" s="206">
        <v>0</v>
      </c>
      <c r="G124" s="206">
        <v>0</v>
      </c>
      <c r="H124" s="208">
        <f t="shared" si="15"/>
        <v>3117280.7050968385</v>
      </c>
      <c r="I124" s="272">
        <v>102004.96828125001</v>
      </c>
      <c r="J124" s="125">
        <f>'B) D RI'!U125</f>
        <v>104474.96078125002</v>
      </c>
      <c r="K124" s="86">
        <f t="shared" si="21"/>
        <v>30.560086999898022</v>
      </c>
      <c r="L124" s="43">
        <f>'B) D RI'!S125</f>
        <v>64</v>
      </c>
      <c r="M124" s="43">
        <f t="shared" si="16"/>
        <v>33.439913000101981</v>
      </c>
      <c r="N124" s="166">
        <f>'J) Plafonnement effort'!G123+'J) Plafonnement effort'!H123-'K) Plafonnement aide'!I123</f>
        <v>30.786950633346599</v>
      </c>
      <c r="O124" s="166">
        <f t="shared" si="17"/>
        <v>64.226863633448573</v>
      </c>
      <c r="P124" s="59">
        <f t="shared" si="18"/>
        <v>0</v>
      </c>
      <c r="Q124" s="74">
        <f t="shared" si="22"/>
        <v>0</v>
      </c>
      <c r="R124" s="197">
        <f t="shared" si="19"/>
        <v>64.226863633448573</v>
      </c>
      <c r="S124" s="166">
        <f t="shared" si="20"/>
        <v>0.22686363344857341</v>
      </c>
      <c r="T124" s="196"/>
    </row>
    <row r="125" spans="1:20" x14ac:dyDescent="0.25">
      <c r="A125" s="61">
        <f>'A) Base RI'!A126</f>
        <v>5604</v>
      </c>
      <c r="B125" s="72" t="str">
        <f>'A) Base RI'!B126</f>
        <v>Forel (Lavaux)</v>
      </c>
      <c r="C125" s="205">
        <v>1170713.224175367</v>
      </c>
      <c r="D125" s="206">
        <v>582867.90439378377</v>
      </c>
      <c r="E125" s="207">
        <v>0</v>
      </c>
      <c r="F125" s="206">
        <v>0</v>
      </c>
      <c r="G125" s="206">
        <v>0</v>
      </c>
      <c r="H125" s="208">
        <f t="shared" si="15"/>
        <v>1753581.1285691508</v>
      </c>
      <c r="I125" s="272">
        <v>73679.184999999969</v>
      </c>
      <c r="J125" s="125">
        <f>'B) D RI'!U126</f>
        <v>65514.699852941172</v>
      </c>
      <c r="K125" s="86">
        <f t="shared" si="21"/>
        <v>23.800224290878781</v>
      </c>
      <c r="L125" s="43">
        <f>'B) D RI'!S126</f>
        <v>68</v>
      </c>
      <c r="M125" s="43">
        <f t="shared" si="16"/>
        <v>44.199775709121219</v>
      </c>
      <c r="N125" s="166">
        <f>'J) Plafonnement effort'!G124+'J) Plafonnement effort'!H124-'K) Plafonnement aide'!I124</f>
        <v>17.098319790806979</v>
      </c>
      <c r="O125" s="166">
        <f t="shared" si="17"/>
        <v>61.298095499928195</v>
      </c>
      <c r="P125" s="59">
        <f t="shared" si="18"/>
        <v>0</v>
      </c>
      <c r="Q125" s="74">
        <f t="shared" si="22"/>
        <v>0</v>
      </c>
      <c r="R125" s="197">
        <f t="shared" si="19"/>
        <v>61.298095499928195</v>
      </c>
      <c r="S125" s="166">
        <f t="shared" si="20"/>
        <v>-6.7019045000718052</v>
      </c>
      <c r="T125" s="196"/>
    </row>
    <row r="126" spans="1:20" x14ac:dyDescent="0.25">
      <c r="A126" s="61">
        <f>'A) Base RI'!A127</f>
        <v>5606</v>
      </c>
      <c r="B126" s="72" t="str">
        <f>'A) Base RI'!B127</f>
        <v>Lutry</v>
      </c>
      <c r="C126" s="205">
        <v>18620123.309009422</v>
      </c>
      <c r="D126" s="206">
        <v>8114554</v>
      </c>
      <c r="E126" s="207">
        <v>0</v>
      </c>
      <c r="F126" s="206">
        <v>0</v>
      </c>
      <c r="G126" s="206">
        <v>0</v>
      </c>
      <c r="H126" s="208">
        <f t="shared" si="15"/>
        <v>26734677.309009422</v>
      </c>
      <c r="I126" s="272">
        <v>810972.19494897977</v>
      </c>
      <c r="J126" s="125">
        <f>'B) D RI'!U127</f>
        <v>742470.65823979594</v>
      </c>
      <c r="K126" s="86">
        <f t="shared" si="21"/>
        <v>32.966207072847133</v>
      </c>
      <c r="L126" s="43">
        <f>'B) D RI'!S127</f>
        <v>56</v>
      </c>
      <c r="M126" s="43">
        <f t="shared" si="16"/>
        <v>23.033792927152867</v>
      </c>
      <c r="N126" s="166">
        <f>'J) Plafonnement effort'!G125+'J) Plafonnement effort'!H125-'K) Plafonnement aide'!I125</f>
        <v>34.364584566141097</v>
      </c>
      <c r="O126" s="166">
        <f t="shared" si="17"/>
        <v>57.398377493293964</v>
      </c>
      <c r="P126" s="59">
        <f t="shared" si="18"/>
        <v>0</v>
      </c>
      <c r="Q126" s="74">
        <f t="shared" si="22"/>
        <v>0</v>
      </c>
      <c r="R126" s="197">
        <f t="shared" si="19"/>
        <v>57.398377493293964</v>
      </c>
      <c r="S126" s="166">
        <f t="shared" si="20"/>
        <v>1.3983774932939639</v>
      </c>
      <c r="T126" s="196"/>
    </row>
    <row r="127" spans="1:20" x14ac:dyDescent="0.25">
      <c r="A127" s="61">
        <f>'A) Base RI'!A128</f>
        <v>5607</v>
      </c>
      <c r="B127" s="72" t="str">
        <f>'A) Base RI'!B128</f>
        <v>Puidoux</v>
      </c>
      <c r="C127" s="205">
        <v>1702165.0938148054</v>
      </c>
      <c r="D127" s="206">
        <v>748744.88851557393</v>
      </c>
      <c r="E127" s="207">
        <v>0</v>
      </c>
      <c r="F127" s="206">
        <v>0</v>
      </c>
      <c r="G127" s="206">
        <v>0</v>
      </c>
      <c r="H127" s="208">
        <f t="shared" si="15"/>
        <v>2450909.9823303791</v>
      </c>
      <c r="I127" s="272">
        <v>102046.9552557545</v>
      </c>
      <c r="J127" s="125">
        <f>'B) D RI'!U128</f>
        <v>100862.46201406649</v>
      </c>
      <c r="K127" s="86">
        <f t="shared" si="21"/>
        <v>24.017472899488304</v>
      </c>
      <c r="L127" s="43">
        <f>'B) D RI'!S128</f>
        <v>68</v>
      </c>
      <c r="M127" s="43">
        <f t="shared" si="16"/>
        <v>43.982527100511696</v>
      </c>
      <c r="N127" s="166">
        <f>'J) Plafonnement effort'!G126+'J) Plafonnement effort'!H126-'K) Plafonnement aide'!I126</f>
        <v>19.006647503226908</v>
      </c>
      <c r="O127" s="166">
        <f t="shared" si="17"/>
        <v>62.989174603738604</v>
      </c>
      <c r="P127" s="59">
        <f t="shared" si="18"/>
        <v>0</v>
      </c>
      <c r="Q127" s="74">
        <f t="shared" si="22"/>
        <v>0</v>
      </c>
      <c r="R127" s="197">
        <f t="shared" si="19"/>
        <v>62.989174603738604</v>
      </c>
      <c r="S127" s="166">
        <f t="shared" si="20"/>
        <v>-5.0108253962613958</v>
      </c>
      <c r="T127" s="196"/>
    </row>
    <row r="128" spans="1:20" x14ac:dyDescent="0.25">
      <c r="A128" s="61">
        <f>'A) Base RI'!A129</f>
        <v>5609</v>
      </c>
      <c r="B128" s="72" t="str">
        <f>'A) Base RI'!B129</f>
        <v>Rivaz</v>
      </c>
      <c r="C128" s="205">
        <v>259749.347018058</v>
      </c>
      <c r="D128" s="206">
        <v>287742</v>
      </c>
      <c r="E128" s="207">
        <v>0</v>
      </c>
      <c r="F128" s="206">
        <v>0</v>
      </c>
      <c r="G128" s="206">
        <v>0</v>
      </c>
      <c r="H128" s="208">
        <f t="shared" si="15"/>
        <v>547491.34701805795</v>
      </c>
      <c r="I128" s="272">
        <v>17457.580472440943</v>
      </c>
      <c r="J128" s="125">
        <f>'B) D RI'!U129</f>
        <v>16122.244409448818</v>
      </c>
      <c r="K128" s="86">
        <f t="shared" si="21"/>
        <v>31.361238625383635</v>
      </c>
      <c r="L128" s="43">
        <f>'B) D RI'!S129</f>
        <v>63.5</v>
      </c>
      <c r="M128" s="43">
        <f t="shared" si="16"/>
        <v>32.138761374616365</v>
      </c>
      <c r="N128" s="166">
        <f>'J) Plafonnement effort'!G127+'J) Plafonnement effort'!H127-'K) Plafonnement aide'!I127</f>
        <v>33.373440541312981</v>
      </c>
      <c r="O128" s="166">
        <f t="shared" si="17"/>
        <v>65.512201915929353</v>
      </c>
      <c r="P128" s="59">
        <f t="shared" si="18"/>
        <v>0</v>
      </c>
      <c r="Q128" s="74">
        <f t="shared" si="22"/>
        <v>0</v>
      </c>
      <c r="R128" s="197">
        <f t="shared" si="19"/>
        <v>65.512201915929353</v>
      </c>
      <c r="S128" s="166">
        <f t="shared" si="20"/>
        <v>2.0122019159293529</v>
      </c>
      <c r="T128" s="196"/>
    </row>
    <row r="129" spans="1:20" x14ac:dyDescent="0.25">
      <c r="A129" s="61">
        <f>'A) Base RI'!A130</f>
        <v>5610</v>
      </c>
      <c r="B129" s="72" t="str">
        <f>'A) Base RI'!B130</f>
        <v>St-Saphorin (Lavaux)</v>
      </c>
      <c r="C129" s="205">
        <v>310683.14874376234</v>
      </c>
      <c r="D129" s="206">
        <v>337938</v>
      </c>
      <c r="E129" s="207">
        <v>0</v>
      </c>
      <c r="F129" s="206">
        <v>0</v>
      </c>
      <c r="G129" s="206">
        <v>0</v>
      </c>
      <c r="H129" s="208">
        <f t="shared" si="15"/>
        <v>648621.1487437624</v>
      </c>
      <c r="I129" s="272">
        <v>20355.755166666662</v>
      </c>
      <c r="J129" s="125">
        <f>'B) D RI'!U130</f>
        <v>20974.487096774192</v>
      </c>
      <c r="K129" s="86">
        <f t="shared" si="21"/>
        <v>31.864263616508055</v>
      </c>
      <c r="L129" s="43">
        <f>'B) D RI'!S130</f>
        <v>62</v>
      </c>
      <c r="M129" s="43">
        <f t="shared" si="16"/>
        <v>30.135736383491945</v>
      </c>
      <c r="N129" s="166">
        <f>'J) Plafonnement effort'!G128+'J) Plafonnement effort'!H128-'K) Plafonnement aide'!I128</f>
        <v>31.503588410227856</v>
      </c>
      <c r="O129" s="166">
        <f t="shared" si="17"/>
        <v>61.639324793719801</v>
      </c>
      <c r="P129" s="59">
        <f t="shared" si="18"/>
        <v>0</v>
      </c>
      <c r="Q129" s="74">
        <f t="shared" si="22"/>
        <v>0</v>
      </c>
      <c r="R129" s="197">
        <f t="shared" si="19"/>
        <v>61.639324793719801</v>
      </c>
      <c r="S129" s="166">
        <f t="shared" si="20"/>
        <v>-0.36067520628019878</v>
      </c>
      <c r="T129" s="196"/>
    </row>
    <row r="130" spans="1:20" x14ac:dyDescent="0.25">
      <c r="A130" s="61">
        <f>'A) Base RI'!A131</f>
        <v>5611</v>
      </c>
      <c r="B130" s="72" t="str">
        <f>'A) Base RI'!B131</f>
        <v>Savigny</v>
      </c>
      <c r="C130" s="205">
        <v>2027952.8044485394</v>
      </c>
      <c r="D130" s="206">
        <v>1307340.7057181401</v>
      </c>
      <c r="E130" s="207">
        <v>0</v>
      </c>
      <c r="F130" s="206">
        <v>0</v>
      </c>
      <c r="G130" s="206">
        <v>0</v>
      </c>
      <c r="H130" s="208">
        <f t="shared" si="15"/>
        <v>3335293.5101666795</v>
      </c>
      <c r="I130" s="272">
        <v>133649.01597014922</v>
      </c>
      <c r="J130" s="125">
        <f>'B) D RI'!U131</f>
        <v>130312.40671641791</v>
      </c>
      <c r="K130" s="86">
        <f t="shared" si="21"/>
        <v>24.955615916481001</v>
      </c>
      <c r="L130" s="43">
        <f>'B) D RI'!S131</f>
        <v>67</v>
      </c>
      <c r="M130" s="43">
        <f t="shared" si="16"/>
        <v>42.044384083518999</v>
      </c>
      <c r="N130" s="166">
        <f>'J) Plafonnement effort'!G129+'J) Plafonnement effort'!H129-'K) Plafonnement aide'!I129</f>
        <v>23.929361718297677</v>
      </c>
      <c r="O130" s="166">
        <f t="shared" si="17"/>
        <v>65.973745801816676</v>
      </c>
      <c r="P130" s="59">
        <f t="shared" si="18"/>
        <v>0</v>
      </c>
      <c r="Q130" s="74">
        <f t="shared" si="22"/>
        <v>0</v>
      </c>
      <c r="R130" s="197">
        <f t="shared" si="19"/>
        <v>65.973745801816676</v>
      </c>
      <c r="S130" s="166">
        <f t="shared" si="20"/>
        <v>-1.0262541981833238</v>
      </c>
      <c r="T130" s="196"/>
    </row>
    <row r="131" spans="1:20" x14ac:dyDescent="0.25">
      <c r="A131" s="61">
        <f>'A) Base RI'!A132</f>
        <v>5613</v>
      </c>
      <c r="B131" s="72" t="str">
        <f>'A) Base RI'!B132</f>
        <v>Bourg-en-Lavaux</v>
      </c>
      <c r="C131" s="205">
        <v>5696698.4918997781</v>
      </c>
      <c r="D131" s="206">
        <v>3767290</v>
      </c>
      <c r="E131" s="207">
        <v>0</v>
      </c>
      <c r="F131" s="206">
        <v>0</v>
      </c>
      <c r="G131" s="206">
        <v>0</v>
      </c>
      <c r="H131" s="208">
        <f t="shared" si="15"/>
        <v>9463988.4918997772</v>
      </c>
      <c r="I131" s="272">
        <v>319171.56765027321</v>
      </c>
      <c r="J131" s="125">
        <f>'B) D RI'!U132</f>
        <v>295658.88923497271</v>
      </c>
      <c r="K131" s="86">
        <f t="shared" si="21"/>
        <v>29.651727945484733</v>
      </c>
      <c r="L131" s="43">
        <f>'B) D RI'!S132</f>
        <v>61</v>
      </c>
      <c r="M131" s="43">
        <f t="shared" si="16"/>
        <v>31.348272054515267</v>
      </c>
      <c r="N131" s="166">
        <f>'J) Plafonnement effort'!G130+'J) Plafonnement effort'!H130-'K) Plafonnement aide'!I130</f>
        <v>30.86077065421723</v>
      </c>
      <c r="O131" s="166">
        <f t="shared" si="17"/>
        <v>62.209042708732497</v>
      </c>
      <c r="P131" s="59">
        <f t="shared" si="18"/>
        <v>0</v>
      </c>
      <c r="Q131" s="74">
        <f t="shared" si="22"/>
        <v>0</v>
      </c>
      <c r="R131" s="197">
        <f t="shared" si="19"/>
        <v>62.209042708732497</v>
      </c>
      <c r="S131" s="166">
        <f t="shared" si="20"/>
        <v>1.2090427087324969</v>
      </c>
      <c r="T131" s="196"/>
    </row>
    <row r="132" spans="1:20" x14ac:dyDescent="0.25">
      <c r="A132" s="61">
        <f>'A) Base RI'!A133</f>
        <v>5621</v>
      </c>
      <c r="B132" s="72" t="str">
        <f>'A) Base RI'!B133</f>
        <v>Aclens</v>
      </c>
      <c r="C132" s="205">
        <v>830028.53484824765</v>
      </c>
      <c r="D132" s="206">
        <v>619005</v>
      </c>
      <c r="E132" s="207">
        <v>0</v>
      </c>
      <c r="F132" s="206">
        <v>0</v>
      </c>
      <c r="G132" s="206">
        <v>0</v>
      </c>
      <c r="H132" s="208">
        <f t="shared" si="15"/>
        <v>1449033.5348482477</v>
      </c>
      <c r="I132" s="272">
        <v>40747.294721407634</v>
      </c>
      <c r="J132" s="125">
        <f>'B) D RI'!U133</f>
        <v>33759.339076246331</v>
      </c>
      <c r="K132" s="86">
        <f t="shared" si="21"/>
        <v>35.561465975972162</v>
      </c>
      <c r="L132" s="43">
        <f>'B) D RI'!S133</f>
        <v>62</v>
      </c>
      <c r="M132" s="43">
        <f t="shared" si="16"/>
        <v>26.438534024027838</v>
      </c>
      <c r="N132" s="166">
        <f>'J) Plafonnement effort'!G131+'J) Plafonnement effort'!H131-'K) Plafonnement aide'!I131</f>
        <v>38.352326891829406</v>
      </c>
      <c r="O132" s="166">
        <f t="shared" si="17"/>
        <v>64.790860915857252</v>
      </c>
      <c r="P132" s="59">
        <f t="shared" si="18"/>
        <v>0</v>
      </c>
      <c r="Q132" s="74">
        <f t="shared" si="22"/>
        <v>0</v>
      </c>
      <c r="R132" s="197">
        <f t="shared" si="19"/>
        <v>64.790860915857252</v>
      </c>
      <c r="S132" s="166">
        <f t="shared" si="20"/>
        <v>2.7908609158572517</v>
      </c>
      <c r="T132" s="196"/>
    </row>
    <row r="133" spans="1:20" x14ac:dyDescent="0.25">
      <c r="A133" s="61">
        <f>'A) Base RI'!A134</f>
        <v>5622</v>
      </c>
      <c r="B133" s="72" t="str">
        <f>'A) Base RI'!B134</f>
        <v>Bremblens</v>
      </c>
      <c r="C133" s="205">
        <v>405111.60298686149</v>
      </c>
      <c r="D133" s="206">
        <v>426829</v>
      </c>
      <c r="E133" s="207">
        <v>0</v>
      </c>
      <c r="F133" s="206">
        <v>0</v>
      </c>
      <c r="G133" s="206">
        <v>0</v>
      </c>
      <c r="H133" s="208">
        <f t="shared" si="15"/>
        <v>831940.60298686149</v>
      </c>
      <c r="I133" s="272">
        <v>25805.300909090911</v>
      </c>
      <c r="J133" s="125">
        <f>'B) D RI'!U134</f>
        <v>28126.288636363635</v>
      </c>
      <c r="K133" s="86">
        <f t="shared" si="21"/>
        <v>32.23913590148365</v>
      </c>
      <c r="L133" s="43">
        <f>'B) D RI'!S134</f>
        <v>66</v>
      </c>
      <c r="M133" s="43">
        <f t="shared" si="16"/>
        <v>33.76086409851635</v>
      </c>
      <c r="N133" s="166">
        <f>'J) Plafonnement effort'!G132+'J) Plafonnement effort'!H132-'K) Plafonnement aide'!I132</f>
        <v>33.385129722368461</v>
      </c>
      <c r="O133" s="166">
        <f t="shared" si="17"/>
        <v>67.145993820884811</v>
      </c>
      <c r="P133" s="59">
        <f t="shared" si="18"/>
        <v>0</v>
      </c>
      <c r="Q133" s="74">
        <f t="shared" si="22"/>
        <v>0</v>
      </c>
      <c r="R133" s="197">
        <f t="shared" si="19"/>
        <v>67.145993820884811</v>
      </c>
      <c r="S133" s="166">
        <f t="shared" si="20"/>
        <v>1.1459938208848115</v>
      </c>
      <c r="T133" s="196"/>
    </row>
    <row r="134" spans="1:20" x14ac:dyDescent="0.25">
      <c r="A134" s="61">
        <f>'A) Base RI'!A135</f>
        <v>5623</v>
      </c>
      <c r="B134" s="72" t="str">
        <f>'A) Base RI'!B135</f>
        <v>Buchillon</v>
      </c>
      <c r="C134" s="205">
        <v>2544300.7808477227</v>
      </c>
      <c r="D134" s="206">
        <v>1081606</v>
      </c>
      <c r="E134" s="207">
        <v>0</v>
      </c>
      <c r="F134" s="206">
        <v>0</v>
      </c>
      <c r="G134" s="206">
        <v>0</v>
      </c>
      <c r="H134" s="208">
        <f t="shared" si="15"/>
        <v>3625906.7808477227</v>
      </c>
      <c r="I134" s="272">
        <v>91715.647358490576</v>
      </c>
      <c r="J134" s="125">
        <f>'B) D RI'!U135</f>
        <v>86045.549622641513</v>
      </c>
      <c r="K134" s="86">
        <f t="shared" si="21"/>
        <v>39.534222188664017</v>
      </c>
      <c r="L134" s="43">
        <f>'B) D RI'!S135</f>
        <v>53</v>
      </c>
      <c r="M134" s="43">
        <f t="shared" si="16"/>
        <v>13.465777811335983</v>
      </c>
      <c r="N134" s="166">
        <f>'J) Plafonnement effort'!G133+'J) Plafonnement effort'!H133-'K) Plafonnement aide'!I133</f>
        <v>46.315194776345393</v>
      </c>
      <c r="O134" s="166">
        <f t="shared" si="17"/>
        <v>59.780972587681376</v>
      </c>
      <c r="P134" s="59">
        <f t="shared" si="18"/>
        <v>0</v>
      </c>
      <c r="Q134" s="74">
        <f t="shared" si="22"/>
        <v>0</v>
      </c>
      <c r="R134" s="197">
        <f t="shared" si="19"/>
        <v>59.780972587681376</v>
      </c>
      <c r="S134" s="166">
        <f t="shared" si="20"/>
        <v>6.7809725876813758</v>
      </c>
      <c r="T134" s="196"/>
    </row>
    <row r="135" spans="1:20" x14ac:dyDescent="0.25">
      <c r="A135" s="61">
        <f>'A) Base RI'!A136</f>
        <v>5624</v>
      </c>
      <c r="B135" s="72" t="str">
        <f>'A) Base RI'!B136</f>
        <v>Bussigny</v>
      </c>
      <c r="C135" s="205">
        <v>5738363.67667141</v>
      </c>
      <c r="D135" s="206">
        <v>2792759.1175070936</v>
      </c>
      <c r="E135" s="207">
        <v>0</v>
      </c>
      <c r="F135" s="206">
        <v>0</v>
      </c>
      <c r="G135" s="206">
        <v>0</v>
      </c>
      <c r="H135" s="208">
        <f t="shared" ref="H135:H193" si="23">SUM(C135:G135)</f>
        <v>8531122.7941785045</v>
      </c>
      <c r="I135" s="272">
        <v>356632.38967741939</v>
      </c>
      <c r="J135" s="125">
        <f>'B) D RI'!U136</f>
        <v>312174.83774193545</v>
      </c>
      <c r="K135" s="86">
        <f t="shared" si="21"/>
        <v>23.921334800507221</v>
      </c>
      <c r="L135" s="43">
        <f>'B) D RI'!S136</f>
        <v>62</v>
      </c>
      <c r="M135" s="43">
        <f t="shared" si="16"/>
        <v>38.078665199492775</v>
      </c>
      <c r="N135" s="166">
        <f>'J) Plafonnement effort'!G134+'J) Plafonnement effort'!H134-'K) Plafonnement aide'!I134</f>
        <v>25.087833770949469</v>
      </c>
      <c r="O135" s="166">
        <f t="shared" si="17"/>
        <v>63.166498970442248</v>
      </c>
      <c r="P135" s="59">
        <f t="shared" si="18"/>
        <v>0</v>
      </c>
      <c r="Q135" s="74">
        <f t="shared" si="22"/>
        <v>0</v>
      </c>
      <c r="R135" s="197">
        <f t="shared" si="19"/>
        <v>63.166498970442248</v>
      </c>
      <c r="S135" s="166">
        <f t="shared" si="20"/>
        <v>1.1664989704422482</v>
      </c>
      <c r="T135" s="196"/>
    </row>
    <row r="136" spans="1:20" x14ac:dyDescent="0.25">
      <c r="A136" s="61">
        <f>'A) Base RI'!A137</f>
        <v>5625</v>
      </c>
      <c r="B136" s="72" t="str">
        <f>'A) Base RI'!B137</f>
        <v>Bussy-Chardonney</v>
      </c>
      <c r="C136" s="205">
        <v>193705.07473793131</v>
      </c>
      <c r="D136" s="206">
        <v>151442.73456747679</v>
      </c>
      <c r="E136" s="207">
        <v>0</v>
      </c>
      <c r="F136" s="206">
        <v>0</v>
      </c>
      <c r="G136" s="206">
        <v>0</v>
      </c>
      <c r="H136" s="208">
        <f t="shared" si="23"/>
        <v>345147.8093054081</v>
      </c>
      <c r="I136" s="272">
        <v>13870.18990740741</v>
      </c>
      <c r="J136" s="125">
        <f>'B) D RI'!U137</f>
        <v>16172.617200854704</v>
      </c>
      <c r="K136" s="86">
        <f t="shared" si="21"/>
        <v>24.884144457249359</v>
      </c>
      <c r="L136" s="43">
        <f>'B) D RI'!S137</f>
        <v>78</v>
      </c>
      <c r="M136" s="43">
        <f t="shared" si="16"/>
        <v>53.115855542750637</v>
      </c>
      <c r="N136" s="166">
        <f>'J) Plafonnement effort'!G135+'J) Plafonnement effort'!H135-'K) Plafonnement aide'!I135</f>
        <v>33.8434200052656</v>
      </c>
      <c r="O136" s="166">
        <f t="shared" si="17"/>
        <v>86.959275548016237</v>
      </c>
      <c r="P136" s="59">
        <f t="shared" si="18"/>
        <v>0</v>
      </c>
      <c r="Q136" s="74">
        <f t="shared" si="22"/>
        <v>0</v>
      </c>
      <c r="R136" s="197">
        <f t="shared" si="19"/>
        <v>86.959275548016237</v>
      </c>
      <c r="S136" s="166">
        <f t="shared" si="20"/>
        <v>8.9592755480162367</v>
      </c>
      <c r="T136" s="196"/>
    </row>
    <row r="137" spans="1:20" x14ac:dyDescent="0.25">
      <c r="A137" s="61">
        <f>'A) Base RI'!A138</f>
        <v>5627</v>
      </c>
      <c r="B137" s="72" t="str">
        <f>'A) Base RI'!B138</f>
        <v>Chavannes-près-Renens</v>
      </c>
      <c r="C137" s="205">
        <v>2644328.8832674655</v>
      </c>
      <c r="D137" s="206">
        <v>-3538580.094385216</v>
      </c>
      <c r="E137" s="207">
        <v>0</v>
      </c>
      <c r="F137" s="206">
        <v>0</v>
      </c>
      <c r="G137" s="206">
        <v>0</v>
      </c>
      <c r="H137" s="208">
        <f t="shared" si="23"/>
        <v>-894251.2111177505</v>
      </c>
      <c r="I137" s="272">
        <v>170689.33978902953</v>
      </c>
      <c r="J137" s="125">
        <f>'B) D RI'!U138</f>
        <v>162511.92244725736</v>
      </c>
      <c r="K137" s="86">
        <f t="shared" si="21"/>
        <v>-5.2390571796870082</v>
      </c>
      <c r="L137" s="43">
        <f>'B) D RI'!S138</f>
        <v>79</v>
      </c>
      <c r="M137" s="43">
        <f t="shared" si="16"/>
        <v>84.239057179687009</v>
      </c>
      <c r="N137" s="166">
        <f>'J) Plafonnement effort'!G136+'J) Plafonnement effort'!H136-'K) Plafonnement aide'!I136</f>
        <v>-13.958996489474348</v>
      </c>
      <c r="O137" s="166">
        <f t="shared" si="17"/>
        <v>70.280060690212665</v>
      </c>
      <c r="P137" s="59">
        <f t="shared" si="18"/>
        <v>0</v>
      </c>
      <c r="Q137" s="74">
        <f t="shared" si="22"/>
        <v>0</v>
      </c>
      <c r="R137" s="197">
        <f t="shared" si="19"/>
        <v>70.280060690212665</v>
      </c>
      <c r="S137" s="166">
        <f t="shared" si="20"/>
        <v>-8.7199393097873354</v>
      </c>
      <c r="T137" s="196"/>
    </row>
    <row r="138" spans="1:20" x14ac:dyDescent="0.25">
      <c r="A138" s="61">
        <f>'A) Base RI'!A139</f>
        <v>5628</v>
      </c>
      <c r="B138" s="72" t="str">
        <f>'A) Base RI'!B139</f>
        <v>Chigny</v>
      </c>
      <c r="C138" s="205">
        <v>286349.78870290186</v>
      </c>
      <c r="D138" s="206">
        <v>315014</v>
      </c>
      <c r="E138" s="207">
        <v>0</v>
      </c>
      <c r="F138" s="206">
        <v>0</v>
      </c>
      <c r="G138" s="206">
        <v>0</v>
      </c>
      <c r="H138" s="208">
        <f t="shared" si="23"/>
        <v>601363.78870290192</v>
      </c>
      <c r="I138" s="272">
        <v>19182.221249999991</v>
      </c>
      <c r="J138" s="125">
        <f>'B) D RI'!U139</f>
        <v>19064.278346774194</v>
      </c>
      <c r="K138" s="86">
        <f t="shared" si="21"/>
        <v>31.35006008247883</v>
      </c>
      <c r="L138" s="43">
        <f>'B) D RI'!S139</f>
        <v>62</v>
      </c>
      <c r="M138" s="43">
        <f t="shared" si="16"/>
        <v>30.64993991752117</v>
      </c>
      <c r="N138" s="166">
        <f>'J) Plafonnement effort'!G137+'J) Plafonnement effort'!H137-'K) Plafonnement aide'!I137</f>
        <v>33.230721746203557</v>
      </c>
      <c r="O138" s="166">
        <f t="shared" si="17"/>
        <v>63.880661663724723</v>
      </c>
      <c r="P138" s="59">
        <f t="shared" si="18"/>
        <v>0</v>
      </c>
      <c r="Q138" s="74">
        <f t="shared" si="22"/>
        <v>0</v>
      </c>
      <c r="R138" s="197">
        <f t="shared" si="19"/>
        <v>63.880661663724723</v>
      </c>
      <c r="S138" s="166">
        <f t="shared" si="20"/>
        <v>1.8806616637247231</v>
      </c>
      <c r="T138" s="196"/>
    </row>
    <row r="139" spans="1:20" x14ac:dyDescent="0.25">
      <c r="A139" s="61">
        <f>'A) Base RI'!A140</f>
        <v>5629</v>
      </c>
      <c r="B139" s="72" t="str">
        <f>'A) Base RI'!B140</f>
        <v>Clarmont</v>
      </c>
      <c r="C139" s="205">
        <v>119202.1542753774</v>
      </c>
      <c r="D139" s="206">
        <v>128391</v>
      </c>
      <c r="E139" s="207">
        <v>0</v>
      </c>
      <c r="F139" s="206">
        <v>0</v>
      </c>
      <c r="G139" s="206">
        <v>0</v>
      </c>
      <c r="H139" s="208">
        <f t="shared" si="23"/>
        <v>247593.1542753774</v>
      </c>
      <c r="I139" s="272">
        <v>7795.3318666666655</v>
      </c>
      <c r="J139" s="125">
        <f>'B) D RI'!U140</f>
        <v>7581.8990666666659</v>
      </c>
      <c r="K139" s="86">
        <f t="shared" si="21"/>
        <v>31.761720797815094</v>
      </c>
      <c r="L139" s="43">
        <f>'B) D RI'!S140</f>
        <v>75</v>
      </c>
      <c r="M139" s="43">
        <f t="shared" si="16"/>
        <v>43.238279202184906</v>
      </c>
      <c r="N139" s="166">
        <f>'J) Plafonnement effort'!G138+'J) Plafonnement effort'!H138-'K) Plafonnement aide'!I138</f>
        <v>26.864904053835222</v>
      </c>
      <c r="O139" s="166">
        <f t="shared" si="17"/>
        <v>70.103183256020131</v>
      </c>
      <c r="P139" s="59">
        <f t="shared" si="18"/>
        <v>0</v>
      </c>
      <c r="Q139" s="74">
        <f t="shared" si="22"/>
        <v>0</v>
      </c>
      <c r="R139" s="197">
        <f t="shared" si="19"/>
        <v>70.103183256020131</v>
      </c>
      <c r="S139" s="166">
        <f t="shared" si="20"/>
        <v>-4.8968167439798691</v>
      </c>
      <c r="T139" s="196"/>
    </row>
    <row r="140" spans="1:20" x14ac:dyDescent="0.25">
      <c r="A140" s="61">
        <f>'A) Base RI'!A141</f>
        <v>5631</v>
      </c>
      <c r="B140" s="72" t="str">
        <f>'A) Base RI'!B141</f>
        <v>Denens</v>
      </c>
      <c r="C140" s="205">
        <v>2147380.1308884919</v>
      </c>
      <c r="D140" s="206">
        <v>1017138</v>
      </c>
      <c r="E140" s="207">
        <v>0</v>
      </c>
      <c r="F140" s="206">
        <v>0</v>
      </c>
      <c r="G140" s="206">
        <v>0</v>
      </c>
      <c r="H140" s="208">
        <f t="shared" si="23"/>
        <v>3164518.1308884919</v>
      </c>
      <c r="I140" s="272">
        <v>76527.023088235292</v>
      </c>
      <c r="J140" s="125">
        <f>'B) D RI'!U141</f>
        <v>34218.35955882354</v>
      </c>
      <c r="K140" s="86">
        <f t="shared" si="21"/>
        <v>41.351642899264718</v>
      </c>
      <c r="L140" s="43">
        <f>'B) D RI'!S141</f>
        <v>68</v>
      </c>
      <c r="M140" s="43">
        <f t="shared" si="16"/>
        <v>26.648357100735282</v>
      </c>
      <c r="N140" s="166">
        <f>'J) Plafonnement effort'!G139+'J) Plafonnement effort'!H139-'K) Plafonnement aide'!I139</f>
        <v>40.056362017838794</v>
      </c>
      <c r="O140" s="166">
        <f t="shared" si="17"/>
        <v>66.704719118574076</v>
      </c>
      <c r="P140" s="59">
        <f t="shared" si="18"/>
        <v>0</v>
      </c>
      <c r="Q140" s="74">
        <f t="shared" si="22"/>
        <v>0</v>
      </c>
      <c r="R140" s="197">
        <f t="shared" si="19"/>
        <v>66.704719118574076</v>
      </c>
      <c r="S140" s="166">
        <f t="shared" si="20"/>
        <v>-1.2952808814259242</v>
      </c>
      <c r="T140" s="196"/>
    </row>
    <row r="141" spans="1:20" x14ac:dyDescent="0.25">
      <c r="A141" s="61">
        <f>'A) Base RI'!A142</f>
        <v>5632</v>
      </c>
      <c r="B141" s="72" t="str">
        <f>'A) Base RI'!B142</f>
        <v>Denges</v>
      </c>
      <c r="C141" s="205">
        <v>1068456.5865711235</v>
      </c>
      <c r="D141" s="206">
        <v>680870.53097659175</v>
      </c>
      <c r="E141" s="207">
        <v>0</v>
      </c>
      <c r="F141" s="206">
        <v>0</v>
      </c>
      <c r="G141" s="206">
        <v>0</v>
      </c>
      <c r="H141" s="208">
        <f t="shared" si="23"/>
        <v>1749327.1175477151</v>
      </c>
      <c r="I141" s="272">
        <v>61597.331370967739</v>
      </c>
      <c r="J141" s="125">
        <f>'B) D RI'!U142</f>
        <v>70599.599193548376</v>
      </c>
      <c r="K141" s="86">
        <f t="shared" si="21"/>
        <v>28.399397808526064</v>
      </c>
      <c r="L141" s="43">
        <f>'B) D RI'!S142</f>
        <v>62</v>
      </c>
      <c r="M141" s="43">
        <f t="shared" si="16"/>
        <v>33.600602191473939</v>
      </c>
      <c r="N141" s="166">
        <f>'J) Plafonnement effort'!G140+'J) Plafonnement effort'!H140-'K) Plafonnement aide'!I140</f>
        <v>30.796054310501983</v>
      </c>
      <c r="O141" s="166">
        <f t="shared" si="17"/>
        <v>64.396656501975926</v>
      </c>
      <c r="P141" s="59">
        <f t="shared" si="18"/>
        <v>0</v>
      </c>
      <c r="Q141" s="74">
        <f t="shared" si="22"/>
        <v>0</v>
      </c>
      <c r="R141" s="197">
        <f t="shared" si="19"/>
        <v>64.396656501975926</v>
      </c>
      <c r="S141" s="166">
        <f t="shared" si="20"/>
        <v>2.3966565019759258</v>
      </c>
      <c r="T141" s="196"/>
    </row>
    <row r="142" spans="1:20" x14ac:dyDescent="0.25">
      <c r="A142" s="61">
        <f>'A) Base RI'!A143</f>
        <v>5633</v>
      </c>
      <c r="B142" s="72" t="str">
        <f>'A) Base RI'!B143</f>
        <v>Echandens</v>
      </c>
      <c r="C142" s="205">
        <v>1999302.3768765782</v>
      </c>
      <c r="D142" s="206">
        <v>1713708</v>
      </c>
      <c r="E142" s="207">
        <v>0</v>
      </c>
      <c r="F142" s="206">
        <v>0</v>
      </c>
      <c r="G142" s="206">
        <v>0</v>
      </c>
      <c r="H142" s="208">
        <f t="shared" si="23"/>
        <v>3713010.3768765782</v>
      </c>
      <c r="I142" s="272">
        <v>124899.1516129032</v>
      </c>
      <c r="J142" s="125">
        <f>'B) D RI'!U143</f>
        <v>123013.45645161292</v>
      </c>
      <c r="K142" s="86">
        <f t="shared" si="21"/>
        <v>29.728067236070732</v>
      </c>
      <c r="L142" s="43">
        <f>'B) D RI'!S143</f>
        <v>62</v>
      </c>
      <c r="M142" s="43">
        <f t="shared" si="16"/>
        <v>32.271932763929271</v>
      </c>
      <c r="N142" s="166">
        <f>'J) Plafonnement effort'!G141+'J) Plafonnement effort'!H141-'K) Plafonnement aide'!I141</f>
        <v>28.161613581535377</v>
      </c>
      <c r="O142" s="166">
        <f t="shared" si="17"/>
        <v>60.433546345464649</v>
      </c>
      <c r="P142" s="59">
        <f t="shared" si="18"/>
        <v>0</v>
      </c>
      <c r="Q142" s="74">
        <f t="shared" si="22"/>
        <v>0</v>
      </c>
      <c r="R142" s="197">
        <f t="shared" si="19"/>
        <v>60.433546345464649</v>
      </c>
      <c r="S142" s="166">
        <f t="shared" si="20"/>
        <v>-1.5664536545353513</v>
      </c>
      <c r="T142" s="196"/>
    </row>
    <row r="143" spans="1:20" x14ac:dyDescent="0.25">
      <c r="A143" s="61">
        <f>'A) Base RI'!A144</f>
        <v>5634</v>
      </c>
      <c r="B143" s="72" t="str">
        <f>'A) Base RI'!B144</f>
        <v>Echichens</v>
      </c>
      <c r="C143" s="205">
        <v>2037780.2497353889</v>
      </c>
      <c r="D143" s="206">
        <v>1727178</v>
      </c>
      <c r="E143" s="207">
        <v>0</v>
      </c>
      <c r="F143" s="206">
        <v>0</v>
      </c>
      <c r="G143" s="206">
        <v>0</v>
      </c>
      <c r="H143" s="208">
        <f t="shared" si="23"/>
        <v>3764958.2497353889</v>
      </c>
      <c r="I143" s="272">
        <v>128757.51117647058</v>
      </c>
      <c r="J143" s="125">
        <f>'B) D RI'!U144</f>
        <v>121660.2017647059</v>
      </c>
      <c r="K143" s="86">
        <f t="shared" si="21"/>
        <v>29.240688293324244</v>
      </c>
      <c r="L143" s="43">
        <f>'B) D RI'!S144</f>
        <v>68</v>
      </c>
      <c r="M143" s="43">
        <f t="shared" si="16"/>
        <v>38.75931170667576</v>
      </c>
      <c r="N143" s="166">
        <f>'J) Plafonnement effort'!G142+'J) Plafonnement effort'!H142-'K) Plafonnement aide'!I142</f>
        <v>30.859394407875541</v>
      </c>
      <c r="O143" s="166">
        <f t="shared" si="17"/>
        <v>69.618706114551301</v>
      </c>
      <c r="P143" s="59">
        <f t="shared" si="18"/>
        <v>0</v>
      </c>
      <c r="Q143" s="74">
        <f t="shared" si="22"/>
        <v>0</v>
      </c>
      <c r="R143" s="197">
        <f t="shared" si="19"/>
        <v>69.618706114551301</v>
      </c>
      <c r="S143" s="166">
        <f t="shared" si="20"/>
        <v>1.6187061145513013</v>
      </c>
      <c r="T143" s="196"/>
    </row>
    <row r="144" spans="1:20" x14ac:dyDescent="0.25">
      <c r="A144" s="61">
        <f>'A) Base RI'!A145</f>
        <v>5635</v>
      </c>
      <c r="B144" s="72" t="str">
        <f>'A) Base RI'!B145</f>
        <v>Ecublens</v>
      </c>
      <c r="C144" s="205">
        <v>7730466.3512059189</v>
      </c>
      <c r="D144" s="206">
        <v>300557.00426699501</v>
      </c>
      <c r="E144" s="207">
        <v>0</v>
      </c>
      <c r="F144" s="206">
        <v>0</v>
      </c>
      <c r="G144" s="206">
        <v>0</v>
      </c>
      <c r="H144" s="208">
        <f t="shared" si="23"/>
        <v>8031023.3554729139</v>
      </c>
      <c r="I144" s="272">
        <v>456934.05313242786</v>
      </c>
      <c r="J144" s="125">
        <f>'B) D RI'!U145</f>
        <v>470087.75038200343</v>
      </c>
      <c r="K144" s="86">
        <f t="shared" si="21"/>
        <v>17.57589153274461</v>
      </c>
      <c r="L144" s="43">
        <f>'B) D RI'!S145</f>
        <v>62</v>
      </c>
      <c r="M144" s="43">
        <f t="shared" si="16"/>
        <v>44.424108467255394</v>
      </c>
      <c r="N144" s="166">
        <f>'J) Plafonnement effort'!G143+'J) Plafonnement effort'!H143-'K) Plafonnement aide'!I143</f>
        <v>14.008359569912825</v>
      </c>
      <c r="O144" s="166">
        <f t="shared" si="17"/>
        <v>58.432468037168221</v>
      </c>
      <c r="P144" s="59">
        <f t="shared" si="18"/>
        <v>0</v>
      </c>
      <c r="Q144" s="74">
        <f t="shared" si="22"/>
        <v>0</v>
      </c>
      <c r="R144" s="197">
        <f t="shared" si="19"/>
        <v>58.432468037168221</v>
      </c>
      <c r="S144" s="166">
        <f t="shared" si="20"/>
        <v>-3.5675319628317794</v>
      </c>
      <c r="T144" s="196"/>
    </row>
    <row r="145" spans="1:20" x14ac:dyDescent="0.25">
      <c r="A145" s="61">
        <f>'A) Base RI'!A146</f>
        <v>5636</v>
      </c>
      <c r="B145" s="72" t="str">
        <f>'A) Base RI'!B146</f>
        <v>Etoy</v>
      </c>
      <c r="C145" s="205">
        <v>2534401.4752098522</v>
      </c>
      <c r="D145" s="206">
        <v>1855393</v>
      </c>
      <c r="E145" s="207">
        <v>0</v>
      </c>
      <c r="F145" s="206">
        <v>0</v>
      </c>
      <c r="G145" s="206">
        <v>0</v>
      </c>
      <c r="H145" s="208">
        <f t="shared" si="23"/>
        <v>4389794.4752098527</v>
      </c>
      <c r="I145" s="272">
        <v>141771.26016393444</v>
      </c>
      <c r="J145" s="125">
        <f>'B) D RI'!U146</f>
        <v>158779.04229508198</v>
      </c>
      <c r="K145" s="86">
        <f t="shared" si="21"/>
        <v>30.963923648091999</v>
      </c>
      <c r="L145" s="43">
        <f>'B) D RI'!S146</f>
        <v>61</v>
      </c>
      <c r="M145" s="43">
        <f t="shared" si="16"/>
        <v>30.036076351908001</v>
      </c>
      <c r="N145" s="166">
        <f>'J) Plafonnement effort'!G144+'J) Plafonnement effort'!H144-'K) Plafonnement aide'!I144</f>
        <v>32.158360422251462</v>
      </c>
      <c r="O145" s="166">
        <f t="shared" si="17"/>
        <v>62.194436774159463</v>
      </c>
      <c r="P145" s="59">
        <f t="shared" si="18"/>
        <v>0</v>
      </c>
      <c r="Q145" s="74">
        <f t="shared" si="22"/>
        <v>0</v>
      </c>
      <c r="R145" s="197">
        <f t="shared" si="19"/>
        <v>62.194436774159463</v>
      </c>
      <c r="S145" s="166">
        <f t="shared" si="20"/>
        <v>1.1944367741594633</v>
      </c>
      <c r="T145" s="196"/>
    </row>
    <row r="146" spans="1:20" x14ac:dyDescent="0.25">
      <c r="A146" s="61">
        <f>'A) Base RI'!A147</f>
        <v>5637</v>
      </c>
      <c r="B146" s="72" t="str">
        <f>'A) Base RI'!B147</f>
        <v>Lavigny</v>
      </c>
      <c r="C146" s="205">
        <v>547576.80667533702</v>
      </c>
      <c r="D146" s="206">
        <v>232697.04401861771</v>
      </c>
      <c r="E146" s="207">
        <v>0</v>
      </c>
      <c r="F146" s="206">
        <v>0</v>
      </c>
      <c r="G146" s="206">
        <v>0</v>
      </c>
      <c r="H146" s="208">
        <f t="shared" si="23"/>
        <v>780273.85069395474</v>
      </c>
      <c r="I146" s="272">
        <v>30305.948814317679</v>
      </c>
      <c r="J146" s="125">
        <f>'B) D RI'!U147</f>
        <v>31075.388277404931</v>
      </c>
      <c r="K146" s="86">
        <f t="shared" si="21"/>
        <v>25.746557399493916</v>
      </c>
      <c r="L146" s="43">
        <f>'B) D RI'!S147</f>
        <v>74.5</v>
      </c>
      <c r="M146" s="43">
        <f t="shared" si="16"/>
        <v>48.753442600506084</v>
      </c>
      <c r="N146" s="166">
        <f>'J) Plafonnement effort'!G145+'J) Plafonnement effort'!H145-'K) Plafonnement aide'!I145</f>
        <v>21.230303253427486</v>
      </c>
      <c r="O146" s="166">
        <f t="shared" si="17"/>
        <v>69.98374585393357</v>
      </c>
      <c r="P146" s="59">
        <f t="shared" si="18"/>
        <v>0</v>
      </c>
      <c r="Q146" s="74">
        <f t="shared" si="22"/>
        <v>0</v>
      </c>
      <c r="R146" s="197">
        <f t="shared" si="19"/>
        <v>69.98374585393357</v>
      </c>
      <c r="S146" s="166">
        <f t="shared" si="20"/>
        <v>-4.5162541460664301</v>
      </c>
      <c r="T146" s="196"/>
    </row>
    <row r="147" spans="1:20" x14ac:dyDescent="0.25">
      <c r="A147" s="61">
        <f>'A) Base RI'!A148</f>
        <v>5638</v>
      </c>
      <c r="B147" s="72" t="str">
        <f>'A) Base RI'!B148</f>
        <v>Lonay</v>
      </c>
      <c r="C147" s="205">
        <v>2993854.3393395711</v>
      </c>
      <c r="D147" s="206">
        <v>1806075</v>
      </c>
      <c r="E147" s="207">
        <v>0</v>
      </c>
      <c r="F147" s="206">
        <v>0</v>
      </c>
      <c r="G147" s="206">
        <v>0</v>
      </c>
      <c r="H147" s="208">
        <f t="shared" si="23"/>
        <v>4799929.3393395711</v>
      </c>
      <c r="I147" s="272">
        <v>131856.2218181818</v>
      </c>
      <c r="J147" s="125">
        <f>'B) D RI'!U148</f>
        <v>152475.57054545457</v>
      </c>
      <c r="K147" s="86">
        <f t="shared" si="21"/>
        <v>36.402751975998932</v>
      </c>
      <c r="L147" s="43">
        <f>'B) D RI'!S148</f>
        <v>55</v>
      </c>
      <c r="M147" s="43">
        <f t="shared" si="16"/>
        <v>18.597248024001068</v>
      </c>
      <c r="N147" s="166">
        <f>'J) Plafonnement effort'!G146+'J) Plafonnement effort'!H146-'K) Plafonnement aide'!I146</f>
        <v>35.883290048428684</v>
      </c>
      <c r="O147" s="166">
        <f t="shared" si="17"/>
        <v>54.480538072429752</v>
      </c>
      <c r="P147" s="59">
        <f t="shared" si="18"/>
        <v>0</v>
      </c>
      <c r="Q147" s="74">
        <f t="shared" si="22"/>
        <v>0</v>
      </c>
      <c r="R147" s="197">
        <f t="shared" si="19"/>
        <v>54.480538072429752</v>
      </c>
      <c r="S147" s="166">
        <f t="shared" si="20"/>
        <v>-0.51946192757024789</v>
      </c>
      <c r="T147" s="196"/>
    </row>
    <row r="148" spans="1:20" x14ac:dyDescent="0.25">
      <c r="A148" s="61">
        <f>'A) Base RI'!A149</f>
        <v>5639</v>
      </c>
      <c r="B148" s="72" t="str">
        <f>'A) Base RI'!B149</f>
        <v>Lully</v>
      </c>
      <c r="C148" s="205">
        <v>627714.01475741039</v>
      </c>
      <c r="D148" s="206">
        <v>698546</v>
      </c>
      <c r="E148" s="207">
        <v>0</v>
      </c>
      <c r="F148" s="206">
        <v>0</v>
      </c>
      <c r="G148" s="206">
        <v>0</v>
      </c>
      <c r="H148" s="208">
        <f t="shared" si="23"/>
        <v>1326260.0147574104</v>
      </c>
      <c r="I148" s="272">
        <v>41983.035245901636</v>
      </c>
      <c r="J148" s="125">
        <f>'B) D RI'!U149</f>
        <v>42318.428360655736</v>
      </c>
      <c r="K148" s="86">
        <f t="shared" si="21"/>
        <v>31.590379470881139</v>
      </c>
      <c r="L148" s="43">
        <f>'B) D RI'!S149</f>
        <v>61</v>
      </c>
      <c r="M148" s="43">
        <f t="shared" si="16"/>
        <v>29.409620529118861</v>
      </c>
      <c r="N148" s="166">
        <f>'J) Plafonnement effort'!G147+'J) Plafonnement effort'!H147-'K) Plafonnement aide'!I147</f>
        <v>33.476319649235123</v>
      </c>
      <c r="O148" s="166">
        <f t="shared" si="17"/>
        <v>62.885940178353984</v>
      </c>
      <c r="P148" s="59">
        <f t="shared" si="18"/>
        <v>0</v>
      </c>
      <c r="Q148" s="74">
        <f t="shared" si="22"/>
        <v>0</v>
      </c>
      <c r="R148" s="197">
        <f t="shared" si="19"/>
        <v>62.885940178353984</v>
      </c>
      <c r="S148" s="166">
        <f t="shared" si="20"/>
        <v>1.8859401783539838</v>
      </c>
      <c r="T148" s="196"/>
    </row>
    <row r="149" spans="1:20" x14ac:dyDescent="0.25">
      <c r="A149" s="61">
        <f>'A) Base RI'!A150</f>
        <v>5640</v>
      </c>
      <c r="B149" s="72" t="str">
        <f>'A) Base RI'!B150</f>
        <v>Lussy-sur-Morges</v>
      </c>
      <c r="C149" s="205">
        <v>1104100.8542626051</v>
      </c>
      <c r="D149" s="206">
        <v>764049</v>
      </c>
      <c r="E149" s="207">
        <v>0</v>
      </c>
      <c r="F149" s="206">
        <v>0</v>
      </c>
      <c r="G149" s="206">
        <v>0</v>
      </c>
      <c r="H149" s="208">
        <f t="shared" si="23"/>
        <v>1868149.8542626051</v>
      </c>
      <c r="I149" s="272">
        <v>50734.215909090912</v>
      </c>
      <c r="J149" s="125">
        <f>'B) D RI'!U150</f>
        <v>45310.844393939391</v>
      </c>
      <c r="K149" s="86">
        <f t="shared" si="21"/>
        <v>36.822286908111195</v>
      </c>
      <c r="L149" s="43">
        <f>'B) D RI'!S150</f>
        <v>66</v>
      </c>
      <c r="M149" s="43">
        <f t="shared" si="16"/>
        <v>29.177713091888805</v>
      </c>
      <c r="N149" s="166">
        <f>'J) Plafonnement effort'!G148+'J) Plafonnement effort'!H148-'K) Plafonnement aide'!I148</f>
        <v>39.413179713312701</v>
      </c>
      <c r="O149" s="166">
        <f t="shared" si="17"/>
        <v>68.590892805201506</v>
      </c>
      <c r="P149" s="59">
        <f t="shared" si="18"/>
        <v>0</v>
      </c>
      <c r="Q149" s="74">
        <f t="shared" si="22"/>
        <v>0</v>
      </c>
      <c r="R149" s="197">
        <f t="shared" si="19"/>
        <v>68.590892805201506</v>
      </c>
      <c r="S149" s="166">
        <f t="shared" si="20"/>
        <v>2.5908928052015057</v>
      </c>
      <c r="T149" s="196"/>
    </row>
    <row r="150" spans="1:20" x14ac:dyDescent="0.25">
      <c r="A150" s="61">
        <f>'A) Base RI'!A151</f>
        <v>5642</v>
      </c>
      <c r="B150" s="72" t="str">
        <f>'A) Base RI'!B151</f>
        <v>Morges</v>
      </c>
      <c r="C150" s="205">
        <v>12502304.313061392</v>
      </c>
      <c r="D150" s="206">
        <v>3162736</v>
      </c>
      <c r="E150" s="207">
        <v>0</v>
      </c>
      <c r="F150" s="206">
        <v>0</v>
      </c>
      <c r="G150" s="206">
        <v>0</v>
      </c>
      <c r="H150" s="208">
        <f t="shared" si="23"/>
        <v>15665040.313061392</v>
      </c>
      <c r="I150" s="272">
        <v>722363.52321167884</v>
      </c>
      <c r="J150" s="125">
        <f>'B) D RI'!U151</f>
        <v>715380.13065693423</v>
      </c>
      <c r="K150" s="86">
        <f t="shared" si="21"/>
        <v>21.685813042460289</v>
      </c>
      <c r="L150" s="43">
        <f>'B) D RI'!S151</f>
        <v>68.5</v>
      </c>
      <c r="M150" s="43">
        <f t="shared" si="16"/>
        <v>46.814186957539711</v>
      </c>
      <c r="N150" s="166">
        <f>'J) Plafonnement effort'!G149+'J) Plafonnement effort'!H149-'K) Plafonnement aide'!I149</f>
        <v>21.421855921580853</v>
      </c>
      <c r="O150" s="166">
        <f t="shared" si="17"/>
        <v>68.236042879120561</v>
      </c>
      <c r="P150" s="59">
        <f t="shared" si="18"/>
        <v>0</v>
      </c>
      <c r="Q150" s="74">
        <f t="shared" si="22"/>
        <v>0</v>
      </c>
      <c r="R150" s="197">
        <f t="shared" si="19"/>
        <v>68.236042879120561</v>
      </c>
      <c r="S150" s="166">
        <f t="shared" si="20"/>
        <v>-0.26395712087943934</v>
      </c>
      <c r="T150" s="196"/>
    </row>
    <row r="151" spans="1:20" x14ac:dyDescent="0.25">
      <c r="A151" s="61">
        <f>'A) Base RI'!A152</f>
        <v>5643</v>
      </c>
      <c r="B151" s="72" t="str">
        <f>'A) Base RI'!B152</f>
        <v>Préverenges</v>
      </c>
      <c r="C151" s="205">
        <v>4808944.367975085</v>
      </c>
      <c r="D151" s="206">
        <v>2997907</v>
      </c>
      <c r="E151" s="207">
        <v>0</v>
      </c>
      <c r="F151" s="206">
        <v>0</v>
      </c>
      <c r="G151" s="206">
        <v>0</v>
      </c>
      <c r="H151" s="208">
        <f t="shared" si="23"/>
        <v>7806851.367975085</v>
      </c>
      <c r="I151" s="272">
        <v>265909.61515625002</v>
      </c>
      <c r="J151" s="125">
        <f>'B) D RI'!U152</f>
        <v>249793.53640625</v>
      </c>
      <c r="K151" s="86">
        <f t="shared" si="21"/>
        <v>29.359041279450292</v>
      </c>
      <c r="L151" s="43">
        <f>'B) D RI'!S152</f>
        <v>64</v>
      </c>
      <c r="M151" s="43">
        <f t="shared" si="16"/>
        <v>34.640958720549705</v>
      </c>
      <c r="N151" s="166">
        <f>'J) Plafonnement effort'!G150+'J) Plafonnement effort'!H150-'K) Plafonnement aide'!I150</f>
        <v>28.192561247968825</v>
      </c>
      <c r="O151" s="166">
        <f t="shared" si="17"/>
        <v>62.83351996851853</v>
      </c>
      <c r="P151" s="59">
        <f t="shared" si="18"/>
        <v>0</v>
      </c>
      <c r="Q151" s="74">
        <f t="shared" si="22"/>
        <v>0</v>
      </c>
      <c r="R151" s="197">
        <f t="shared" si="19"/>
        <v>62.83351996851853</v>
      </c>
      <c r="S151" s="166">
        <f t="shared" si="20"/>
        <v>-1.1664800314814698</v>
      </c>
      <c r="T151" s="196"/>
    </row>
    <row r="152" spans="1:20" x14ac:dyDescent="0.25">
      <c r="A152" s="61">
        <f>'A) Base RI'!A153</f>
        <v>5644</v>
      </c>
      <c r="B152" s="72" t="str">
        <f>'A) Base RI'!B153</f>
        <v>Reverolle</v>
      </c>
      <c r="C152" s="205">
        <v>223300.50690362166</v>
      </c>
      <c r="D152" s="206">
        <v>220286.77104917134</v>
      </c>
      <c r="E152" s="207">
        <v>0</v>
      </c>
      <c r="F152" s="206">
        <v>0</v>
      </c>
      <c r="G152" s="206">
        <v>0</v>
      </c>
      <c r="H152" s="208">
        <f t="shared" si="23"/>
        <v>443587.277952793</v>
      </c>
      <c r="I152" s="272">
        <v>14878.554871794875</v>
      </c>
      <c r="J152" s="125">
        <f>'B) D RI'!U153</f>
        <v>15594.857631578949</v>
      </c>
      <c r="K152" s="86">
        <f t="shared" si="21"/>
        <v>29.813868468751416</v>
      </c>
      <c r="L152" s="43">
        <f>'B) D RI'!S153</f>
        <v>76</v>
      </c>
      <c r="M152" s="43">
        <f t="shared" si="16"/>
        <v>46.186131531248584</v>
      </c>
      <c r="N152" s="166">
        <f>'J) Plafonnement effort'!G151+'J) Plafonnement effort'!H151-'K) Plafonnement aide'!I151</f>
        <v>30.018561038898362</v>
      </c>
      <c r="O152" s="166">
        <f t="shared" si="17"/>
        <v>76.204692570146946</v>
      </c>
      <c r="P152" s="59">
        <f t="shared" si="18"/>
        <v>0</v>
      </c>
      <c r="Q152" s="74">
        <f t="shared" si="22"/>
        <v>0</v>
      </c>
      <c r="R152" s="197">
        <f t="shared" si="19"/>
        <v>76.204692570146946</v>
      </c>
      <c r="S152" s="166">
        <f t="shared" si="20"/>
        <v>0.2046925701469462</v>
      </c>
      <c r="T152" s="196"/>
    </row>
    <row r="153" spans="1:20" x14ac:dyDescent="0.25">
      <c r="A153" s="61">
        <f>'A) Base RI'!A154</f>
        <v>5645</v>
      </c>
      <c r="B153" s="72" t="str">
        <f>'A) Base RI'!B154</f>
        <v>Romanel-sur-Morges</v>
      </c>
      <c r="C153" s="205">
        <v>444909.36115714174</v>
      </c>
      <c r="D153" s="206">
        <v>412483</v>
      </c>
      <c r="E153" s="207">
        <v>0</v>
      </c>
      <c r="F153" s="206">
        <v>0</v>
      </c>
      <c r="G153" s="206">
        <v>0</v>
      </c>
      <c r="H153" s="208">
        <f t="shared" si="23"/>
        <v>857392.36115714174</v>
      </c>
      <c r="I153" s="272">
        <v>25051.786919642858</v>
      </c>
      <c r="J153" s="125">
        <f>'B) D RI'!U154</f>
        <v>25378.60526785714</v>
      </c>
      <c r="K153" s="86">
        <f t="shared" si="21"/>
        <v>34.224798570551023</v>
      </c>
      <c r="L153" s="43">
        <f>'B) D RI'!S154</f>
        <v>56</v>
      </c>
      <c r="M153" s="43">
        <f t="shared" si="16"/>
        <v>21.775201429448977</v>
      </c>
      <c r="N153" s="166">
        <f>'J) Plafonnement effort'!G152+'J) Plafonnement effort'!H152-'K) Plafonnement aide'!I152</f>
        <v>33.934451621142472</v>
      </c>
      <c r="O153" s="166">
        <f t="shared" si="17"/>
        <v>55.709653050591449</v>
      </c>
      <c r="P153" s="59">
        <f t="shared" si="18"/>
        <v>0</v>
      </c>
      <c r="Q153" s="74">
        <f t="shared" si="22"/>
        <v>0</v>
      </c>
      <c r="R153" s="197">
        <f t="shared" si="19"/>
        <v>55.709653050591449</v>
      </c>
      <c r="S153" s="166">
        <f t="shared" si="20"/>
        <v>-0.29034694940855132</v>
      </c>
      <c r="T153" s="196"/>
    </row>
    <row r="154" spans="1:20" x14ac:dyDescent="0.25">
      <c r="A154" s="61">
        <f>'A) Base RI'!A155</f>
        <v>5646</v>
      </c>
      <c r="B154" s="72" t="str">
        <f>'A) Base RI'!B155</f>
        <v>Saint-Prex</v>
      </c>
      <c r="C154" s="205">
        <v>11171372.969403239</v>
      </c>
      <c r="D154" s="206">
        <v>4371992</v>
      </c>
      <c r="E154" s="207">
        <v>0</v>
      </c>
      <c r="F154" s="206">
        <v>0</v>
      </c>
      <c r="G154" s="206">
        <v>0</v>
      </c>
      <c r="H154" s="208">
        <f t="shared" si="23"/>
        <v>15543364.969403239</v>
      </c>
      <c r="I154" s="272">
        <v>375526.35254545452</v>
      </c>
      <c r="J154" s="125">
        <f>'B) D RI'!U155</f>
        <v>307317.64145454549</v>
      </c>
      <c r="K154" s="86">
        <f t="shared" si="21"/>
        <v>41.390876736198791</v>
      </c>
      <c r="L154" s="43">
        <f>'B) D RI'!S155</f>
        <v>55</v>
      </c>
      <c r="M154" s="43">
        <f t="shared" si="16"/>
        <v>13.609123263801209</v>
      </c>
      <c r="N154" s="166">
        <f>'J) Plafonnement effort'!G153+'J) Plafonnement effort'!H153-'K) Plafonnement aide'!I153</f>
        <v>32.476605904374921</v>
      </c>
      <c r="O154" s="166">
        <f t="shared" si="17"/>
        <v>46.08572916817613</v>
      </c>
      <c r="P154" s="59">
        <f t="shared" si="18"/>
        <v>0</v>
      </c>
      <c r="Q154" s="74">
        <f t="shared" si="22"/>
        <v>0</v>
      </c>
      <c r="R154" s="197">
        <f t="shared" si="19"/>
        <v>46.08572916817613</v>
      </c>
      <c r="S154" s="166">
        <f t="shared" si="20"/>
        <v>-8.9142708318238704</v>
      </c>
      <c r="T154" s="196"/>
    </row>
    <row r="155" spans="1:20" x14ac:dyDescent="0.25">
      <c r="A155" s="61">
        <f>'A) Base RI'!A156</f>
        <v>5648</v>
      </c>
      <c r="B155" s="72" t="str">
        <f>'A) Base RI'!B156</f>
        <v>Saint-Sulpice</v>
      </c>
      <c r="C155" s="205">
        <v>6465375.8712222576</v>
      </c>
      <c r="D155" s="206">
        <v>3575856</v>
      </c>
      <c r="E155" s="207">
        <v>0</v>
      </c>
      <c r="F155" s="206">
        <v>0</v>
      </c>
      <c r="G155" s="206">
        <v>0</v>
      </c>
      <c r="H155" s="208">
        <f t="shared" si="23"/>
        <v>10041231.871222258</v>
      </c>
      <c r="I155" s="272">
        <v>290036.18604545452</v>
      </c>
      <c r="J155" s="125">
        <f>'B) D RI'!U156</f>
        <v>307335.61263636366</v>
      </c>
      <c r="K155" s="86">
        <f t="shared" si="21"/>
        <v>34.620617544765928</v>
      </c>
      <c r="L155" s="43">
        <f>'B) D RI'!S156</f>
        <v>55</v>
      </c>
      <c r="M155" s="43">
        <f t="shared" si="16"/>
        <v>20.379382455234072</v>
      </c>
      <c r="N155" s="166">
        <f>'J) Plafonnement effort'!G154+'J) Plafonnement effort'!H154-'K) Plafonnement aide'!I154</f>
        <v>38.259299773508751</v>
      </c>
      <c r="O155" s="166">
        <f t="shared" si="17"/>
        <v>58.638682228742823</v>
      </c>
      <c r="P155" s="59">
        <f t="shared" si="18"/>
        <v>0</v>
      </c>
      <c r="Q155" s="74">
        <f t="shared" si="22"/>
        <v>0</v>
      </c>
      <c r="R155" s="197">
        <f t="shared" si="19"/>
        <v>58.638682228742823</v>
      </c>
      <c r="S155" s="166">
        <f t="shared" si="20"/>
        <v>3.6386822287428231</v>
      </c>
      <c r="T155" s="196"/>
    </row>
    <row r="156" spans="1:20" x14ac:dyDescent="0.25">
      <c r="A156" s="61">
        <f>'A) Base RI'!A157</f>
        <v>5649</v>
      </c>
      <c r="B156" s="72" t="str">
        <f>'A) Base RI'!B157</f>
        <v>Tolochenaz</v>
      </c>
      <c r="C156" s="205">
        <v>1826202.0621072126</v>
      </c>
      <c r="D156" s="206">
        <v>1501595</v>
      </c>
      <c r="E156" s="207">
        <v>0</v>
      </c>
      <c r="F156" s="206">
        <v>0</v>
      </c>
      <c r="G156" s="206">
        <v>0</v>
      </c>
      <c r="H156" s="208">
        <f t="shared" si="23"/>
        <v>3327797.0621072128</v>
      </c>
      <c r="I156" s="272">
        <v>103201.6483076923</v>
      </c>
      <c r="J156" s="125">
        <f>'B) D RI'!U157</f>
        <v>109360.12415384616</v>
      </c>
      <c r="K156" s="86">
        <f t="shared" si="21"/>
        <v>32.245580537488081</v>
      </c>
      <c r="L156" s="43">
        <f>'B) D RI'!S157</f>
        <v>65</v>
      </c>
      <c r="M156" s="43">
        <f t="shared" si="16"/>
        <v>32.754419462511919</v>
      </c>
      <c r="N156" s="166">
        <f>'J) Plafonnement effort'!G155+'J) Plafonnement effort'!H155-'K) Plafonnement aide'!I155</f>
        <v>33.999482462650441</v>
      </c>
      <c r="O156" s="166">
        <f t="shared" si="17"/>
        <v>66.753901925162353</v>
      </c>
      <c r="P156" s="59">
        <f t="shared" si="18"/>
        <v>0</v>
      </c>
      <c r="Q156" s="74">
        <f t="shared" si="22"/>
        <v>0</v>
      </c>
      <c r="R156" s="197">
        <f t="shared" si="19"/>
        <v>66.753901925162353</v>
      </c>
      <c r="S156" s="166">
        <f t="shared" si="20"/>
        <v>1.7539019251623529</v>
      </c>
      <c r="T156" s="196"/>
    </row>
    <row r="157" spans="1:20" x14ac:dyDescent="0.25">
      <c r="A157" s="61">
        <f>'A) Base RI'!A158</f>
        <v>5650</v>
      </c>
      <c r="B157" s="72" t="str">
        <f>'A) Base RI'!B158</f>
        <v>Vaux-sur-Morges</v>
      </c>
      <c r="C157" s="205">
        <v>4594565.7764820168</v>
      </c>
      <c r="D157" s="206">
        <v>1147719</v>
      </c>
      <c r="E157" s="207">
        <v>0</v>
      </c>
      <c r="F157" s="206">
        <v>0</v>
      </c>
      <c r="G157" s="206">
        <v>0</v>
      </c>
      <c r="H157" s="208">
        <f t="shared" si="23"/>
        <v>5742284.7764820168</v>
      </c>
      <c r="I157" s="272">
        <v>157222.88974358974</v>
      </c>
      <c r="J157" s="125">
        <f>'B) D RI'!U158</f>
        <v>185061.46846153846</v>
      </c>
      <c r="K157" s="86">
        <f t="shared" si="21"/>
        <v>36.523211002208029</v>
      </c>
      <c r="L157" s="43">
        <f>'B) D RI'!S158</f>
        <v>39</v>
      </c>
      <c r="M157" s="43">
        <f t="shared" si="16"/>
        <v>2.4767889977919708</v>
      </c>
      <c r="N157" s="166">
        <f>'J) Plafonnement effort'!G156+'J) Plafonnement effort'!H156-'K) Plafonnement aide'!I156</f>
        <v>44.39433884018537</v>
      </c>
      <c r="O157" s="166">
        <f t="shared" si="17"/>
        <v>46.87112783797734</v>
      </c>
      <c r="P157" s="59">
        <f t="shared" si="18"/>
        <v>0</v>
      </c>
      <c r="Q157" s="74">
        <f t="shared" si="22"/>
        <v>0</v>
      </c>
      <c r="R157" s="197">
        <f t="shared" si="19"/>
        <v>46.87112783797734</v>
      </c>
      <c r="S157" s="166">
        <f t="shared" si="20"/>
        <v>7.8711278379773404</v>
      </c>
      <c r="T157" s="196"/>
    </row>
    <row r="158" spans="1:20" x14ac:dyDescent="0.25">
      <c r="A158" s="61">
        <f>'A) Base RI'!A159</f>
        <v>5651</v>
      </c>
      <c r="B158" s="72" t="str">
        <f>'A) Base RI'!B159</f>
        <v>Villars-Sainte-Croix</v>
      </c>
      <c r="C158" s="205">
        <v>915245.43599453662</v>
      </c>
      <c r="D158" s="206">
        <v>741818</v>
      </c>
      <c r="E158" s="207">
        <v>0</v>
      </c>
      <c r="F158" s="206">
        <v>0</v>
      </c>
      <c r="G158" s="206">
        <v>0</v>
      </c>
      <c r="H158" s="208">
        <f t="shared" si="23"/>
        <v>1657063.4359945366</v>
      </c>
      <c r="I158" s="272">
        <v>47709.999830508481</v>
      </c>
      <c r="J158" s="125">
        <f>'B) D RI'!U159</f>
        <v>37823.297796610175</v>
      </c>
      <c r="K158" s="86">
        <f t="shared" si="21"/>
        <v>34.731994170641691</v>
      </c>
      <c r="L158" s="43">
        <f>'B) D RI'!S159</f>
        <v>59</v>
      </c>
      <c r="M158" s="43">
        <f t="shared" si="16"/>
        <v>24.268005829358309</v>
      </c>
      <c r="N158" s="166">
        <f>'J) Plafonnement effort'!G157+'J) Plafonnement effort'!H157-'K) Plafonnement aide'!I157</f>
        <v>39.219041414787924</v>
      </c>
      <c r="O158" s="166">
        <f t="shared" si="17"/>
        <v>63.487047244146233</v>
      </c>
      <c r="P158" s="59">
        <f t="shared" si="18"/>
        <v>0</v>
      </c>
      <c r="Q158" s="74">
        <f t="shared" si="22"/>
        <v>0</v>
      </c>
      <c r="R158" s="197">
        <f t="shared" si="19"/>
        <v>63.487047244146233</v>
      </c>
      <c r="S158" s="166">
        <f t="shared" si="20"/>
        <v>4.4870472441462326</v>
      </c>
      <c r="T158" s="196"/>
    </row>
    <row r="159" spans="1:20" x14ac:dyDescent="0.25">
      <c r="A159" s="61">
        <f>'A) Base RI'!A160</f>
        <v>5652</v>
      </c>
      <c r="B159" s="72" t="str">
        <f>'A) Base RI'!B160</f>
        <v>Villars-sous-Yens</v>
      </c>
      <c r="C159" s="205">
        <v>353913.06666356156</v>
      </c>
      <c r="D159" s="206">
        <v>379261.3653309294</v>
      </c>
      <c r="E159" s="207">
        <v>0</v>
      </c>
      <c r="F159" s="206">
        <v>0</v>
      </c>
      <c r="G159" s="206">
        <v>0</v>
      </c>
      <c r="H159" s="208">
        <f t="shared" si="23"/>
        <v>733174.43199449102</v>
      </c>
      <c r="I159" s="272">
        <v>24426.645087719295</v>
      </c>
      <c r="J159" s="125">
        <f>'B) D RI'!U160</f>
        <v>23640.281403508772</v>
      </c>
      <c r="K159" s="86">
        <f t="shared" si="21"/>
        <v>30.015355336828502</v>
      </c>
      <c r="L159" s="43">
        <f>'B) D RI'!S160</f>
        <v>76</v>
      </c>
      <c r="M159" s="43">
        <f t="shared" si="16"/>
        <v>45.984644663171494</v>
      </c>
      <c r="N159" s="166">
        <f>'J) Plafonnement effort'!G158+'J) Plafonnement effort'!H158-'K) Plafonnement aide'!I158</f>
        <v>26.307237522512452</v>
      </c>
      <c r="O159" s="166">
        <f t="shared" si="17"/>
        <v>72.291882185683946</v>
      </c>
      <c r="P159" s="59">
        <f t="shared" si="18"/>
        <v>0</v>
      </c>
      <c r="Q159" s="74">
        <f t="shared" si="22"/>
        <v>0</v>
      </c>
      <c r="R159" s="197">
        <f t="shared" si="19"/>
        <v>72.291882185683946</v>
      </c>
      <c r="S159" s="166">
        <f t="shared" si="20"/>
        <v>-3.7081178143160543</v>
      </c>
      <c r="T159" s="196"/>
    </row>
    <row r="160" spans="1:20" x14ac:dyDescent="0.25">
      <c r="A160" s="61">
        <f>'A) Base RI'!A161</f>
        <v>5653</v>
      </c>
      <c r="B160" s="72" t="str">
        <f>'A) Base RI'!B161</f>
        <v>Vufflens-le-Château</v>
      </c>
      <c r="C160" s="205">
        <v>968609.79470647313</v>
      </c>
      <c r="D160" s="206">
        <v>861382</v>
      </c>
      <c r="E160" s="207">
        <v>0</v>
      </c>
      <c r="F160" s="206">
        <v>0</v>
      </c>
      <c r="G160" s="206">
        <v>0</v>
      </c>
      <c r="H160" s="208">
        <f t="shared" si="23"/>
        <v>1829991.7947064731</v>
      </c>
      <c r="I160" s="272">
        <v>54206.67831818181</v>
      </c>
      <c r="J160" s="125">
        <f>'B) D RI'!U161</f>
        <v>59809.956818181818</v>
      </c>
      <c r="K160" s="86">
        <f t="shared" si="21"/>
        <v>33.759526528535943</v>
      </c>
      <c r="L160" s="43">
        <f>'B) D RI'!S161</f>
        <v>55</v>
      </c>
      <c r="M160" s="43">
        <f t="shared" si="16"/>
        <v>21.240473471464057</v>
      </c>
      <c r="N160" s="166">
        <f>'J) Plafonnement effort'!G159+'J) Plafonnement effort'!H159-'K) Plafonnement aide'!I159</f>
        <v>37.331233620225234</v>
      </c>
      <c r="O160" s="166">
        <f t="shared" si="17"/>
        <v>58.571707091689291</v>
      </c>
      <c r="P160" s="59">
        <f t="shared" si="18"/>
        <v>0</v>
      </c>
      <c r="Q160" s="74">
        <f t="shared" si="22"/>
        <v>0</v>
      </c>
      <c r="R160" s="197">
        <f t="shared" si="19"/>
        <v>58.571707091689291</v>
      </c>
      <c r="S160" s="166">
        <f t="shared" si="20"/>
        <v>3.5717070916892908</v>
      </c>
      <c r="T160" s="196"/>
    </row>
    <row r="161" spans="1:20" x14ac:dyDescent="0.25">
      <c r="A161" s="61">
        <f>'A) Base RI'!A162</f>
        <v>5654</v>
      </c>
      <c r="B161" s="72" t="str">
        <f>'A) Base RI'!B162</f>
        <v>Vullierens</v>
      </c>
      <c r="C161" s="205">
        <v>282491.6900340023</v>
      </c>
      <c r="D161" s="206">
        <v>149807.99519698584</v>
      </c>
      <c r="E161" s="207">
        <v>0</v>
      </c>
      <c r="F161" s="206">
        <v>0</v>
      </c>
      <c r="G161" s="206">
        <v>0</v>
      </c>
      <c r="H161" s="208">
        <f t="shared" si="23"/>
        <v>432299.68523098814</v>
      </c>
      <c r="I161" s="272">
        <v>15860.891578947369</v>
      </c>
      <c r="J161" s="125">
        <f>'B) D RI'!U162</f>
        <v>16948.890394736845</v>
      </c>
      <c r="K161" s="86">
        <f t="shared" si="21"/>
        <v>27.255698904391497</v>
      </c>
      <c r="L161" s="43">
        <f>'B) D RI'!S162</f>
        <v>76</v>
      </c>
      <c r="M161" s="43">
        <f t="shared" si="16"/>
        <v>48.744301095608506</v>
      </c>
      <c r="N161" s="166">
        <f>'J) Plafonnement effort'!G160+'J) Plafonnement effort'!H160-'K) Plafonnement aide'!I160</f>
        <v>23.895753582134219</v>
      </c>
      <c r="O161" s="166">
        <f t="shared" si="17"/>
        <v>72.640054677742725</v>
      </c>
      <c r="P161" s="59">
        <f t="shared" si="18"/>
        <v>0</v>
      </c>
      <c r="Q161" s="74">
        <f t="shared" si="22"/>
        <v>0</v>
      </c>
      <c r="R161" s="197">
        <f t="shared" si="19"/>
        <v>72.640054677742725</v>
      </c>
      <c r="S161" s="166">
        <f t="shared" si="20"/>
        <v>-3.3599453222572748</v>
      </c>
      <c r="T161" s="196"/>
    </row>
    <row r="162" spans="1:20" x14ac:dyDescent="0.25">
      <c r="A162" s="61">
        <f>'A) Base RI'!A163</f>
        <v>5655</v>
      </c>
      <c r="B162" s="72" t="str">
        <f>'A) Base RI'!B163</f>
        <v>Yens</v>
      </c>
      <c r="C162" s="205">
        <v>1197857.0582790573</v>
      </c>
      <c r="D162" s="206">
        <v>1138007</v>
      </c>
      <c r="E162" s="207">
        <v>0</v>
      </c>
      <c r="F162" s="206">
        <v>0</v>
      </c>
      <c r="G162" s="206">
        <v>0</v>
      </c>
      <c r="H162" s="208">
        <f t="shared" si="23"/>
        <v>2335864.058279057</v>
      </c>
      <c r="I162" s="272">
        <v>73269.942328767123</v>
      </c>
      <c r="J162" s="125">
        <f>'B) D RI'!U163</f>
        <v>68107.282191780832</v>
      </c>
      <c r="K162" s="86">
        <f t="shared" si="21"/>
        <v>31.880249718197934</v>
      </c>
      <c r="L162" s="43">
        <f>'B) D RI'!S163</f>
        <v>73</v>
      </c>
      <c r="M162" s="43">
        <f t="shared" si="16"/>
        <v>41.119750281802069</v>
      </c>
      <c r="N162" s="166">
        <f>'J) Plafonnement effort'!G161+'J) Plafonnement effort'!H161-'K) Plafonnement aide'!I161</f>
        <v>36.710662548717849</v>
      </c>
      <c r="O162" s="166">
        <f t="shared" si="17"/>
        <v>77.830412830519919</v>
      </c>
      <c r="P162" s="59">
        <f t="shared" si="18"/>
        <v>0</v>
      </c>
      <c r="Q162" s="74">
        <f t="shared" si="22"/>
        <v>0</v>
      </c>
      <c r="R162" s="197">
        <f t="shared" si="19"/>
        <v>77.830412830519919</v>
      </c>
      <c r="S162" s="166">
        <f t="shared" si="20"/>
        <v>4.8304128305199185</v>
      </c>
      <c r="T162" s="196"/>
    </row>
    <row r="163" spans="1:20" x14ac:dyDescent="0.25">
      <c r="A163" s="61">
        <f>'A) Base RI'!A164</f>
        <v>5661</v>
      </c>
      <c r="B163" s="72" t="str">
        <f>'A) Base RI'!B164</f>
        <v>Boulens</v>
      </c>
      <c r="C163" s="205">
        <v>116209.99526447209</v>
      </c>
      <c r="D163" s="206">
        <v>-74213.971165342809</v>
      </c>
      <c r="E163" s="207">
        <v>0</v>
      </c>
      <c r="F163" s="206">
        <v>0</v>
      </c>
      <c r="G163" s="206">
        <v>0</v>
      </c>
      <c r="H163" s="208">
        <f t="shared" si="23"/>
        <v>41996.024099129281</v>
      </c>
      <c r="I163" s="272">
        <v>6901.8381012658238</v>
      </c>
      <c r="J163" s="125">
        <f>'B) D RI'!U164</f>
        <v>7277.4751898734185</v>
      </c>
      <c r="K163" s="86">
        <f t="shared" si="21"/>
        <v>6.0847593761185221</v>
      </c>
      <c r="L163" s="43">
        <f>'B) D RI'!S164</f>
        <v>79</v>
      </c>
      <c r="M163" s="43">
        <f t="shared" si="16"/>
        <v>72.915240623881473</v>
      </c>
      <c r="N163" s="166">
        <f>'J) Plafonnement effort'!G162+'J) Plafonnement effort'!H162-'K) Plafonnement aide'!I162</f>
        <v>1.96566081588416</v>
      </c>
      <c r="O163" s="166">
        <f t="shared" si="17"/>
        <v>74.880901439765637</v>
      </c>
      <c r="P163" s="59">
        <f t="shared" si="18"/>
        <v>0</v>
      </c>
      <c r="Q163" s="74">
        <f t="shared" si="22"/>
        <v>0</v>
      </c>
      <c r="R163" s="197">
        <f t="shared" si="19"/>
        <v>74.880901439765637</v>
      </c>
      <c r="S163" s="166">
        <f t="shared" si="20"/>
        <v>-4.119098560234363</v>
      </c>
      <c r="T163" s="196"/>
    </row>
    <row r="164" spans="1:20" x14ac:dyDescent="0.25">
      <c r="A164" s="61">
        <f>'A) Base RI'!A165</f>
        <v>5663</v>
      </c>
      <c r="B164" s="72" t="str">
        <f>'A) Base RI'!B165</f>
        <v>Bussy-sur-Moudon</v>
      </c>
      <c r="C164" s="205">
        <v>78480.560825679335</v>
      </c>
      <c r="D164" s="206">
        <v>-13072.395404705414</v>
      </c>
      <c r="E164" s="207">
        <v>0</v>
      </c>
      <c r="F164" s="206">
        <v>0</v>
      </c>
      <c r="G164" s="206">
        <v>0</v>
      </c>
      <c r="H164" s="208">
        <f t="shared" si="23"/>
        <v>65408.165420973921</v>
      </c>
      <c r="I164" s="272">
        <v>5172.1214999999993</v>
      </c>
      <c r="J164" s="125">
        <f>'B) D RI'!U165</f>
        <v>4999.1039999999994</v>
      </c>
      <c r="K164" s="86">
        <f t="shared" si="21"/>
        <v>12.646293290088783</v>
      </c>
      <c r="L164" s="43">
        <f>'B) D RI'!S165</f>
        <v>80</v>
      </c>
      <c r="M164" s="43">
        <f t="shared" si="16"/>
        <v>67.353706709911222</v>
      </c>
      <c r="N164" s="166">
        <f>'J) Plafonnement effort'!G163+'J) Plafonnement effort'!H163-'K) Plafonnement aide'!I163</f>
        <v>10.484764883831527</v>
      </c>
      <c r="O164" s="166">
        <f t="shared" si="17"/>
        <v>77.838471593742753</v>
      </c>
      <c r="P164" s="59">
        <f t="shared" si="18"/>
        <v>0</v>
      </c>
      <c r="Q164" s="74">
        <f t="shared" si="22"/>
        <v>0</v>
      </c>
      <c r="R164" s="197">
        <f t="shared" si="19"/>
        <v>77.838471593742753</v>
      </c>
      <c r="S164" s="166">
        <f t="shared" si="20"/>
        <v>-2.1615284062572471</v>
      </c>
      <c r="T164" s="196"/>
    </row>
    <row r="165" spans="1:20" x14ac:dyDescent="0.25">
      <c r="A165" s="61">
        <f>'A) Base RI'!A166</f>
        <v>5665</v>
      </c>
      <c r="B165" s="72" t="str">
        <f>'A) Base RI'!B166</f>
        <v>Chavannes-sur-Moudon</v>
      </c>
      <c r="C165" s="205">
        <v>52208.399461911285</v>
      </c>
      <c r="D165" s="206">
        <v>-89626.297660817247</v>
      </c>
      <c r="E165" s="207">
        <v>17020.997712794851</v>
      </c>
      <c r="F165" s="206">
        <v>0</v>
      </c>
      <c r="G165" s="206">
        <v>0</v>
      </c>
      <c r="H165" s="208">
        <f t="shared" si="23"/>
        <v>-20396.90048611111</v>
      </c>
      <c r="I165" s="272">
        <v>3708.5273611111106</v>
      </c>
      <c r="J165" s="125">
        <f>'B) D RI'!U166</f>
        <v>4834.5158333333329</v>
      </c>
      <c r="K165" s="86">
        <f t="shared" si="21"/>
        <v>-5.5</v>
      </c>
      <c r="L165" s="43">
        <f>'B) D RI'!S166</f>
        <v>72</v>
      </c>
      <c r="M165" s="43">
        <f t="shared" si="16"/>
        <v>77.5</v>
      </c>
      <c r="N165" s="166">
        <f>'J) Plafonnement effort'!G164+'J) Plafonnement effort'!H164-'K) Plafonnement aide'!I164</f>
        <v>4.0973871938944075</v>
      </c>
      <c r="O165" s="166">
        <f t="shared" si="17"/>
        <v>81.597387193894406</v>
      </c>
      <c r="P165" s="59">
        <f t="shared" si="18"/>
        <v>0</v>
      </c>
      <c r="Q165" s="74">
        <f t="shared" si="22"/>
        <v>0</v>
      </c>
      <c r="R165" s="197">
        <f t="shared" si="19"/>
        <v>81.597387193894406</v>
      </c>
      <c r="S165" s="166">
        <f t="shared" si="20"/>
        <v>9.5973871938944058</v>
      </c>
      <c r="T165" s="196"/>
    </row>
    <row r="166" spans="1:20" x14ac:dyDescent="0.25">
      <c r="A166" s="61">
        <f>'A) Base RI'!A167</f>
        <v>5669</v>
      </c>
      <c r="B166" s="72" t="str">
        <f>'A) Base RI'!B167</f>
        <v>Curtilles</v>
      </c>
      <c r="C166" s="205">
        <v>142637.48647925822</v>
      </c>
      <c r="D166" s="206">
        <v>8489.9765203648712</v>
      </c>
      <c r="E166" s="207">
        <v>0</v>
      </c>
      <c r="F166" s="206">
        <v>0</v>
      </c>
      <c r="G166" s="206">
        <v>0</v>
      </c>
      <c r="H166" s="208">
        <f t="shared" si="23"/>
        <v>151127.46299962309</v>
      </c>
      <c r="I166" s="272">
        <v>8099.7640277777791</v>
      </c>
      <c r="J166" s="125">
        <f>'B) D RI'!U167</f>
        <v>8707.7998611111107</v>
      </c>
      <c r="K166" s="86">
        <f t="shared" si="21"/>
        <v>18.658255040682445</v>
      </c>
      <c r="L166" s="43">
        <f>'B) D RI'!S167</f>
        <v>72</v>
      </c>
      <c r="M166" s="43">
        <f t="shared" si="16"/>
        <v>53.341744959317552</v>
      </c>
      <c r="N166" s="166">
        <f>'J) Plafonnement effort'!G165+'J) Plafonnement effort'!H165-'K) Plafonnement aide'!I165</f>
        <v>22.559566798844614</v>
      </c>
      <c r="O166" s="166">
        <f t="shared" si="17"/>
        <v>75.901311758162166</v>
      </c>
      <c r="P166" s="59">
        <f t="shared" si="18"/>
        <v>0</v>
      </c>
      <c r="Q166" s="74">
        <f t="shared" si="22"/>
        <v>0</v>
      </c>
      <c r="R166" s="197">
        <f t="shared" si="19"/>
        <v>75.901311758162166</v>
      </c>
      <c r="S166" s="166">
        <f t="shared" si="20"/>
        <v>3.9013117581621657</v>
      </c>
      <c r="T166" s="196"/>
    </row>
    <row r="167" spans="1:20" x14ac:dyDescent="0.25">
      <c r="A167" s="61">
        <f>'A) Base RI'!A168</f>
        <v>5671</v>
      </c>
      <c r="B167" s="72" t="str">
        <f>'A) Base RI'!B168</f>
        <v>Dompierre</v>
      </c>
      <c r="C167" s="205">
        <v>82800.713434385514</v>
      </c>
      <c r="D167" s="206">
        <v>-42838.126651477331</v>
      </c>
      <c r="E167" s="207">
        <v>0</v>
      </c>
      <c r="F167" s="206">
        <v>0</v>
      </c>
      <c r="G167" s="206">
        <v>0</v>
      </c>
      <c r="H167" s="208">
        <f t="shared" si="23"/>
        <v>39962.586782908184</v>
      </c>
      <c r="I167" s="272">
        <v>5882.5981250000004</v>
      </c>
      <c r="J167" s="125">
        <f>'B) D RI'!U168</f>
        <v>6226.6947500000006</v>
      </c>
      <c r="K167" s="86">
        <f t="shared" si="21"/>
        <v>6.7933565974997112</v>
      </c>
      <c r="L167" s="43">
        <f>'B) D RI'!S168</f>
        <v>80</v>
      </c>
      <c r="M167" s="43">
        <f t="shared" ref="M167:M218" si="24">L167-K167</f>
        <v>73.206643402500291</v>
      </c>
      <c r="N167" s="166">
        <f>'J) Plafonnement effort'!G166+'J) Plafonnement effort'!H166-'K) Plafonnement aide'!I166</f>
        <v>5.3148050277723016</v>
      </c>
      <c r="O167" s="166">
        <f t="shared" ref="O167:O218" si="25">M167+N167</f>
        <v>78.521448430272585</v>
      </c>
      <c r="P167" s="59">
        <f t="shared" ref="P167:P218" si="26">IF(O167&gt;$P$5,$P$5-O167,0)</f>
        <v>0</v>
      </c>
      <c r="Q167" s="74">
        <f t="shared" si="22"/>
        <v>0</v>
      </c>
      <c r="R167" s="197">
        <f t="shared" ref="R167:R218" si="27">O167+P167</f>
        <v>78.521448430272585</v>
      </c>
      <c r="S167" s="166">
        <f t="shared" ref="S167:S218" si="28">R167-L167</f>
        <v>-1.478551569727415</v>
      </c>
      <c r="T167" s="196"/>
    </row>
    <row r="168" spans="1:20" x14ac:dyDescent="0.25">
      <c r="A168" s="61">
        <f>'A) Base RI'!A169</f>
        <v>5673</v>
      </c>
      <c r="B168" s="72" t="str">
        <f>'A) Base RI'!B169</f>
        <v>Hermenches</v>
      </c>
      <c r="C168" s="205">
        <v>189998.79103286591</v>
      </c>
      <c r="D168" s="206">
        <v>-15.465940236521419</v>
      </c>
      <c r="E168" s="207">
        <v>0</v>
      </c>
      <c r="F168" s="206">
        <v>0</v>
      </c>
      <c r="G168" s="206">
        <v>0</v>
      </c>
      <c r="H168" s="208">
        <f t="shared" si="23"/>
        <v>189983.32509262938</v>
      </c>
      <c r="I168" s="272">
        <v>9584.1538967136148</v>
      </c>
      <c r="J168" s="125">
        <f>'B) D RI'!U169</f>
        <v>8854.2944888888887</v>
      </c>
      <c r="K168" s="86">
        <f t="shared" ref="K168:K220" si="29">H168/I168</f>
        <v>19.82264967153483</v>
      </c>
      <c r="L168" s="43">
        <f>'B) D RI'!S169</f>
        <v>75</v>
      </c>
      <c r="M168" s="43">
        <f t="shared" si="24"/>
        <v>55.177350328465167</v>
      </c>
      <c r="N168" s="166">
        <f>'J) Plafonnement effort'!G167+'J) Plafonnement effort'!H167-'K) Plafonnement aide'!I167</f>
        <v>6.2798886627644528</v>
      </c>
      <c r="O168" s="166">
        <f t="shared" si="25"/>
        <v>61.457238991229616</v>
      </c>
      <c r="P168" s="59">
        <f t="shared" si="26"/>
        <v>0</v>
      </c>
      <c r="Q168" s="74">
        <f t="shared" ref="Q168:Q221" si="30">P168*J168</f>
        <v>0</v>
      </c>
      <c r="R168" s="197">
        <f t="shared" si="27"/>
        <v>61.457238991229616</v>
      </c>
      <c r="S168" s="166">
        <f t="shared" si="28"/>
        <v>-13.542761008770384</v>
      </c>
      <c r="T168" s="196"/>
    </row>
    <row r="169" spans="1:20" x14ac:dyDescent="0.25">
      <c r="A169" s="61">
        <f>'A) Base RI'!A170</f>
        <v>5674</v>
      </c>
      <c r="B169" s="72" t="str">
        <f>'A) Base RI'!B170</f>
        <v>Lovatens</v>
      </c>
      <c r="C169" s="205">
        <v>80034.18266134958</v>
      </c>
      <c r="D169" s="206">
        <v>84463.762753054441</v>
      </c>
      <c r="E169" s="207">
        <v>0</v>
      </c>
      <c r="F169" s="206">
        <v>0</v>
      </c>
      <c r="G169" s="206">
        <v>0</v>
      </c>
      <c r="H169" s="208">
        <f t="shared" si="23"/>
        <v>164497.94541440404</v>
      </c>
      <c r="I169" s="272">
        <v>5762.0609054325942</v>
      </c>
      <c r="J169" s="125">
        <f>'B) D RI'!U170</f>
        <v>3347.4317333333333</v>
      </c>
      <c r="K169" s="86">
        <f t="shared" si="29"/>
        <v>28.548456552986426</v>
      </c>
      <c r="L169" s="43">
        <f>'B) D RI'!S170</f>
        <v>75</v>
      </c>
      <c r="M169" s="43">
        <f t="shared" si="24"/>
        <v>46.451543447013577</v>
      </c>
      <c r="N169" s="166">
        <f>'J) Plafonnement effort'!G168+'J) Plafonnement effort'!H168-'K) Plafonnement aide'!I168</f>
        <v>4.1846404982026888</v>
      </c>
      <c r="O169" s="166">
        <f t="shared" si="25"/>
        <v>50.636183945216267</v>
      </c>
      <c r="P169" s="59">
        <f t="shared" si="26"/>
        <v>0</v>
      </c>
      <c r="Q169" s="74">
        <f t="shared" si="30"/>
        <v>0</v>
      </c>
      <c r="R169" s="197">
        <f t="shared" si="27"/>
        <v>50.636183945216267</v>
      </c>
      <c r="S169" s="166">
        <f t="shared" si="28"/>
        <v>-24.363816054783733</v>
      </c>
      <c r="T169" s="196"/>
    </row>
    <row r="170" spans="1:20" x14ac:dyDescent="0.25">
      <c r="A170" s="61">
        <f>'A) Base RI'!A171</f>
        <v>5675</v>
      </c>
      <c r="B170" s="72" t="str">
        <f>'A) Base RI'!B171</f>
        <v>Lucens</v>
      </c>
      <c r="C170" s="205">
        <v>1454059</v>
      </c>
      <c r="D170" s="206">
        <v>-672051</v>
      </c>
      <c r="E170" s="207"/>
      <c r="F170" s="206"/>
      <c r="G170" s="206"/>
      <c r="H170" s="208">
        <v>782008</v>
      </c>
      <c r="I170" s="272">
        <v>92900</v>
      </c>
      <c r="J170" s="125">
        <f>'B) D RI'!U171</f>
        <v>91702.321238938035</v>
      </c>
      <c r="K170" s="86">
        <f t="shared" ref="K170" si="31">H170/I170</f>
        <v>8.4177395048439188</v>
      </c>
      <c r="L170" s="43">
        <f>'B) D RI'!S171</f>
        <v>67.8</v>
      </c>
      <c r="M170" s="43">
        <f t="shared" ref="M170" si="32">L170-K170</f>
        <v>59.382260495156075</v>
      </c>
      <c r="N170" s="166">
        <f>'J) Plafonnement effort'!G169+'J) Plafonnement effort'!H169-'K) Plafonnement aide'!I169</f>
        <v>6.4606992170803652</v>
      </c>
      <c r="O170" s="166">
        <f t="shared" ref="O170" si="33">M170+N170</f>
        <v>65.842959712236436</v>
      </c>
      <c r="P170" s="59">
        <f t="shared" ref="P170" si="34">IF(O170&gt;$P$5,$P$5-O170,0)</f>
        <v>0</v>
      </c>
      <c r="Q170" s="74">
        <f t="shared" ref="Q170" si="35">P170*J170</f>
        <v>0</v>
      </c>
      <c r="R170" s="197">
        <f t="shared" ref="R170" si="36">O170+P170</f>
        <v>65.842959712236436</v>
      </c>
      <c r="S170" s="166">
        <f t="shared" ref="S170" si="37">R170-L170</f>
        <v>-1.9570402877635615</v>
      </c>
      <c r="T170" s="196"/>
    </row>
    <row r="171" spans="1:20" x14ac:dyDescent="0.25">
      <c r="A171" s="61">
        <f>'A) Base RI'!A172</f>
        <v>5678</v>
      </c>
      <c r="B171" s="72" t="str">
        <f>'A) Base RI'!B172</f>
        <v>Moudon</v>
      </c>
      <c r="C171" s="205">
        <v>1908642.2485273359</v>
      </c>
      <c r="D171" s="206">
        <v>-2896331.1393287303</v>
      </c>
      <c r="E171" s="207">
        <v>332857.53193472786</v>
      </c>
      <c r="F171" s="206">
        <v>0</v>
      </c>
      <c r="G171" s="206">
        <v>0</v>
      </c>
      <c r="H171" s="208">
        <f t="shared" si="23"/>
        <v>-654831.35886666644</v>
      </c>
      <c r="I171" s="272">
        <v>119060.24706666666</v>
      </c>
      <c r="J171" s="125">
        <f>'B) D RI'!U172</f>
        <v>122060.45639999998</v>
      </c>
      <c r="K171" s="86">
        <f t="shared" si="29"/>
        <v>-5.4999999999999982</v>
      </c>
      <c r="L171" s="43">
        <f>'B) D RI'!S172</f>
        <v>75</v>
      </c>
      <c r="M171" s="43">
        <f t="shared" si="24"/>
        <v>80.5</v>
      </c>
      <c r="N171" s="166">
        <f>'J) Plafonnement effort'!G170+'J) Plafonnement effort'!H170-'K) Plafonnement aide'!I170</f>
        <v>-14.96134536104311</v>
      </c>
      <c r="O171" s="166">
        <f t="shared" si="25"/>
        <v>65.538654638956885</v>
      </c>
      <c r="P171" s="59">
        <f t="shared" si="26"/>
        <v>0</v>
      </c>
      <c r="Q171" s="74">
        <f t="shared" si="30"/>
        <v>0</v>
      </c>
      <c r="R171" s="197">
        <f t="shared" si="27"/>
        <v>65.538654638956885</v>
      </c>
      <c r="S171" s="166">
        <f t="shared" si="28"/>
        <v>-9.4613453610431151</v>
      </c>
      <c r="T171" s="196"/>
    </row>
    <row r="172" spans="1:20" x14ac:dyDescent="0.25">
      <c r="A172" s="61">
        <f>'A) Base RI'!A173</f>
        <v>5680</v>
      </c>
      <c r="B172" s="72" t="str">
        <f>'A) Base RI'!B173</f>
        <v>Ogens</v>
      </c>
      <c r="C172" s="205">
        <v>99864.159621708328</v>
      </c>
      <c r="D172" s="206">
        <v>-23632.099024485447</v>
      </c>
      <c r="E172" s="207">
        <v>0</v>
      </c>
      <c r="F172" s="206">
        <v>0</v>
      </c>
      <c r="G172" s="206">
        <v>0</v>
      </c>
      <c r="H172" s="208">
        <f t="shared" si="23"/>
        <v>76232.06059722288</v>
      </c>
      <c r="I172" s="272">
        <v>6568.1873076923084</v>
      </c>
      <c r="J172" s="125">
        <f>'B) D RI'!U173</f>
        <v>8163.3689316239324</v>
      </c>
      <c r="K172" s="86">
        <f t="shared" si="29"/>
        <v>11.606255581040447</v>
      </c>
      <c r="L172" s="43">
        <f>'B) D RI'!S173</f>
        <v>78</v>
      </c>
      <c r="M172" s="43">
        <f t="shared" si="24"/>
        <v>66.393744418959557</v>
      </c>
      <c r="N172" s="166">
        <f>'J) Plafonnement effort'!G171+'J) Plafonnement effort'!H171-'K) Plafonnement aide'!I171</f>
        <v>18.708339632694837</v>
      </c>
      <c r="O172" s="166">
        <f t="shared" si="25"/>
        <v>85.102084051654401</v>
      </c>
      <c r="P172" s="59">
        <f t="shared" si="26"/>
        <v>0</v>
      </c>
      <c r="Q172" s="74">
        <f t="shared" si="30"/>
        <v>0</v>
      </c>
      <c r="R172" s="197">
        <f t="shared" si="27"/>
        <v>85.102084051654401</v>
      </c>
      <c r="S172" s="166">
        <f t="shared" si="28"/>
        <v>7.1020840516544013</v>
      </c>
      <c r="T172" s="196"/>
    </row>
    <row r="173" spans="1:20" x14ac:dyDescent="0.25">
      <c r="A173" s="61">
        <f>'A) Base RI'!A174</f>
        <v>5683</v>
      </c>
      <c r="B173" s="72" t="str">
        <f>'A) Base RI'!B174</f>
        <v>Prévonloup</v>
      </c>
      <c r="C173" s="205">
        <v>54979.353960941546</v>
      </c>
      <c r="D173" s="206">
        <v>-31664.215023419732</v>
      </c>
      <c r="E173" s="207">
        <v>0</v>
      </c>
      <c r="F173" s="206">
        <v>0</v>
      </c>
      <c r="G173" s="206">
        <v>0</v>
      </c>
      <c r="H173" s="208">
        <f t="shared" si="23"/>
        <v>23315.138937521813</v>
      </c>
      <c r="I173" s="272">
        <v>3760.4979729729735</v>
      </c>
      <c r="J173" s="125">
        <f>'B) D RI'!U174</f>
        <v>3618.5018918918922</v>
      </c>
      <c r="K173" s="86">
        <f t="shared" si="29"/>
        <v>6.2000136963481296</v>
      </c>
      <c r="L173" s="43">
        <f>'B) D RI'!S174</f>
        <v>74</v>
      </c>
      <c r="M173" s="43">
        <f t="shared" si="24"/>
        <v>67.799986303651878</v>
      </c>
      <c r="N173" s="166">
        <f>'J) Plafonnement effort'!G172+'J) Plafonnement effort'!H172-'K) Plafonnement aide'!I172</f>
        <v>2.8694898413527197</v>
      </c>
      <c r="O173" s="166">
        <f t="shared" si="25"/>
        <v>70.669476145004595</v>
      </c>
      <c r="P173" s="59">
        <f t="shared" si="26"/>
        <v>0</v>
      </c>
      <c r="Q173" s="74">
        <f t="shared" si="30"/>
        <v>0</v>
      </c>
      <c r="R173" s="197">
        <f t="shared" si="27"/>
        <v>70.669476145004595</v>
      </c>
      <c r="S173" s="166">
        <f t="shared" si="28"/>
        <v>-3.3305238549954055</v>
      </c>
      <c r="T173" s="196"/>
    </row>
    <row r="174" spans="1:20" x14ac:dyDescent="0.25">
      <c r="A174" s="61">
        <f>'A) Base RI'!A175</f>
        <v>5684</v>
      </c>
      <c r="B174" s="72" t="str">
        <f>'A) Base RI'!B175</f>
        <v>Rossenges</v>
      </c>
      <c r="C174" s="205">
        <v>17030.478670544708</v>
      </c>
      <c r="D174" s="206">
        <v>-4754.253678646357</v>
      </c>
      <c r="E174" s="207">
        <v>0</v>
      </c>
      <c r="F174" s="206">
        <v>0</v>
      </c>
      <c r="G174" s="206">
        <v>0</v>
      </c>
      <c r="H174" s="208">
        <f t="shared" si="23"/>
        <v>12276.224991898351</v>
      </c>
      <c r="I174" s="272">
        <v>1257.3034166666666</v>
      </c>
      <c r="J174" s="125">
        <f>'B) D RI'!U175</f>
        <v>2611.7396666666664</v>
      </c>
      <c r="K174" s="86">
        <f t="shared" si="29"/>
        <v>9.763931942891551</v>
      </c>
      <c r="L174" s="43">
        <f>'B) D RI'!S175</f>
        <v>60</v>
      </c>
      <c r="M174" s="43">
        <f t="shared" si="24"/>
        <v>50.236068057108447</v>
      </c>
      <c r="N174" s="166">
        <f>'J) Plafonnement effort'!G173+'J) Plafonnement effort'!H173-'K) Plafonnement aide'!I173</f>
        <v>30.255116784064537</v>
      </c>
      <c r="O174" s="166">
        <f t="shared" si="25"/>
        <v>80.491184841172981</v>
      </c>
      <c r="P174" s="59">
        <f t="shared" si="26"/>
        <v>0</v>
      </c>
      <c r="Q174" s="74">
        <f t="shared" si="30"/>
        <v>0</v>
      </c>
      <c r="R174" s="197">
        <f t="shared" si="27"/>
        <v>80.491184841172981</v>
      </c>
      <c r="S174" s="166">
        <f t="shared" si="28"/>
        <v>20.491184841172981</v>
      </c>
      <c r="T174" s="196"/>
    </row>
    <row r="175" spans="1:20" x14ac:dyDescent="0.25">
      <c r="A175" s="61">
        <f>'A) Base RI'!A176</f>
        <v>5688</v>
      </c>
      <c r="B175" s="72" t="str">
        <f>'A) Base RI'!B176</f>
        <v>Syens</v>
      </c>
      <c r="C175" s="205">
        <v>64664.785337974281</v>
      </c>
      <c r="D175" s="206">
        <v>51050.289190105701</v>
      </c>
      <c r="E175" s="207">
        <v>0</v>
      </c>
      <c r="F175" s="206">
        <v>0</v>
      </c>
      <c r="G175" s="206">
        <v>0</v>
      </c>
      <c r="H175" s="208">
        <f t="shared" si="23"/>
        <v>115715.07452807997</v>
      </c>
      <c r="I175" s="272">
        <v>4602.8089947089957</v>
      </c>
      <c r="J175" s="125">
        <f>'B) D RI'!U176</f>
        <v>5385.636772486775</v>
      </c>
      <c r="K175" s="86">
        <f t="shared" si="29"/>
        <v>25.140099157079156</v>
      </c>
      <c r="L175" s="43">
        <f>'B) D RI'!S176</f>
        <v>75.599999999999994</v>
      </c>
      <c r="M175" s="43">
        <f t="shared" si="24"/>
        <v>50.459900842920838</v>
      </c>
      <c r="N175" s="166">
        <f>'J) Plafonnement effort'!G174+'J) Plafonnement effort'!H174-'K) Plafonnement aide'!I174</f>
        <v>29.647370901595931</v>
      </c>
      <c r="O175" s="166">
        <f t="shared" si="25"/>
        <v>80.107271744516765</v>
      </c>
      <c r="P175" s="59">
        <f t="shared" si="26"/>
        <v>0</v>
      </c>
      <c r="Q175" s="74">
        <f t="shared" si="30"/>
        <v>0</v>
      </c>
      <c r="R175" s="197">
        <f t="shared" si="27"/>
        <v>80.107271744516765</v>
      </c>
      <c r="S175" s="166">
        <f t="shared" si="28"/>
        <v>4.5072717445167712</v>
      </c>
      <c r="T175" s="196"/>
    </row>
    <row r="176" spans="1:20" x14ac:dyDescent="0.25">
      <c r="A176" s="61">
        <f>'A) Base RI'!A177</f>
        <v>5690</v>
      </c>
      <c r="B176" s="72" t="str">
        <f>'A) Base RI'!B177</f>
        <v>Villars-le-Comte</v>
      </c>
      <c r="C176" s="205">
        <v>42820.937390632142</v>
      </c>
      <c r="D176" s="206">
        <v>-39631.139088861426</v>
      </c>
      <c r="E176" s="207">
        <v>0</v>
      </c>
      <c r="F176" s="206">
        <v>0</v>
      </c>
      <c r="G176" s="206">
        <v>0</v>
      </c>
      <c r="H176" s="208">
        <f t="shared" si="23"/>
        <v>3189.7983017707156</v>
      </c>
      <c r="I176" s="272">
        <v>3143.0732894736843</v>
      </c>
      <c r="J176" s="125">
        <f>'B) D RI'!U177</f>
        <v>3375.6488157894737</v>
      </c>
      <c r="K176" s="86">
        <f t="shared" si="29"/>
        <v>1.0148660269722363</v>
      </c>
      <c r="L176" s="43">
        <f>'B) D RI'!S177</f>
        <v>76</v>
      </c>
      <c r="M176" s="43">
        <f t="shared" si="24"/>
        <v>74.985133973027757</v>
      </c>
      <c r="N176" s="166">
        <f>'J) Plafonnement effort'!G175+'J) Plafonnement effort'!H175-'K) Plafonnement aide'!I175</f>
        <v>9.0041167058644476</v>
      </c>
      <c r="O176" s="166">
        <f t="shared" si="25"/>
        <v>83.989250678892205</v>
      </c>
      <c r="P176" s="59">
        <f t="shared" si="26"/>
        <v>0</v>
      </c>
      <c r="Q176" s="74">
        <f t="shared" si="30"/>
        <v>0</v>
      </c>
      <c r="R176" s="197">
        <f t="shared" si="27"/>
        <v>83.989250678892205</v>
      </c>
      <c r="S176" s="166">
        <f t="shared" si="28"/>
        <v>7.9892506788922049</v>
      </c>
      <c r="T176" s="196"/>
    </row>
    <row r="177" spans="1:20" x14ac:dyDescent="0.25">
      <c r="A177" s="61">
        <f>'A) Base RI'!A178</f>
        <v>5692</v>
      </c>
      <c r="B177" s="72" t="str">
        <f>'A) Base RI'!B178</f>
        <v>Vucherens</v>
      </c>
      <c r="C177" s="205">
        <v>241217.34586499166</v>
      </c>
      <c r="D177" s="206">
        <v>58305.437123937474</v>
      </c>
      <c r="E177" s="207">
        <v>0</v>
      </c>
      <c r="F177" s="206">
        <v>0</v>
      </c>
      <c r="G177" s="206">
        <v>0</v>
      </c>
      <c r="H177" s="208">
        <f t="shared" si="23"/>
        <v>299522.78298892913</v>
      </c>
      <c r="I177" s="272">
        <v>15992.362531645569</v>
      </c>
      <c r="J177" s="125">
        <f>'B) D RI'!U178</f>
        <v>15125.888354430383</v>
      </c>
      <c r="K177" s="86">
        <f t="shared" si="29"/>
        <v>18.729114125335496</v>
      </c>
      <c r="L177" s="43">
        <f>'B) D RI'!S178</f>
        <v>79</v>
      </c>
      <c r="M177" s="43">
        <f t="shared" si="24"/>
        <v>60.270885874664501</v>
      </c>
      <c r="N177" s="166">
        <f>'J) Plafonnement effort'!G176+'J) Plafonnement effort'!H176-'K) Plafonnement aide'!I176</f>
        <v>14.471451480790263</v>
      </c>
      <c r="O177" s="166">
        <f t="shared" si="25"/>
        <v>74.742337355454765</v>
      </c>
      <c r="P177" s="59">
        <f t="shared" si="26"/>
        <v>0</v>
      </c>
      <c r="Q177" s="74">
        <f t="shared" si="30"/>
        <v>0</v>
      </c>
      <c r="R177" s="197">
        <f t="shared" si="27"/>
        <v>74.742337355454765</v>
      </c>
      <c r="S177" s="166">
        <f t="shared" si="28"/>
        <v>-4.2576626445452348</v>
      </c>
      <c r="T177" s="196"/>
    </row>
    <row r="178" spans="1:20" x14ac:dyDescent="0.25">
      <c r="A178" s="61">
        <f>'A) Base RI'!A179</f>
        <v>5693</v>
      </c>
      <c r="B178" s="72" t="str">
        <f>'A) Base RI'!B179</f>
        <v>Montanaire</v>
      </c>
      <c r="C178" s="205">
        <v>949495.6481922497</v>
      </c>
      <c r="D178" s="206">
        <v>-502706.64325369103</v>
      </c>
      <c r="E178" s="207">
        <v>0</v>
      </c>
      <c r="F178" s="206">
        <v>0</v>
      </c>
      <c r="G178" s="206">
        <v>0</v>
      </c>
      <c r="H178" s="208">
        <f t="shared" si="23"/>
        <v>446789.00493855868</v>
      </c>
      <c r="I178" s="272">
        <v>59073.542638888895</v>
      </c>
      <c r="J178" s="125">
        <f>'B) D RI'!U179</f>
        <v>62987.795555555575</v>
      </c>
      <c r="K178" s="86">
        <f>H178/I178</f>
        <v>7.5632674964110169</v>
      </c>
      <c r="L178" s="43">
        <f>'B) D RI'!S179</f>
        <v>72</v>
      </c>
      <c r="M178" s="43">
        <f>L178-K178</f>
        <v>64.436732503588985</v>
      </c>
      <c r="N178" s="166">
        <f>'J) Plafonnement effort'!G177+'J) Plafonnement effort'!H177-'K) Plafonnement aide'!I177</f>
        <v>6.4459038774184068</v>
      </c>
      <c r="O178" s="166">
        <f>M178+N178</f>
        <v>70.882636381007387</v>
      </c>
      <c r="P178" s="59">
        <f t="shared" si="26"/>
        <v>0</v>
      </c>
      <c r="Q178" s="74">
        <f>P178*J178</f>
        <v>0</v>
      </c>
      <c r="R178" s="197">
        <f>O178+P178</f>
        <v>70.882636381007387</v>
      </c>
      <c r="S178" s="166">
        <f>R178-L178</f>
        <v>-1.1173636189926128</v>
      </c>
      <c r="T178" s="196"/>
    </row>
    <row r="179" spans="1:20" x14ac:dyDescent="0.25">
      <c r="A179" s="61">
        <f>'A) Base RI'!A180</f>
        <v>5701</v>
      </c>
      <c r="B179" s="72" t="str">
        <f>'A) Base RI'!B180</f>
        <v>Arnex-sur-Nyon</v>
      </c>
      <c r="C179" s="205">
        <v>289474.89642720425</v>
      </c>
      <c r="D179" s="206">
        <v>218949</v>
      </c>
      <c r="E179" s="207">
        <v>0</v>
      </c>
      <c r="F179" s="206">
        <v>0</v>
      </c>
      <c r="G179" s="206">
        <v>0</v>
      </c>
      <c r="H179" s="208">
        <f t="shared" si="23"/>
        <v>508423.89642720425</v>
      </c>
      <c r="I179" s="272">
        <v>14424.549365079363</v>
      </c>
      <c r="J179" s="125">
        <f>'B) D RI'!U180</f>
        <v>14386.456307692306</v>
      </c>
      <c r="K179" s="86">
        <f>H179/I179</f>
        <v>35.247125130858947</v>
      </c>
      <c r="L179" s="43">
        <f>'B) D RI'!S180</f>
        <v>65</v>
      </c>
      <c r="M179" s="43">
        <f>L179-K179</f>
        <v>29.752874869141053</v>
      </c>
      <c r="N179" s="166">
        <f>'J) Plafonnement effort'!G178+'J) Plafonnement effort'!H178-'K) Plafonnement aide'!I178</f>
        <v>37.660846391545967</v>
      </c>
      <c r="O179" s="166">
        <f>M179+N179</f>
        <v>67.413721260687026</v>
      </c>
      <c r="P179" s="59">
        <f t="shared" si="26"/>
        <v>0</v>
      </c>
      <c r="Q179" s="74">
        <f>P179*J179</f>
        <v>0</v>
      </c>
      <c r="R179" s="197">
        <f>O179+P179</f>
        <v>67.413721260687026</v>
      </c>
      <c r="S179" s="166">
        <f>R179-L179</f>
        <v>2.4137212606870264</v>
      </c>
      <c r="T179" s="196"/>
    </row>
    <row r="180" spans="1:20" x14ac:dyDescent="0.25">
      <c r="A180" s="61">
        <f>'A) Base RI'!A181</f>
        <v>5702</v>
      </c>
      <c r="B180" s="72" t="str">
        <f>'A) Base RI'!B181</f>
        <v>Arzier-Le Muids</v>
      </c>
      <c r="C180" s="205">
        <v>2057907.4673269212</v>
      </c>
      <c r="D180" s="206">
        <v>1682557</v>
      </c>
      <c r="E180" s="207">
        <v>0</v>
      </c>
      <c r="F180" s="206">
        <v>0</v>
      </c>
      <c r="G180" s="206">
        <v>0</v>
      </c>
      <c r="H180" s="208">
        <f t="shared" si="23"/>
        <v>3740464.4673269214</v>
      </c>
      <c r="I180" s="272">
        <v>123913.10833333334</v>
      </c>
      <c r="J180" s="125">
        <f>'B) D RI'!U181</f>
        <v>137336.67807291666</v>
      </c>
      <c r="K180" s="86">
        <f t="shared" si="29"/>
        <v>30.186188673960615</v>
      </c>
      <c r="L180" s="43">
        <f>'B) D RI'!S181</f>
        <v>64</v>
      </c>
      <c r="M180" s="43">
        <f t="shared" si="24"/>
        <v>33.813811326039385</v>
      </c>
      <c r="N180" s="166">
        <f>'J) Plafonnement effort'!G179+'J) Plafonnement effort'!H179-'K) Plafonnement aide'!I179</f>
        <v>30.898331518682557</v>
      </c>
      <c r="O180" s="166">
        <f t="shared" si="25"/>
        <v>64.712142844721939</v>
      </c>
      <c r="P180" s="59">
        <f t="shared" si="26"/>
        <v>0</v>
      </c>
      <c r="Q180" s="74">
        <f t="shared" si="30"/>
        <v>0</v>
      </c>
      <c r="R180" s="197">
        <f t="shared" si="27"/>
        <v>64.712142844721939</v>
      </c>
      <c r="S180" s="166">
        <f t="shared" si="28"/>
        <v>0.71214284472193867</v>
      </c>
      <c r="T180" s="196"/>
    </row>
    <row r="181" spans="1:20" x14ac:dyDescent="0.25">
      <c r="A181" s="61">
        <f>'A) Base RI'!A182</f>
        <v>5703</v>
      </c>
      <c r="B181" s="72" t="str">
        <f>'A) Base RI'!B182</f>
        <v>Bassins</v>
      </c>
      <c r="C181" s="205">
        <v>903589.36978969886</v>
      </c>
      <c r="D181" s="206">
        <v>658361.58634159341</v>
      </c>
      <c r="E181" s="207">
        <v>0</v>
      </c>
      <c r="F181" s="206">
        <v>0</v>
      </c>
      <c r="G181" s="206">
        <v>0</v>
      </c>
      <c r="H181" s="208">
        <f t="shared" si="23"/>
        <v>1561950.9561312923</v>
      </c>
      <c r="I181" s="272">
        <v>52680.758714285716</v>
      </c>
      <c r="J181" s="125">
        <f>'B) D RI'!U182</f>
        <v>51617.647746478862</v>
      </c>
      <c r="K181" s="86">
        <f t="shared" si="29"/>
        <v>29.649363339706987</v>
      </c>
      <c r="L181" s="43">
        <f>'B) D RI'!S182</f>
        <v>71</v>
      </c>
      <c r="M181" s="43">
        <f t="shared" si="24"/>
        <v>41.350636660293013</v>
      </c>
      <c r="N181" s="166">
        <f>'J) Plafonnement effort'!G180+'J) Plafonnement effort'!H180-'K) Plafonnement aide'!I180</f>
        <v>23.112592594402944</v>
      </c>
      <c r="O181" s="166">
        <f t="shared" si="25"/>
        <v>64.46322925469596</v>
      </c>
      <c r="P181" s="59">
        <f t="shared" si="26"/>
        <v>0</v>
      </c>
      <c r="Q181" s="74">
        <f t="shared" si="30"/>
        <v>0</v>
      </c>
      <c r="R181" s="197">
        <f t="shared" si="27"/>
        <v>64.46322925469596</v>
      </c>
      <c r="S181" s="166">
        <f t="shared" si="28"/>
        <v>-6.5367707453040396</v>
      </c>
      <c r="T181" s="196"/>
    </row>
    <row r="182" spans="1:20" x14ac:dyDescent="0.25">
      <c r="A182" s="61">
        <f>'A) Base RI'!A183</f>
        <v>5704</v>
      </c>
      <c r="B182" s="72" t="str">
        <f>'A) Base RI'!B183</f>
        <v>Begnins</v>
      </c>
      <c r="C182" s="205">
        <v>2159960.5446333755</v>
      </c>
      <c r="D182" s="206">
        <v>1444994</v>
      </c>
      <c r="E182" s="207">
        <v>0</v>
      </c>
      <c r="F182" s="206">
        <v>0</v>
      </c>
      <c r="G182" s="206">
        <v>0</v>
      </c>
      <c r="H182" s="208">
        <f t="shared" si="23"/>
        <v>3604954.5446333755</v>
      </c>
      <c r="I182" s="272">
        <v>98583.13114427861</v>
      </c>
      <c r="J182" s="125">
        <f>'B) D RI'!U183</f>
        <v>109192.54039800997</v>
      </c>
      <c r="K182" s="86">
        <f t="shared" si="29"/>
        <v>36.567661249848555</v>
      </c>
      <c r="L182" s="43">
        <f>'B) D RI'!S183</f>
        <v>67</v>
      </c>
      <c r="M182" s="43">
        <f t="shared" si="24"/>
        <v>30.432338750151445</v>
      </c>
      <c r="N182" s="166">
        <f>'J) Plafonnement effort'!G181+'J) Plafonnement effort'!H181-'K) Plafonnement aide'!I181</f>
        <v>37.747855573704356</v>
      </c>
      <c r="O182" s="166">
        <f t="shared" si="25"/>
        <v>68.180194323855801</v>
      </c>
      <c r="P182" s="59">
        <f t="shared" si="26"/>
        <v>0</v>
      </c>
      <c r="Q182" s="74">
        <f t="shared" si="30"/>
        <v>0</v>
      </c>
      <c r="R182" s="197">
        <f t="shared" si="27"/>
        <v>68.180194323855801</v>
      </c>
      <c r="S182" s="166">
        <f t="shared" si="28"/>
        <v>1.180194323855801</v>
      </c>
      <c r="T182" s="196"/>
    </row>
    <row r="183" spans="1:20" x14ac:dyDescent="0.25">
      <c r="A183" s="61">
        <f>'A) Base RI'!A184</f>
        <v>5705</v>
      </c>
      <c r="B183" s="72" t="str">
        <f>'A) Base RI'!B184</f>
        <v>Bogis-Bossey</v>
      </c>
      <c r="C183" s="205">
        <v>672729.60289771436</v>
      </c>
      <c r="D183" s="206">
        <v>719352</v>
      </c>
      <c r="E183" s="207">
        <v>0</v>
      </c>
      <c r="F183" s="206">
        <v>0</v>
      </c>
      <c r="G183" s="206">
        <v>0</v>
      </c>
      <c r="H183" s="208">
        <f t="shared" si="23"/>
        <v>1392081.6028977144</v>
      </c>
      <c r="I183" s="272">
        <v>43467.757968750004</v>
      </c>
      <c r="J183" s="125">
        <f>'B) D RI'!U184</f>
        <v>49393.857499999991</v>
      </c>
      <c r="K183" s="86">
        <f t="shared" si="29"/>
        <v>32.025613188941435</v>
      </c>
      <c r="L183" s="43">
        <f>'B) D RI'!S184</f>
        <v>64</v>
      </c>
      <c r="M183" s="43">
        <f t="shared" si="24"/>
        <v>31.974386811058565</v>
      </c>
      <c r="N183" s="166">
        <f>'J) Plafonnement effort'!G182+'J) Plafonnement effort'!H182-'K) Plafonnement aide'!I182</f>
        <v>37.369638788319875</v>
      </c>
      <c r="O183" s="166">
        <f t="shared" si="25"/>
        <v>69.34402559937844</v>
      </c>
      <c r="P183" s="59">
        <f t="shared" si="26"/>
        <v>0</v>
      </c>
      <c r="Q183" s="74">
        <f t="shared" si="30"/>
        <v>0</v>
      </c>
      <c r="R183" s="197">
        <f t="shared" si="27"/>
        <v>69.34402559937844</v>
      </c>
      <c r="S183" s="166">
        <f t="shared" si="28"/>
        <v>5.3440255993784405</v>
      </c>
      <c r="T183" s="196"/>
    </row>
    <row r="184" spans="1:20" x14ac:dyDescent="0.25">
      <c r="A184" s="61">
        <f>'A) Base RI'!A185</f>
        <v>5706</v>
      </c>
      <c r="B184" s="72" t="str">
        <f>'A) Base RI'!B185</f>
        <v>Borex</v>
      </c>
      <c r="C184" s="205">
        <v>2282528.4445229876</v>
      </c>
      <c r="D184" s="206">
        <v>1274939</v>
      </c>
      <c r="E184" s="207">
        <v>0</v>
      </c>
      <c r="F184" s="206">
        <v>0</v>
      </c>
      <c r="G184" s="206">
        <v>0</v>
      </c>
      <c r="H184" s="208">
        <f t="shared" si="23"/>
        <v>3557467.4445229876</v>
      </c>
      <c r="I184" s="272">
        <v>92938.421228070161</v>
      </c>
      <c r="J184" s="125">
        <f>'B) D RI'!U185</f>
        <v>61064.931696969696</v>
      </c>
      <c r="K184" s="86">
        <f t="shared" si="29"/>
        <v>38.277683196199234</v>
      </c>
      <c r="L184" s="43">
        <f>'B) D RI'!S185</f>
        <v>55</v>
      </c>
      <c r="M184" s="43">
        <f t="shared" si="24"/>
        <v>16.722316803800766</v>
      </c>
      <c r="N184" s="166">
        <f>'J) Plafonnement effort'!G183+'J) Plafonnement effort'!H183-'K) Plafonnement aide'!I183</f>
        <v>39.165726448043031</v>
      </c>
      <c r="O184" s="166">
        <f t="shared" si="25"/>
        <v>55.888043251843797</v>
      </c>
      <c r="P184" s="59">
        <f t="shared" si="26"/>
        <v>0</v>
      </c>
      <c r="Q184" s="74">
        <f t="shared" si="30"/>
        <v>0</v>
      </c>
      <c r="R184" s="197">
        <f t="shared" si="27"/>
        <v>55.888043251843797</v>
      </c>
      <c r="S184" s="166">
        <f t="shared" si="28"/>
        <v>0.88804325184379707</v>
      </c>
      <c r="T184" s="196"/>
    </row>
    <row r="185" spans="1:20" x14ac:dyDescent="0.25">
      <c r="A185" s="61">
        <f>'A) Base RI'!A186</f>
        <v>5707</v>
      </c>
      <c r="B185" s="72" t="str">
        <f>'A) Base RI'!B186</f>
        <v>Chavannes-de-Bogis</v>
      </c>
      <c r="C185" s="205">
        <v>2315767.5275088493</v>
      </c>
      <c r="D185" s="206">
        <v>1390666</v>
      </c>
      <c r="E185" s="207">
        <v>0</v>
      </c>
      <c r="F185" s="206">
        <v>0</v>
      </c>
      <c r="G185" s="206">
        <v>0</v>
      </c>
      <c r="H185" s="208">
        <f t="shared" si="23"/>
        <v>3706433.5275088493</v>
      </c>
      <c r="I185" s="272">
        <v>97999.943502824884</v>
      </c>
      <c r="J185" s="125">
        <f>'B) D RI'!U186</f>
        <v>90099.169661016946</v>
      </c>
      <c r="K185" s="86">
        <f t="shared" si="29"/>
        <v>37.820772084445231</v>
      </c>
      <c r="L185" s="43">
        <f>'B) D RI'!S186</f>
        <v>59</v>
      </c>
      <c r="M185" s="43">
        <f t="shared" si="24"/>
        <v>21.179227915554769</v>
      </c>
      <c r="N185" s="166">
        <f>'J) Plafonnement effort'!G184+'J) Plafonnement effort'!H184-'K) Plafonnement aide'!I184</f>
        <v>38.953032319783276</v>
      </c>
      <c r="O185" s="166">
        <f t="shared" si="25"/>
        <v>60.132260235338045</v>
      </c>
      <c r="P185" s="59">
        <f t="shared" si="26"/>
        <v>0</v>
      </c>
      <c r="Q185" s="74">
        <f t="shared" si="30"/>
        <v>0</v>
      </c>
      <c r="R185" s="197">
        <f t="shared" si="27"/>
        <v>60.132260235338045</v>
      </c>
      <c r="S185" s="166">
        <f t="shared" si="28"/>
        <v>1.1322602353380447</v>
      </c>
      <c r="T185" s="196"/>
    </row>
    <row r="186" spans="1:20" x14ac:dyDescent="0.25">
      <c r="A186" s="61">
        <f>'A) Base RI'!A187</f>
        <v>5708</v>
      </c>
      <c r="B186" s="72" t="str">
        <f>'A) Base RI'!B187</f>
        <v>Chavannes-des-Bois</v>
      </c>
      <c r="C186" s="205">
        <v>1263220.5436113039</v>
      </c>
      <c r="D186" s="206">
        <v>915367</v>
      </c>
      <c r="E186" s="207">
        <v>0</v>
      </c>
      <c r="F186" s="206">
        <v>0</v>
      </c>
      <c r="G186" s="206">
        <v>0</v>
      </c>
      <c r="H186" s="208">
        <f t="shared" si="23"/>
        <v>2178587.5436113039</v>
      </c>
      <c r="I186" s="272">
        <v>60199.422131147534</v>
      </c>
      <c r="J186" s="125">
        <f>'B) D RI'!U187</f>
        <v>61956.418196721308</v>
      </c>
      <c r="K186" s="86">
        <f t="shared" si="29"/>
        <v>36.189509242549519</v>
      </c>
      <c r="L186" s="43">
        <f>'B) D RI'!S187</f>
        <v>61</v>
      </c>
      <c r="M186" s="43">
        <f t="shared" si="24"/>
        <v>24.810490757450481</v>
      </c>
      <c r="N186" s="166">
        <f>'J) Plafonnement effort'!G185+'J) Plafonnement effort'!H185-'K) Plafonnement aide'!I185</f>
        <v>40.818030285520869</v>
      </c>
      <c r="O186" s="166">
        <f t="shared" si="25"/>
        <v>65.628521042971357</v>
      </c>
      <c r="P186" s="59">
        <f t="shared" si="26"/>
        <v>0</v>
      </c>
      <c r="Q186" s="74">
        <f t="shared" si="30"/>
        <v>0</v>
      </c>
      <c r="R186" s="197">
        <f t="shared" si="27"/>
        <v>65.628521042971357</v>
      </c>
      <c r="S186" s="166">
        <f t="shared" si="28"/>
        <v>4.6285210429713572</v>
      </c>
      <c r="T186" s="196"/>
    </row>
    <row r="187" spans="1:20" x14ac:dyDescent="0.25">
      <c r="A187" s="61">
        <f>'A) Base RI'!A188</f>
        <v>5709</v>
      </c>
      <c r="B187" s="72" t="str">
        <f>'A) Base RI'!B188</f>
        <v>Chéserex</v>
      </c>
      <c r="C187" s="205">
        <v>3579837.9629764268</v>
      </c>
      <c r="D187" s="206">
        <v>1822564</v>
      </c>
      <c r="E187" s="207">
        <v>0</v>
      </c>
      <c r="F187" s="206">
        <v>0</v>
      </c>
      <c r="G187" s="206">
        <v>0</v>
      </c>
      <c r="H187" s="208">
        <f t="shared" si="23"/>
        <v>5402401.9629764268</v>
      </c>
      <c r="I187" s="272">
        <v>145967.90288461538</v>
      </c>
      <c r="J187" s="125">
        <f>'B) D RI'!U188</f>
        <v>115595.36230769231</v>
      </c>
      <c r="K187" s="86">
        <f t="shared" si="29"/>
        <v>37.010889765587123</v>
      </c>
      <c r="L187" s="43">
        <f>'B) D RI'!S188</f>
        <v>52</v>
      </c>
      <c r="M187" s="43">
        <f t="shared" si="24"/>
        <v>14.989110234412877</v>
      </c>
      <c r="N187" s="166">
        <f>'J) Plafonnement effort'!G186+'J) Plafonnement effort'!H186-'K) Plafonnement aide'!I186</f>
        <v>39.299651963729083</v>
      </c>
      <c r="O187" s="166">
        <f t="shared" si="25"/>
        <v>54.28876219814196</v>
      </c>
      <c r="P187" s="59">
        <f t="shared" si="26"/>
        <v>0</v>
      </c>
      <c r="Q187" s="74">
        <f t="shared" si="30"/>
        <v>0</v>
      </c>
      <c r="R187" s="197">
        <f t="shared" si="27"/>
        <v>54.28876219814196</v>
      </c>
      <c r="S187" s="166">
        <f t="shared" si="28"/>
        <v>2.2887621981419599</v>
      </c>
      <c r="T187" s="196"/>
    </row>
    <row r="188" spans="1:20" x14ac:dyDescent="0.25">
      <c r="A188" s="61">
        <f>'A) Base RI'!A189</f>
        <v>5710</v>
      </c>
      <c r="B188" s="72" t="str">
        <f>'A) Base RI'!B189</f>
        <v>Coinsins</v>
      </c>
      <c r="C188" s="205">
        <v>2625799.1282867054</v>
      </c>
      <c r="D188" s="206">
        <v>993997</v>
      </c>
      <c r="E188" s="207">
        <v>0</v>
      </c>
      <c r="F188" s="206">
        <v>0</v>
      </c>
      <c r="G188" s="206">
        <v>0</v>
      </c>
      <c r="H188" s="208">
        <f t="shared" si="23"/>
        <v>3619796.1282867054</v>
      </c>
      <c r="I188" s="272">
        <v>102493.90717948719</v>
      </c>
      <c r="J188" s="125">
        <f>'B) D RI'!U189</f>
        <v>112738.70512195122</v>
      </c>
      <c r="K188" s="86">
        <f t="shared" si="29"/>
        <v>35.317183507774011</v>
      </c>
      <c r="L188" s="43">
        <f>'B) D RI'!S189</f>
        <v>41</v>
      </c>
      <c r="M188" s="43">
        <f t="shared" si="24"/>
        <v>5.6828164922259887</v>
      </c>
      <c r="N188" s="166">
        <f>'J) Plafonnement effort'!G187+'J) Plafonnement effort'!H187-'K) Plafonnement aide'!I187</f>
        <v>43.76434874055122</v>
      </c>
      <c r="O188" s="166">
        <f t="shared" si="25"/>
        <v>49.447165232777209</v>
      </c>
      <c r="P188" s="59">
        <f t="shared" si="26"/>
        <v>0</v>
      </c>
      <c r="Q188" s="74">
        <f t="shared" si="30"/>
        <v>0</v>
      </c>
      <c r="R188" s="197">
        <f t="shared" si="27"/>
        <v>49.447165232777209</v>
      </c>
      <c r="S188" s="166">
        <f t="shared" si="28"/>
        <v>8.4471652327772091</v>
      </c>
      <c r="T188" s="196"/>
    </row>
    <row r="189" spans="1:20" x14ac:dyDescent="0.25">
      <c r="A189" s="61">
        <f>'A) Base RI'!A190</f>
        <v>5711</v>
      </c>
      <c r="B189" s="72" t="str">
        <f>'A) Base RI'!B190</f>
        <v>Commugny</v>
      </c>
      <c r="C189" s="205">
        <v>5545598.2835800387</v>
      </c>
      <c r="D189" s="206">
        <v>2963820</v>
      </c>
      <c r="E189" s="207">
        <v>0</v>
      </c>
      <c r="F189" s="206">
        <v>0</v>
      </c>
      <c r="G189" s="206">
        <v>0</v>
      </c>
      <c r="H189" s="208">
        <f t="shared" si="23"/>
        <v>8509418.2835800387</v>
      </c>
      <c r="I189" s="272">
        <v>235951.75200265253</v>
      </c>
      <c r="J189" s="125">
        <f>'B) D RI'!U190</f>
        <v>236913.245596817</v>
      </c>
      <c r="K189" s="86">
        <f t="shared" si="29"/>
        <v>36.064230129066289</v>
      </c>
      <c r="L189" s="43">
        <f>'B) D RI'!S190</f>
        <v>58</v>
      </c>
      <c r="M189" s="43">
        <f t="shared" si="24"/>
        <v>21.935769870933711</v>
      </c>
      <c r="N189" s="166">
        <f>'J) Plafonnement effort'!G188+'J) Plafonnement effort'!H188-'K) Plafonnement aide'!I188</f>
        <v>39.546220010915064</v>
      </c>
      <c r="O189" s="166">
        <f t="shared" si="25"/>
        <v>61.481989881848776</v>
      </c>
      <c r="P189" s="59">
        <f t="shared" si="26"/>
        <v>0</v>
      </c>
      <c r="Q189" s="74">
        <f t="shared" si="30"/>
        <v>0</v>
      </c>
      <c r="R189" s="197">
        <f t="shared" si="27"/>
        <v>61.481989881848776</v>
      </c>
      <c r="S189" s="166">
        <f t="shared" si="28"/>
        <v>3.4819898818487758</v>
      </c>
      <c r="T189" s="196"/>
    </row>
    <row r="190" spans="1:20" x14ac:dyDescent="0.25">
      <c r="A190" s="61">
        <f>'A) Base RI'!A191</f>
        <v>5712</v>
      </c>
      <c r="B190" s="72" t="str">
        <f>'A) Base RI'!B191</f>
        <v>Coppet</v>
      </c>
      <c r="C190" s="205">
        <v>7382576.535919806</v>
      </c>
      <c r="D190" s="206">
        <v>3540471</v>
      </c>
      <c r="E190" s="207">
        <v>0</v>
      </c>
      <c r="F190" s="206">
        <v>0</v>
      </c>
      <c r="G190" s="206">
        <v>0</v>
      </c>
      <c r="H190" s="208">
        <f t="shared" si="23"/>
        <v>10923047.535919806</v>
      </c>
      <c r="I190" s="272">
        <v>292636.3057232704</v>
      </c>
      <c r="J190" s="125">
        <f>'B) D RI'!U191</f>
        <v>309642.37182389939</v>
      </c>
      <c r="K190" s="86">
        <f t="shared" si="29"/>
        <v>37.326358084389959</v>
      </c>
      <c r="L190" s="43">
        <f>'B) D RI'!S191</f>
        <v>53</v>
      </c>
      <c r="M190" s="43">
        <f t="shared" si="24"/>
        <v>15.673641915610041</v>
      </c>
      <c r="N190" s="166">
        <f>'J) Plafonnement effort'!G189+'J) Plafonnement effort'!H189-'K) Plafonnement aide'!I189</f>
        <v>42.3772499775706</v>
      </c>
      <c r="O190" s="166">
        <f t="shared" si="25"/>
        <v>58.050891893180641</v>
      </c>
      <c r="P190" s="59">
        <f t="shared" si="26"/>
        <v>0</v>
      </c>
      <c r="Q190" s="74">
        <f t="shared" si="30"/>
        <v>0</v>
      </c>
      <c r="R190" s="197">
        <f t="shared" si="27"/>
        <v>58.050891893180641</v>
      </c>
      <c r="S190" s="166">
        <f t="shared" si="28"/>
        <v>5.0508918931806406</v>
      </c>
      <c r="T190" s="196"/>
    </row>
    <row r="191" spans="1:20" x14ac:dyDescent="0.25">
      <c r="A191" s="61">
        <f>'A) Base RI'!A192</f>
        <v>5713</v>
      </c>
      <c r="B191" s="72" t="str">
        <f>'A) Base RI'!B192</f>
        <v>Crans-près-Céligny</v>
      </c>
      <c r="C191" s="205">
        <v>10207863.169391572</v>
      </c>
      <c r="D191" s="206">
        <v>3528882</v>
      </c>
      <c r="E191" s="207">
        <v>0</v>
      </c>
      <c r="F191" s="206">
        <v>0</v>
      </c>
      <c r="G191" s="206">
        <v>0</v>
      </c>
      <c r="H191" s="208">
        <f t="shared" si="23"/>
        <v>13736745.169391572</v>
      </c>
      <c r="I191" s="272">
        <v>335979.11377358483</v>
      </c>
      <c r="J191" s="125">
        <f>'B) D RI'!U192</f>
        <v>259331.62150943396</v>
      </c>
      <c r="K191" s="86">
        <f t="shared" si="29"/>
        <v>40.885711659590598</v>
      </c>
      <c r="L191" s="43">
        <f>'B) D RI'!S192</f>
        <v>53</v>
      </c>
      <c r="M191" s="43">
        <f t="shared" si="24"/>
        <v>12.114288340409402</v>
      </c>
      <c r="N191" s="166">
        <f>'J) Plafonnement effort'!G190+'J) Plafonnement effort'!H190-'K) Plafonnement aide'!I190</f>
        <v>43.462367727864319</v>
      </c>
      <c r="O191" s="166">
        <f t="shared" si="25"/>
        <v>55.576656068273721</v>
      </c>
      <c r="P191" s="59">
        <f t="shared" si="26"/>
        <v>0</v>
      </c>
      <c r="Q191" s="74">
        <f t="shared" si="30"/>
        <v>0</v>
      </c>
      <c r="R191" s="197">
        <f t="shared" si="27"/>
        <v>55.576656068273721</v>
      </c>
      <c r="S191" s="166">
        <f t="shared" si="28"/>
        <v>2.5766560682737207</v>
      </c>
      <c r="T191" s="196"/>
    </row>
    <row r="192" spans="1:20" x14ac:dyDescent="0.25">
      <c r="A192" s="61">
        <f>'A) Base RI'!A193</f>
        <v>5714</v>
      </c>
      <c r="B192" s="72" t="str">
        <f>'A) Base RI'!B193</f>
        <v>Crassier</v>
      </c>
      <c r="C192" s="205">
        <v>1200905.9189266854</v>
      </c>
      <c r="D192" s="206">
        <v>1030659</v>
      </c>
      <c r="E192" s="207">
        <v>0</v>
      </c>
      <c r="F192" s="206">
        <v>0</v>
      </c>
      <c r="G192" s="206">
        <v>0</v>
      </c>
      <c r="H192" s="208">
        <f t="shared" si="23"/>
        <v>2231564.9189266851</v>
      </c>
      <c r="I192" s="272">
        <v>64394.622031249986</v>
      </c>
      <c r="J192" s="125">
        <f>'B) D RI'!U193</f>
        <v>74990.560937499991</v>
      </c>
      <c r="K192" s="86">
        <f t="shared" si="29"/>
        <v>34.654523134614124</v>
      </c>
      <c r="L192" s="43">
        <f>'B) D RI'!S193</f>
        <v>64</v>
      </c>
      <c r="M192" s="43">
        <f t="shared" si="24"/>
        <v>29.345476865385876</v>
      </c>
      <c r="N192" s="166">
        <f>'J) Plafonnement effort'!G191+'J) Plafonnement effort'!H191-'K) Plafonnement aide'!I191</f>
        <v>37.021014304576553</v>
      </c>
      <c r="O192" s="166">
        <f t="shared" si="25"/>
        <v>66.36649116996243</v>
      </c>
      <c r="P192" s="59">
        <f t="shared" si="26"/>
        <v>0</v>
      </c>
      <c r="Q192" s="74">
        <f t="shared" si="30"/>
        <v>0</v>
      </c>
      <c r="R192" s="197">
        <f t="shared" si="27"/>
        <v>66.36649116996243</v>
      </c>
      <c r="S192" s="166">
        <f t="shared" si="28"/>
        <v>2.3664911699624298</v>
      </c>
      <c r="T192" s="196"/>
    </row>
    <row r="193" spans="1:20" x14ac:dyDescent="0.25">
      <c r="A193" s="61">
        <f>'A) Base RI'!A194</f>
        <v>5715</v>
      </c>
      <c r="B193" s="72" t="str">
        <f>'A) Base RI'!B194</f>
        <v>Duillier</v>
      </c>
      <c r="C193" s="205">
        <v>932546.94567111577</v>
      </c>
      <c r="D193" s="206">
        <v>982039</v>
      </c>
      <c r="E193" s="207">
        <v>0</v>
      </c>
      <c r="F193" s="206">
        <v>0</v>
      </c>
      <c r="G193" s="206">
        <v>0</v>
      </c>
      <c r="H193" s="208">
        <f t="shared" si="23"/>
        <v>1914585.9456711158</v>
      </c>
      <c r="I193" s="272">
        <v>60430.509848484849</v>
      </c>
      <c r="J193" s="125">
        <f>'B) D RI'!U194</f>
        <v>58313.27166666666</v>
      </c>
      <c r="K193" s="86">
        <f t="shared" si="29"/>
        <v>31.682439060525638</v>
      </c>
      <c r="L193" s="43">
        <f>'B) D RI'!S194</f>
        <v>66</v>
      </c>
      <c r="M193" s="43">
        <f t="shared" si="24"/>
        <v>34.317560939474362</v>
      </c>
      <c r="N193" s="166">
        <f>'J) Plafonnement effort'!G192+'J) Plafonnement effort'!H192-'K) Plafonnement aide'!I192</f>
        <v>38.743175253871811</v>
      </c>
      <c r="O193" s="166">
        <f t="shared" si="25"/>
        <v>73.060736193346173</v>
      </c>
      <c r="P193" s="59">
        <f t="shared" si="26"/>
        <v>0</v>
      </c>
      <c r="Q193" s="74">
        <f t="shared" si="30"/>
        <v>0</v>
      </c>
      <c r="R193" s="197">
        <f t="shared" si="27"/>
        <v>73.060736193346173</v>
      </c>
      <c r="S193" s="166">
        <f t="shared" si="28"/>
        <v>7.0607361933461732</v>
      </c>
      <c r="T193" s="196"/>
    </row>
    <row r="194" spans="1:20" x14ac:dyDescent="0.25">
      <c r="A194" s="61">
        <f>'A) Base RI'!A195</f>
        <v>5716</v>
      </c>
      <c r="B194" s="72" t="str">
        <f>'A) Base RI'!B195</f>
        <v>Eysins</v>
      </c>
      <c r="C194" s="205">
        <v>3516213.556201702</v>
      </c>
      <c r="D194" s="206">
        <v>1829515</v>
      </c>
      <c r="E194" s="207">
        <v>0</v>
      </c>
      <c r="F194" s="206">
        <v>0</v>
      </c>
      <c r="G194" s="206">
        <v>0</v>
      </c>
      <c r="H194" s="208">
        <f t="shared" ref="H194:H254" si="38">SUM(C194:G194)</f>
        <v>5345728.556201702</v>
      </c>
      <c r="I194" s="272">
        <v>137603.84967213115</v>
      </c>
      <c r="J194" s="125">
        <f>'B) D RI'!U195</f>
        <v>124360.51655737706</v>
      </c>
      <c r="K194" s="86">
        <f t="shared" si="29"/>
        <v>38.848684603948037</v>
      </c>
      <c r="L194" s="43">
        <f>'B) D RI'!S195</f>
        <v>61</v>
      </c>
      <c r="M194" s="43">
        <f t="shared" si="24"/>
        <v>22.151315396051963</v>
      </c>
      <c r="N194" s="166">
        <f>'J) Plafonnement effort'!G193+'J) Plafonnement effort'!H193-'K) Plafonnement aide'!I193</f>
        <v>40.782019568682863</v>
      </c>
      <c r="O194" s="166">
        <f t="shared" si="25"/>
        <v>62.933334964734826</v>
      </c>
      <c r="P194" s="59">
        <f t="shared" si="26"/>
        <v>0</v>
      </c>
      <c r="Q194" s="74">
        <f t="shared" si="30"/>
        <v>0</v>
      </c>
      <c r="R194" s="197">
        <f t="shared" si="27"/>
        <v>62.933334964734826</v>
      </c>
      <c r="S194" s="166">
        <f t="shared" si="28"/>
        <v>1.9333349647348257</v>
      </c>
      <c r="T194" s="196"/>
    </row>
    <row r="195" spans="1:20" x14ac:dyDescent="0.25">
      <c r="A195" s="61">
        <f>'A) Base RI'!A196</f>
        <v>5717</v>
      </c>
      <c r="B195" s="72" t="str">
        <f>'A) Base RI'!B196</f>
        <v>Founex</v>
      </c>
      <c r="C195" s="205">
        <v>8770383.1893815938</v>
      </c>
      <c r="D195" s="206">
        <v>3937894</v>
      </c>
      <c r="E195" s="207">
        <v>0</v>
      </c>
      <c r="F195" s="206">
        <v>0</v>
      </c>
      <c r="G195" s="206">
        <v>0</v>
      </c>
      <c r="H195" s="208">
        <f t="shared" si="38"/>
        <v>12708277.189381594</v>
      </c>
      <c r="I195" s="272">
        <v>331728.2661403509</v>
      </c>
      <c r="J195" s="125">
        <f>'B) D RI'!U196</f>
        <v>345595.68736842106</v>
      </c>
      <c r="K195" s="86">
        <f t="shared" si="29"/>
        <v>38.309298563074059</v>
      </c>
      <c r="L195" s="43">
        <f>'B) D RI'!S196</f>
        <v>57</v>
      </c>
      <c r="M195" s="43">
        <f t="shared" si="24"/>
        <v>18.690701436925941</v>
      </c>
      <c r="N195" s="166">
        <f>'J) Plafonnement effort'!G194+'J) Plafonnement effort'!H194-'K) Plafonnement aide'!I194</f>
        <v>42.166420700407059</v>
      </c>
      <c r="O195" s="166">
        <f t="shared" si="25"/>
        <v>60.857122137333</v>
      </c>
      <c r="P195" s="59">
        <f t="shared" si="26"/>
        <v>0</v>
      </c>
      <c r="Q195" s="74">
        <f t="shared" si="30"/>
        <v>0</v>
      </c>
      <c r="R195" s="197">
        <f t="shared" si="27"/>
        <v>60.857122137333</v>
      </c>
      <c r="S195" s="166">
        <f t="shared" si="28"/>
        <v>3.8571221373330005</v>
      </c>
      <c r="T195" s="196"/>
    </row>
    <row r="196" spans="1:20" x14ac:dyDescent="0.25">
      <c r="A196" s="61">
        <f>'A) Base RI'!A197</f>
        <v>5718</v>
      </c>
      <c r="B196" s="72" t="str">
        <f>'A) Base RI'!B197</f>
        <v>Genolier</v>
      </c>
      <c r="C196" s="205">
        <v>4384147.0089637255</v>
      </c>
      <c r="D196" s="206">
        <v>2293451</v>
      </c>
      <c r="E196" s="207">
        <v>0</v>
      </c>
      <c r="F196" s="206">
        <v>0</v>
      </c>
      <c r="G196" s="206">
        <v>0</v>
      </c>
      <c r="H196" s="208">
        <f t="shared" si="38"/>
        <v>6677598.0089637255</v>
      </c>
      <c r="I196" s="272">
        <v>178659.63072727274</v>
      </c>
      <c r="J196" s="125">
        <f>'B) D RI'!U197</f>
        <v>147563.83054545455</v>
      </c>
      <c r="K196" s="86">
        <f t="shared" si="29"/>
        <v>37.376087601777279</v>
      </c>
      <c r="L196" s="43">
        <f>'B) D RI'!S197</f>
        <v>55</v>
      </c>
      <c r="M196" s="43">
        <f t="shared" si="24"/>
        <v>17.623912398222721</v>
      </c>
      <c r="N196" s="166">
        <f>'J) Plafonnement effort'!G195+'J) Plafonnement effort'!H195-'K) Plafonnement aide'!I195</f>
        <v>39.195397570118871</v>
      </c>
      <c r="O196" s="166">
        <f t="shared" si="25"/>
        <v>56.819309968341592</v>
      </c>
      <c r="P196" s="59">
        <f t="shared" si="26"/>
        <v>0</v>
      </c>
      <c r="Q196" s="74">
        <f t="shared" si="30"/>
        <v>0</v>
      </c>
      <c r="R196" s="197">
        <f t="shared" si="27"/>
        <v>56.819309968341592</v>
      </c>
      <c r="S196" s="166">
        <f t="shared" si="28"/>
        <v>1.8193099683415923</v>
      </c>
      <c r="T196" s="196"/>
    </row>
    <row r="197" spans="1:20" x14ac:dyDescent="0.25">
      <c r="A197" s="61">
        <f>'A) Base RI'!A198</f>
        <v>5719</v>
      </c>
      <c r="B197" s="72" t="str">
        <f>'A) Base RI'!B198</f>
        <v>Gingins</v>
      </c>
      <c r="C197" s="205">
        <v>1966366.0449111422</v>
      </c>
      <c r="D197" s="206">
        <v>1385080</v>
      </c>
      <c r="E197" s="207">
        <v>0</v>
      </c>
      <c r="F197" s="206">
        <v>0</v>
      </c>
      <c r="G197" s="206">
        <v>0</v>
      </c>
      <c r="H197" s="208">
        <f t="shared" si="38"/>
        <v>3351446.0449111424</v>
      </c>
      <c r="I197" s="272">
        <v>96095.319738562102</v>
      </c>
      <c r="J197" s="125">
        <f>'B) D RI'!U198</f>
        <v>96514.726140350875</v>
      </c>
      <c r="K197" s="86">
        <f t="shared" si="29"/>
        <v>34.876267169193262</v>
      </c>
      <c r="L197" s="43">
        <f>'B) D RI'!S198</f>
        <v>57</v>
      </c>
      <c r="M197" s="43">
        <f t="shared" si="24"/>
        <v>22.123732830806738</v>
      </c>
      <c r="N197" s="166">
        <f>'J) Plafonnement effort'!G196+'J) Plafonnement effort'!H196-'K) Plafonnement aide'!I196</f>
        <v>40.412050396619009</v>
      </c>
      <c r="O197" s="166">
        <f t="shared" si="25"/>
        <v>62.535783227425746</v>
      </c>
      <c r="P197" s="59">
        <f t="shared" si="26"/>
        <v>0</v>
      </c>
      <c r="Q197" s="74">
        <f t="shared" si="30"/>
        <v>0</v>
      </c>
      <c r="R197" s="197">
        <f t="shared" si="27"/>
        <v>62.535783227425746</v>
      </c>
      <c r="S197" s="166">
        <f t="shared" si="28"/>
        <v>5.5357832274257461</v>
      </c>
      <c r="T197" s="196"/>
    </row>
    <row r="198" spans="1:20" x14ac:dyDescent="0.25">
      <c r="A198" s="61">
        <f>'A) Base RI'!A199</f>
        <v>5720</v>
      </c>
      <c r="B198" s="72" t="str">
        <f>'A) Base RI'!B199</f>
        <v>Givrins</v>
      </c>
      <c r="C198" s="205">
        <v>1604653.8995675358</v>
      </c>
      <c r="D198" s="206">
        <v>1121390</v>
      </c>
      <c r="E198" s="207">
        <v>0</v>
      </c>
      <c r="F198" s="206">
        <v>0</v>
      </c>
      <c r="G198" s="206">
        <v>0</v>
      </c>
      <c r="H198" s="208">
        <f t="shared" si="38"/>
        <v>2726043.8995675361</v>
      </c>
      <c r="I198" s="272">
        <v>74875.243533697634</v>
      </c>
      <c r="J198" s="125">
        <f>'B) D RI'!U199</f>
        <v>81037.865428051009</v>
      </c>
      <c r="K198" s="86">
        <f t="shared" si="29"/>
        <v>36.407813462946251</v>
      </c>
      <c r="L198" s="43">
        <f>'B) D RI'!S199</f>
        <v>61</v>
      </c>
      <c r="M198" s="43">
        <f t="shared" si="24"/>
        <v>24.592186537053749</v>
      </c>
      <c r="N198" s="166">
        <f>'J) Plafonnement effort'!G197+'J) Plafonnement effort'!H197-'K) Plafonnement aide'!I197</f>
        <v>43.16955456835634</v>
      </c>
      <c r="O198" s="166">
        <f t="shared" si="25"/>
        <v>67.761741105410096</v>
      </c>
      <c r="P198" s="59">
        <f t="shared" si="26"/>
        <v>0</v>
      </c>
      <c r="Q198" s="74">
        <f t="shared" si="30"/>
        <v>0</v>
      </c>
      <c r="R198" s="197">
        <f t="shared" si="27"/>
        <v>67.761741105410096</v>
      </c>
      <c r="S198" s="166">
        <f t="shared" si="28"/>
        <v>6.7617411054100955</v>
      </c>
      <c r="T198" s="196"/>
    </row>
    <row r="199" spans="1:20" x14ac:dyDescent="0.25">
      <c r="A199" s="61">
        <f>'A) Base RI'!A200</f>
        <v>5721</v>
      </c>
      <c r="B199" s="72" t="str">
        <f>'A) Base RI'!B200</f>
        <v>Gland</v>
      </c>
      <c r="C199" s="205">
        <v>9198468.5583046675</v>
      </c>
      <c r="D199" s="206">
        <v>2774457.5675616283</v>
      </c>
      <c r="E199" s="207">
        <v>0</v>
      </c>
      <c r="F199" s="206">
        <v>0</v>
      </c>
      <c r="G199" s="206">
        <v>0</v>
      </c>
      <c r="H199" s="208">
        <f t="shared" si="38"/>
        <v>11972926.125866296</v>
      </c>
      <c r="I199" s="272">
        <v>545180.59375999996</v>
      </c>
      <c r="J199" s="125">
        <f>'B) D RI'!U200</f>
        <v>556574.85335272714</v>
      </c>
      <c r="K199" s="86">
        <f t="shared" si="29"/>
        <v>21.96139455972094</v>
      </c>
      <c r="L199" s="43">
        <f>'B) D RI'!S200</f>
        <v>62.5</v>
      </c>
      <c r="M199" s="43">
        <f t="shared" si="24"/>
        <v>40.538605440279056</v>
      </c>
      <c r="N199" s="166">
        <f>'J) Plafonnement effort'!G198+'J) Plafonnement effort'!H198-'K) Plafonnement aide'!I198</f>
        <v>25.211724573615847</v>
      </c>
      <c r="O199" s="166">
        <f t="shared" si="25"/>
        <v>65.75033001389491</v>
      </c>
      <c r="P199" s="59">
        <f t="shared" si="26"/>
        <v>0</v>
      </c>
      <c r="Q199" s="74">
        <f t="shared" si="30"/>
        <v>0</v>
      </c>
      <c r="R199" s="197">
        <f t="shared" si="27"/>
        <v>65.75033001389491</v>
      </c>
      <c r="S199" s="166">
        <f t="shared" si="28"/>
        <v>3.2503300138949101</v>
      </c>
      <c r="T199" s="196"/>
    </row>
    <row r="200" spans="1:20" x14ac:dyDescent="0.25">
      <c r="A200" s="61">
        <f>'A) Base RI'!A201</f>
        <v>5722</v>
      </c>
      <c r="B200" s="72" t="str">
        <f>'A) Base RI'!B201</f>
        <v>Grens</v>
      </c>
      <c r="C200" s="205">
        <v>269954.80035715736</v>
      </c>
      <c r="D200" s="206">
        <v>295156</v>
      </c>
      <c r="E200" s="207">
        <v>0</v>
      </c>
      <c r="F200" s="206">
        <v>0</v>
      </c>
      <c r="G200" s="206">
        <v>0</v>
      </c>
      <c r="H200" s="208">
        <f t="shared" si="38"/>
        <v>565110.80035715736</v>
      </c>
      <c r="I200" s="272">
        <v>17973.033684210524</v>
      </c>
      <c r="J200" s="125">
        <f>'B) D RI'!U201</f>
        <v>22888.286666666663</v>
      </c>
      <c r="K200" s="86">
        <f t="shared" si="29"/>
        <v>31.442148848450241</v>
      </c>
      <c r="L200" s="43">
        <f>'B) D RI'!S201</f>
        <v>57</v>
      </c>
      <c r="M200" s="43">
        <f t="shared" si="24"/>
        <v>25.557851151549759</v>
      </c>
      <c r="N200" s="166">
        <f>'J) Plafonnement effort'!G199+'J) Plafonnement effort'!H199-'K) Plafonnement aide'!I199</f>
        <v>34.560199884779337</v>
      </c>
      <c r="O200" s="166">
        <f t="shared" si="25"/>
        <v>60.118051036329092</v>
      </c>
      <c r="P200" s="59">
        <f t="shared" si="26"/>
        <v>0</v>
      </c>
      <c r="Q200" s="74">
        <f t="shared" si="30"/>
        <v>0</v>
      </c>
      <c r="R200" s="197">
        <f t="shared" si="27"/>
        <v>60.118051036329092</v>
      </c>
      <c r="S200" s="166">
        <f t="shared" si="28"/>
        <v>3.1180510363290921</v>
      </c>
      <c r="T200" s="196"/>
    </row>
    <row r="201" spans="1:20" x14ac:dyDescent="0.25">
      <c r="A201" s="61">
        <f>'A) Base RI'!A202</f>
        <v>5723</v>
      </c>
      <c r="B201" s="72" t="str">
        <f>'A) Base RI'!B202</f>
        <v>Mies</v>
      </c>
      <c r="C201" s="205">
        <v>7404686.2201254051</v>
      </c>
      <c r="D201" s="206">
        <v>2392001</v>
      </c>
      <c r="E201" s="207">
        <v>0</v>
      </c>
      <c r="F201" s="206">
        <v>-2063.6437409959162</v>
      </c>
      <c r="G201" s="206">
        <v>0</v>
      </c>
      <c r="H201" s="208">
        <f t="shared" si="38"/>
        <v>9794623.5763844084</v>
      </c>
      <c r="I201" s="272">
        <v>194683.98403846152</v>
      </c>
      <c r="J201" s="125">
        <f>'B) D RI'!U202</f>
        <v>265838.70510204078</v>
      </c>
      <c r="K201" s="86">
        <f t="shared" si="29"/>
        <v>50.310371573500341</v>
      </c>
      <c r="L201" s="43">
        <f>'B) D RI'!S202</f>
        <v>49</v>
      </c>
      <c r="M201" s="43">
        <f t="shared" si="24"/>
        <v>-1.3103715735003405</v>
      </c>
      <c r="N201" s="166">
        <f>'J) Plafonnement effort'!G200+'J) Plafonnement effort'!H200-'K) Plafonnement aide'!I200</f>
        <v>43.651796023533862</v>
      </c>
      <c r="O201" s="166">
        <f t="shared" si="25"/>
        <v>42.341424450033522</v>
      </c>
      <c r="P201" s="59">
        <f t="shared" si="26"/>
        <v>0</v>
      </c>
      <c r="Q201" s="74">
        <f t="shared" si="30"/>
        <v>0</v>
      </c>
      <c r="R201" s="197">
        <f t="shared" si="27"/>
        <v>42.341424450033522</v>
      </c>
      <c r="S201" s="166">
        <f t="shared" si="28"/>
        <v>-6.6585755499664785</v>
      </c>
      <c r="T201" s="196"/>
    </row>
    <row r="202" spans="1:20" x14ac:dyDescent="0.25">
      <c r="A202" s="61">
        <f>'A) Base RI'!A203</f>
        <v>5724</v>
      </c>
      <c r="B202" s="72" t="str">
        <f>'A) Base RI'!B203</f>
        <v>Nyon</v>
      </c>
      <c r="C202" s="205">
        <v>24444160.480630375</v>
      </c>
      <c r="D202" s="206">
        <v>7707097</v>
      </c>
      <c r="E202" s="207">
        <v>0</v>
      </c>
      <c r="F202" s="206">
        <v>0</v>
      </c>
      <c r="G202" s="206">
        <v>0</v>
      </c>
      <c r="H202" s="208">
        <f t="shared" si="38"/>
        <v>32151257.480630375</v>
      </c>
      <c r="I202" s="272">
        <v>1278048.420189155</v>
      </c>
      <c r="J202" s="125">
        <f>'B) D RI'!U203</f>
        <v>1373447.3453593946</v>
      </c>
      <c r="K202" s="86">
        <f t="shared" si="29"/>
        <v>25.156525349698324</v>
      </c>
      <c r="L202" s="43">
        <f>'B) D RI'!S203</f>
        <v>61</v>
      </c>
      <c r="M202" s="43">
        <f t="shared" si="24"/>
        <v>35.843474650301673</v>
      </c>
      <c r="N202" s="166">
        <f>'J) Plafonnement effort'!G201+'J) Plafonnement effort'!H201-'K) Plafonnement aide'!I201</f>
        <v>29.380984298501918</v>
      </c>
      <c r="O202" s="166">
        <f t="shared" si="25"/>
        <v>65.224458948803587</v>
      </c>
      <c r="P202" s="59">
        <f t="shared" si="26"/>
        <v>0</v>
      </c>
      <c r="Q202" s="74">
        <f t="shared" si="30"/>
        <v>0</v>
      </c>
      <c r="R202" s="197">
        <f t="shared" si="27"/>
        <v>65.224458948803587</v>
      </c>
      <c r="S202" s="166">
        <f t="shared" si="28"/>
        <v>4.2244589488035871</v>
      </c>
      <c r="T202" s="196"/>
    </row>
    <row r="203" spans="1:20" x14ac:dyDescent="0.25">
      <c r="A203" s="61">
        <f>'A) Base RI'!A204</f>
        <v>5725</v>
      </c>
      <c r="B203" s="72" t="str">
        <f>'A) Base RI'!B204</f>
        <v>Prangins</v>
      </c>
      <c r="C203" s="205">
        <v>7903261.1267758608</v>
      </c>
      <c r="D203" s="206">
        <v>3981219</v>
      </c>
      <c r="E203" s="207">
        <v>0</v>
      </c>
      <c r="F203" s="206">
        <v>0</v>
      </c>
      <c r="G203" s="206">
        <v>0</v>
      </c>
      <c r="H203" s="208">
        <f t="shared" si="38"/>
        <v>11884480.126775861</v>
      </c>
      <c r="I203" s="272">
        <v>330908.64043367346</v>
      </c>
      <c r="J203" s="125">
        <f>'B) D RI'!U204</f>
        <v>279071.20818877552</v>
      </c>
      <c r="K203" s="86">
        <f t="shared" si="29"/>
        <v>35.914686637377052</v>
      </c>
      <c r="L203" s="43">
        <f>'B) D RI'!S204</f>
        <v>56</v>
      </c>
      <c r="M203" s="43">
        <f t="shared" si="24"/>
        <v>20.085313362622948</v>
      </c>
      <c r="N203" s="166">
        <f>'J) Plafonnement effort'!G202+'J) Plafonnement effort'!H202-'K) Plafonnement aide'!I202</f>
        <v>36.610888765191078</v>
      </c>
      <c r="O203" s="166">
        <f t="shared" si="25"/>
        <v>56.696202127814026</v>
      </c>
      <c r="P203" s="59">
        <f t="shared" si="26"/>
        <v>0</v>
      </c>
      <c r="Q203" s="74">
        <f t="shared" si="30"/>
        <v>0</v>
      </c>
      <c r="R203" s="197">
        <f t="shared" si="27"/>
        <v>56.696202127814026</v>
      </c>
      <c r="S203" s="166">
        <f t="shared" si="28"/>
        <v>0.69620212781402557</v>
      </c>
      <c r="T203" s="196"/>
    </row>
    <row r="204" spans="1:20" x14ac:dyDescent="0.25">
      <c r="A204" s="61">
        <f>'A) Base RI'!A205</f>
        <v>5726</v>
      </c>
      <c r="B204" s="72" t="str">
        <f>'A) Base RI'!B205</f>
        <v>La Rippe</v>
      </c>
      <c r="C204" s="205">
        <v>829292.68270746118</v>
      </c>
      <c r="D204" s="206">
        <v>847416</v>
      </c>
      <c r="E204" s="207">
        <v>0</v>
      </c>
      <c r="F204" s="206">
        <v>0</v>
      </c>
      <c r="G204" s="206">
        <v>0</v>
      </c>
      <c r="H204" s="208">
        <f t="shared" si="38"/>
        <v>1676708.6827074611</v>
      </c>
      <c r="I204" s="272">
        <v>52407.476615384607</v>
      </c>
      <c r="J204" s="125">
        <f>'B) D RI'!U205</f>
        <v>60430.074769230778</v>
      </c>
      <c r="K204" s="86">
        <f t="shared" si="29"/>
        <v>31.993692331587106</v>
      </c>
      <c r="L204" s="43">
        <f>'B) D RI'!S205</f>
        <v>65</v>
      </c>
      <c r="M204" s="43">
        <f t="shared" si="24"/>
        <v>33.006307668412894</v>
      </c>
      <c r="N204" s="166">
        <f>'J) Plafonnement effort'!G203+'J) Plafonnement effort'!H203-'K) Plafonnement aide'!I203</f>
        <v>35.230027001573447</v>
      </c>
      <c r="O204" s="166">
        <f t="shared" si="25"/>
        <v>68.236334669986348</v>
      </c>
      <c r="P204" s="59">
        <f t="shared" si="26"/>
        <v>0</v>
      </c>
      <c r="Q204" s="74">
        <f t="shared" si="30"/>
        <v>0</v>
      </c>
      <c r="R204" s="197">
        <f t="shared" si="27"/>
        <v>68.236334669986348</v>
      </c>
      <c r="S204" s="166">
        <f t="shared" si="28"/>
        <v>3.2363346699863484</v>
      </c>
      <c r="T204" s="196"/>
    </row>
    <row r="205" spans="1:20" x14ac:dyDescent="0.25">
      <c r="A205" s="61">
        <f>'A) Base RI'!A206</f>
        <v>5727</v>
      </c>
      <c r="B205" s="72" t="str">
        <f>'A) Base RI'!B206</f>
        <v>Saint-Cergue</v>
      </c>
      <c r="C205" s="205">
        <v>1510056.6512565147</v>
      </c>
      <c r="D205" s="206">
        <v>735909.7718490666</v>
      </c>
      <c r="E205" s="207">
        <v>0</v>
      </c>
      <c r="F205" s="206">
        <v>0</v>
      </c>
      <c r="G205" s="206">
        <v>0</v>
      </c>
      <c r="H205" s="208">
        <f t="shared" si="38"/>
        <v>2245966.4231055812</v>
      </c>
      <c r="I205" s="272">
        <v>86282.692626262622</v>
      </c>
      <c r="J205" s="125">
        <f>'B) D RI'!U206</f>
        <v>92384.571565656559</v>
      </c>
      <c r="K205" s="86">
        <f t="shared" si="29"/>
        <v>26.030323750257612</v>
      </c>
      <c r="L205" s="43">
        <f>'B) D RI'!S206</f>
        <v>66</v>
      </c>
      <c r="M205" s="43">
        <f t="shared" si="24"/>
        <v>39.969676249742392</v>
      </c>
      <c r="N205" s="166">
        <f>'J) Plafonnement effort'!G204+'J) Plafonnement effort'!H204-'K) Plafonnement aide'!I204</f>
        <v>27.15428985352797</v>
      </c>
      <c r="O205" s="166">
        <f t="shared" si="25"/>
        <v>67.123966103270362</v>
      </c>
      <c r="P205" s="59">
        <f t="shared" si="26"/>
        <v>0</v>
      </c>
      <c r="Q205" s="74">
        <f t="shared" si="30"/>
        <v>0</v>
      </c>
      <c r="R205" s="197">
        <f t="shared" si="27"/>
        <v>67.123966103270362</v>
      </c>
      <c r="S205" s="166">
        <f t="shared" si="28"/>
        <v>1.1239661032703623</v>
      </c>
      <c r="T205" s="196"/>
    </row>
    <row r="206" spans="1:20" x14ac:dyDescent="0.25">
      <c r="A206" s="61">
        <f>'A) Base RI'!A207</f>
        <v>5728</v>
      </c>
      <c r="B206" s="72" t="str">
        <f>'A) Base RI'!B207</f>
        <v>Signy-Avenex</v>
      </c>
      <c r="C206" s="205">
        <v>921118.32207919797</v>
      </c>
      <c r="D206" s="206">
        <v>570334</v>
      </c>
      <c r="E206" s="207">
        <v>0</v>
      </c>
      <c r="F206" s="206">
        <v>0</v>
      </c>
      <c r="G206" s="206">
        <v>0</v>
      </c>
      <c r="H206" s="208">
        <f t="shared" si="38"/>
        <v>1491452.322079198</v>
      </c>
      <c r="I206" s="272">
        <v>39079.357857142866</v>
      </c>
      <c r="J206" s="125">
        <f>'B) D RI'!U207</f>
        <v>33632.696071428574</v>
      </c>
      <c r="K206" s="86">
        <f t="shared" si="29"/>
        <v>38.164709039777442</v>
      </c>
      <c r="L206" s="43">
        <f>'B) D RI'!S207</f>
        <v>56</v>
      </c>
      <c r="M206" s="43">
        <f t="shared" si="24"/>
        <v>17.835290960222558</v>
      </c>
      <c r="N206" s="166">
        <f>'J) Plafonnement effort'!G205+'J) Plafonnement effort'!H205-'K) Plafonnement aide'!I205</f>
        <v>40.021697730139181</v>
      </c>
      <c r="O206" s="166">
        <f t="shared" si="25"/>
        <v>57.856988690361739</v>
      </c>
      <c r="P206" s="59">
        <f t="shared" si="26"/>
        <v>0</v>
      </c>
      <c r="Q206" s="74">
        <f t="shared" si="30"/>
        <v>0</v>
      </c>
      <c r="R206" s="197">
        <f t="shared" si="27"/>
        <v>57.856988690361739</v>
      </c>
      <c r="S206" s="166">
        <f t="shared" si="28"/>
        <v>1.8569886903617387</v>
      </c>
      <c r="T206" s="196"/>
    </row>
    <row r="207" spans="1:20" x14ac:dyDescent="0.25">
      <c r="A207" s="61">
        <f>'A) Base RI'!A208</f>
        <v>5729</v>
      </c>
      <c r="B207" s="72" t="str">
        <f>'A) Base RI'!B208</f>
        <v>Tannay</v>
      </c>
      <c r="C207" s="205">
        <v>3966739.9165091896</v>
      </c>
      <c r="D207" s="206">
        <v>1963139</v>
      </c>
      <c r="E207" s="207">
        <v>0</v>
      </c>
      <c r="F207" s="206">
        <v>0</v>
      </c>
      <c r="G207" s="206">
        <v>0</v>
      </c>
      <c r="H207" s="208">
        <f t="shared" si="38"/>
        <v>5929878.9165091896</v>
      </c>
      <c r="I207" s="272">
        <v>152150.21945355195</v>
      </c>
      <c r="J207" s="125">
        <f>'B) D RI'!U208</f>
        <v>138438.0717486339</v>
      </c>
      <c r="K207" s="86">
        <f t="shared" si="29"/>
        <v>38.97384399316919</v>
      </c>
      <c r="L207" s="43">
        <f>'B) D RI'!S208</f>
        <v>61</v>
      </c>
      <c r="M207" s="43">
        <f t="shared" si="24"/>
        <v>22.02615600683081</v>
      </c>
      <c r="N207" s="166">
        <f>'J) Plafonnement effort'!G206+'J) Plafonnement effort'!H206-'K) Plafonnement aide'!I206</f>
        <v>41.628772815169526</v>
      </c>
      <c r="O207" s="166">
        <f t="shared" si="25"/>
        <v>63.654928822000336</v>
      </c>
      <c r="P207" s="59">
        <f t="shared" si="26"/>
        <v>0</v>
      </c>
      <c r="Q207" s="74">
        <f t="shared" si="30"/>
        <v>0</v>
      </c>
      <c r="R207" s="197">
        <f t="shared" si="27"/>
        <v>63.654928822000336</v>
      </c>
      <c r="S207" s="166">
        <f t="shared" si="28"/>
        <v>2.6549288220003362</v>
      </c>
      <c r="T207" s="196"/>
    </row>
    <row r="208" spans="1:20" x14ac:dyDescent="0.25">
      <c r="A208" s="61">
        <f>'A) Base RI'!A209</f>
        <v>5730</v>
      </c>
      <c r="B208" s="72" t="str">
        <f>'A) Base RI'!B209</f>
        <v>Trélex</v>
      </c>
      <c r="C208" s="205">
        <v>3275148.1275244551</v>
      </c>
      <c r="D208" s="206">
        <v>1849079</v>
      </c>
      <c r="E208" s="207">
        <v>0</v>
      </c>
      <c r="F208" s="206">
        <v>0</v>
      </c>
      <c r="G208" s="206">
        <v>0</v>
      </c>
      <c r="H208" s="208">
        <f t="shared" si="38"/>
        <v>5124227.1275244551</v>
      </c>
      <c r="I208" s="272">
        <v>142541.33792452831</v>
      </c>
      <c r="J208" s="125">
        <f>'B) D RI'!U209</f>
        <v>149022.17830188677</v>
      </c>
      <c r="K208" s="86">
        <f t="shared" si="29"/>
        <v>35.949060126246266</v>
      </c>
      <c r="L208" s="43">
        <f>'B) D RI'!S209</f>
        <v>53</v>
      </c>
      <c r="M208" s="43">
        <f t="shared" si="24"/>
        <v>17.050939873753734</v>
      </c>
      <c r="N208" s="166">
        <f>'J) Plafonnement effort'!G207+'J) Plafonnement effort'!H207-'K) Plafonnement aide'!I207</f>
        <v>40.685553006588556</v>
      </c>
      <c r="O208" s="166">
        <f t="shared" si="25"/>
        <v>57.73649288034229</v>
      </c>
      <c r="P208" s="59">
        <f t="shared" si="26"/>
        <v>0</v>
      </c>
      <c r="Q208" s="74">
        <f t="shared" si="30"/>
        <v>0</v>
      </c>
      <c r="R208" s="197">
        <f t="shared" si="27"/>
        <v>57.73649288034229</v>
      </c>
      <c r="S208" s="166">
        <f t="shared" si="28"/>
        <v>4.7364928803422899</v>
      </c>
      <c r="T208" s="196"/>
    </row>
    <row r="209" spans="1:20" x14ac:dyDescent="0.25">
      <c r="A209" s="61">
        <f>'A) Base RI'!A210</f>
        <v>5731</v>
      </c>
      <c r="B209" s="72" t="str">
        <f>'A) Base RI'!B210</f>
        <v>Le Vaud</v>
      </c>
      <c r="C209" s="205">
        <v>670600.15616870858</v>
      </c>
      <c r="D209" s="206">
        <v>401713.99668688199</v>
      </c>
      <c r="E209" s="207">
        <v>0</v>
      </c>
      <c r="F209" s="206">
        <v>0</v>
      </c>
      <c r="G209" s="206">
        <v>0</v>
      </c>
      <c r="H209" s="208">
        <f t="shared" si="38"/>
        <v>1072314.1528555905</v>
      </c>
      <c r="I209" s="272">
        <v>44154.497155555553</v>
      </c>
      <c r="J209" s="125">
        <f>'B) D RI'!U210</f>
        <v>46449.882799999999</v>
      </c>
      <c r="K209" s="86">
        <f t="shared" si="29"/>
        <v>24.285502540722991</v>
      </c>
      <c r="L209" s="43">
        <f>'B) D RI'!S210</f>
        <v>75</v>
      </c>
      <c r="M209" s="43">
        <f t="shared" si="24"/>
        <v>50.714497459277013</v>
      </c>
      <c r="N209" s="166">
        <f>'J) Plafonnement effort'!G208+'J) Plafonnement effort'!H208-'K) Plafonnement aide'!I208</f>
        <v>25.904670099668518</v>
      </c>
      <c r="O209" s="166">
        <f t="shared" si="25"/>
        <v>76.619167558945534</v>
      </c>
      <c r="P209" s="59">
        <f t="shared" si="26"/>
        <v>0</v>
      </c>
      <c r="Q209" s="74">
        <f t="shared" si="30"/>
        <v>0</v>
      </c>
      <c r="R209" s="197">
        <f t="shared" si="27"/>
        <v>76.619167558945534</v>
      </c>
      <c r="S209" s="166">
        <f t="shared" si="28"/>
        <v>1.6191675589455343</v>
      </c>
      <c r="T209" s="196"/>
    </row>
    <row r="210" spans="1:20" x14ac:dyDescent="0.25">
      <c r="A210" s="61">
        <f>'A) Base RI'!A211</f>
        <v>5732</v>
      </c>
      <c r="B210" s="72" t="str">
        <f>'A) Base RI'!B211</f>
        <v>Vich</v>
      </c>
      <c r="C210" s="205">
        <v>829626.8597071995</v>
      </c>
      <c r="D210" s="206">
        <v>669244</v>
      </c>
      <c r="E210" s="207">
        <v>0</v>
      </c>
      <c r="F210" s="206">
        <v>0</v>
      </c>
      <c r="G210" s="206">
        <v>0</v>
      </c>
      <c r="H210" s="208">
        <f t="shared" si="38"/>
        <v>1498870.8597071995</v>
      </c>
      <c r="I210" s="272">
        <v>40390.161857142848</v>
      </c>
      <c r="J210" s="125">
        <f>'B) D RI'!U211</f>
        <v>57292.894852941186</v>
      </c>
      <c r="K210" s="86">
        <f t="shared" si="29"/>
        <v>37.10980077298526</v>
      </c>
      <c r="L210" s="43">
        <f>'B) D RI'!S211</f>
        <v>68</v>
      </c>
      <c r="M210" s="43">
        <f t="shared" si="24"/>
        <v>30.89019922701474</v>
      </c>
      <c r="N210" s="166">
        <f>'J) Plafonnement effort'!G209+'J) Plafonnement effort'!H209-'K) Plafonnement aide'!I209</f>
        <v>41.619648870482834</v>
      </c>
      <c r="O210" s="166">
        <f t="shared" si="25"/>
        <v>72.509848097497581</v>
      </c>
      <c r="P210" s="59">
        <f t="shared" si="26"/>
        <v>0</v>
      </c>
      <c r="Q210" s="74">
        <f t="shared" si="30"/>
        <v>0</v>
      </c>
      <c r="R210" s="197">
        <f t="shared" si="27"/>
        <v>72.509848097497581</v>
      </c>
      <c r="S210" s="166">
        <f t="shared" si="28"/>
        <v>4.5098480974975814</v>
      </c>
      <c r="T210" s="196"/>
    </row>
    <row r="211" spans="1:20" x14ac:dyDescent="0.25">
      <c r="A211" s="61">
        <f>'A) Base RI'!A212</f>
        <v>5741</v>
      </c>
      <c r="B211" s="72" t="str">
        <f>'A) Base RI'!B212</f>
        <v>L'Abergement</v>
      </c>
      <c r="C211" s="205">
        <v>100932.04745152988</v>
      </c>
      <c r="D211" s="206">
        <v>-59742.328417359298</v>
      </c>
      <c r="E211" s="207">
        <v>0</v>
      </c>
      <c r="F211" s="206">
        <v>0</v>
      </c>
      <c r="G211" s="206">
        <v>0</v>
      </c>
      <c r="H211" s="208">
        <f t="shared" si="38"/>
        <v>41189.719034170586</v>
      </c>
      <c r="I211" s="272">
        <v>5658.7408436213982</v>
      </c>
      <c r="J211" s="125">
        <f>'B) D RI'!U212</f>
        <v>6994.8889917695487</v>
      </c>
      <c r="K211" s="86">
        <f t="shared" si="29"/>
        <v>7.2789548368521135</v>
      </c>
      <c r="L211" s="43">
        <f>'B) D RI'!S212</f>
        <v>81</v>
      </c>
      <c r="M211" s="43">
        <f t="shared" si="24"/>
        <v>73.721045163147892</v>
      </c>
      <c r="N211" s="166">
        <f>'J) Plafonnement effort'!G210+'J) Plafonnement effort'!H210-'K) Plafonnement aide'!I210</f>
        <v>5.9296282554266</v>
      </c>
      <c r="O211" s="166">
        <f t="shared" si="25"/>
        <v>79.650673418574485</v>
      </c>
      <c r="P211" s="59">
        <f t="shared" si="26"/>
        <v>0</v>
      </c>
      <c r="Q211" s="74">
        <f t="shared" si="30"/>
        <v>0</v>
      </c>
      <c r="R211" s="197">
        <f t="shared" si="27"/>
        <v>79.650673418574485</v>
      </c>
      <c r="S211" s="166">
        <f t="shared" si="28"/>
        <v>-1.3493265814255153</v>
      </c>
      <c r="T211" s="196"/>
    </row>
    <row r="212" spans="1:20" x14ac:dyDescent="0.25">
      <c r="A212" s="61">
        <f>'A) Base RI'!A213</f>
        <v>5742</v>
      </c>
      <c r="B212" s="72" t="str">
        <f>'A) Base RI'!B213</f>
        <v>Agiez</v>
      </c>
      <c r="C212" s="205">
        <v>148204.92387243223</v>
      </c>
      <c r="D212" s="206">
        <v>22338.720635460661</v>
      </c>
      <c r="E212" s="207">
        <v>0</v>
      </c>
      <c r="F212" s="206">
        <v>0</v>
      </c>
      <c r="G212" s="206">
        <v>0</v>
      </c>
      <c r="H212" s="208">
        <f t="shared" si="38"/>
        <v>170543.6445078929</v>
      </c>
      <c r="I212" s="272">
        <v>8497.199342105263</v>
      </c>
      <c r="J212" s="125">
        <f>'B) D RI'!U213</f>
        <v>9274.0430263157905</v>
      </c>
      <c r="K212" s="86">
        <f t="shared" si="29"/>
        <v>20.070571213130922</v>
      </c>
      <c r="L212" s="43">
        <f>'B) D RI'!S213</f>
        <v>76</v>
      </c>
      <c r="M212" s="43">
        <f t="shared" si="24"/>
        <v>55.929428786869082</v>
      </c>
      <c r="N212" s="166">
        <f>'J) Plafonnement effort'!G211+'J) Plafonnement effort'!H211-'K) Plafonnement aide'!I211</f>
        <v>17.476524140884635</v>
      </c>
      <c r="O212" s="166">
        <f t="shared" si="25"/>
        <v>73.405952927753717</v>
      </c>
      <c r="P212" s="59">
        <f t="shared" si="26"/>
        <v>0</v>
      </c>
      <c r="Q212" s="74">
        <f t="shared" si="30"/>
        <v>0</v>
      </c>
      <c r="R212" s="197">
        <f t="shared" si="27"/>
        <v>73.405952927753717</v>
      </c>
      <c r="S212" s="166">
        <f t="shared" si="28"/>
        <v>-2.5940470722462834</v>
      </c>
      <c r="T212" s="196"/>
    </row>
    <row r="213" spans="1:20" x14ac:dyDescent="0.25">
      <c r="A213" s="61">
        <f>'A) Base RI'!A214</f>
        <v>5743</v>
      </c>
      <c r="B213" s="72" t="str">
        <f>'A) Base RI'!B214</f>
        <v>Arnex-sur-Orbe</v>
      </c>
      <c r="C213" s="205">
        <v>261546.34717467288</v>
      </c>
      <c r="D213" s="206">
        <v>-70186.383897975553</v>
      </c>
      <c r="E213" s="207">
        <v>0</v>
      </c>
      <c r="F213" s="206">
        <v>0</v>
      </c>
      <c r="G213" s="206">
        <v>0</v>
      </c>
      <c r="H213" s="208">
        <f t="shared" si="38"/>
        <v>191359.96327669732</v>
      </c>
      <c r="I213" s="272">
        <v>14235.259246575342</v>
      </c>
      <c r="J213" s="125">
        <f>'B) D RI'!U214</f>
        <v>17348.834349315071</v>
      </c>
      <c r="K213" s="86">
        <f t="shared" si="29"/>
        <v>13.442674977818468</v>
      </c>
      <c r="L213" s="43">
        <f>'B) D RI'!S214</f>
        <v>73</v>
      </c>
      <c r="M213" s="43">
        <f t="shared" si="24"/>
        <v>59.55732502218153</v>
      </c>
      <c r="N213" s="166">
        <f>'J) Plafonnement effort'!G212+'J) Plafonnement effort'!H212-'K) Plafonnement aide'!I212</f>
        <v>17.443769562123173</v>
      </c>
      <c r="O213" s="166">
        <f t="shared" si="25"/>
        <v>77.001094584304695</v>
      </c>
      <c r="P213" s="59">
        <f t="shared" si="26"/>
        <v>0</v>
      </c>
      <c r="Q213" s="74">
        <f t="shared" si="30"/>
        <v>0</v>
      </c>
      <c r="R213" s="197">
        <f t="shared" si="27"/>
        <v>77.001094584304695</v>
      </c>
      <c r="S213" s="166">
        <f t="shared" si="28"/>
        <v>4.0010945843046954</v>
      </c>
      <c r="T213" s="196"/>
    </row>
    <row r="214" spans="1:20" x14ac:dyDescent="0.25">
      <c r="A214" s="61">
        <f>'A) Base RI'!A215</f>
        <v>5744</v>
      </c>
      <c r="B214" s="72" t="str">
        <f>'A) Base RI'!B215</f>
        <v>Ballaigues</v>
      </c>
      <c r="C214" s="205">
        <v>2649185.8135934947</v>
      </c>
      <c r="D214" s="206">
        <v>1388200</v>
      </c>
      <c r="E214" s="207">
        <v>0</v>
      </c>
      <c r="F214" s="206">
        <v>0</v>
      </c>
      <c r="G214" s="206">
        <v>0</v>
      </c>
      <c r="H214" s="208">
        <f t="shared" si="38"/>
        <v>4037385.8135934947</v>
      </c>
      <c r="I214" s="272">
        <v>99800.089242424234</v>
      </c>
      <c r="J214" s="125">
        <f>'B) D RI'!U215</f>
        <v>53212.458333333336</v>
      </c>
      <c r="K214" s="86">
        <f t="shared" si="29"/>
        <v>40.454731496144127</v>
      </c>
      <c r="L214" s="43">
        <f>'B) D RI'!S215</f>
        <v>66</v>
      </c>
      <c r="M214" s="43">
        <f t="shared" si="24"/>
        <v>25.545268503855873</v>
      </c>
      <c r="N214" s="166">
        <f>'J) Plafonnement effort'!G213+'J) Plafonnement effort'!H213-'K) Plafonnement aide'!I213</f>
        <v>29.171448407814989</v>
      </c>
      <c r="O214" s="166">
        <f t="shared" si="25"/>
        <v>54.716716911670858</v>
      </c>
      <c r="P214" s="59">
        <f t="shared" si="26"/>
        <v>0</v>
      </c>
      <c r="Q214" s="74">
        <f t="shared" si="30"/>
        <v>0</v>
      </c>
      <c r="R214" s="197">
        <f t="shared" si="27"/>
        <v>54.716716911670858</v>
      </c>
      <c r="S214" s="166">
        <f t="shared" si="28"/>
        <v>-11.283283088329142</v>
      </c>
      <c r="T214" s="196"/>
    </row>
    <row r="215" spans="1:20" x14ac:dyDescent="0.25">
      <c r="A215" s="61">
        <f>'A) Base RI'!A216</f>
        <v>5745</v>
      </c>
      <c r="B215" s="72" t="str">
        <f>'A) Base RI'!B216</f>
        <v>Baulmes</v>
      </c>
      <c r="C215" s="205">
        <v>455376.76241015189</v>
      </c>
      <c r="D215" s="206">
        <v>-26923.740127121564</v>
      </c>
      <c r="E215" s="207">
        <v>0</v>
      </c>
      <c r="F215" s="206">
        <v>0</v>
      </c>
      <c r="G215" s="206">
        <v>0</v>
      </c>
      <c r="H215" s="208">
        <f t="shared" si="38"/>
        <v>428453.02228303032</v>
      </c>
      <c r="I215" s="272">
        <v>27286.676794871797</v>
      </c>
      <c r="J215" s="125">
        <f>'B) D RI'!U216</f>
        <v>27522.151666666668</v>
      </c>
      <c r="K215" s="86">
        <f t="shared" si="29"/>
        <v>15.701912897049922</v>
      </c>
      <c r="L215" s="43">
        <f>'B) D RI'!S216</f>
        <v>78</v>
      </c>
      <c r="M215" s="43">
        <f t="shared" si="24"/>
        <v>62.298087102950078</v>
      </c>
      <c r="N215" s="166">
        <f>'J) Plafonnement effort'!G214+'J) Plafonnement effort'!H214-'K) Plafonnement aide'!I214</f>
        <v>6.4468989241307106</v>
      </c>
      <c r="O215" s="166">
        <f t="shared" si="25"/>
        <v>68.744986027080785</v>
      </c>
      <c r="P215" s="59">
        <f t="shared" si="26"/>
        <v>0</v>
      </c>
      <c r="Q215" s="74">
        <f t="shared" si="30"/>
        <v>0</v>
      </c>
      <c r="R215" s="197">
        <f t="shared" si="27"/>
        <v>68.744986027080785</v>
      </c>
      <c r="S215" s="166">
        <f t="shared" si="28"/>
        <v>-9.2550139729192153</v>
      </c>
      <c r="T215" s="196"/>
    </row>
    <row r="216" spans="1:20" x14ac:dyDescent="0.25">
      <c r="A216" s="61">
        <f>'A) Base RI'!A217</f>
        <v>5746</v>
      </c>
      <c r="B216" s="72" t="str">
        <f>'A) Base RI'!B217</f>
        <v>Bavois</v>
      </c>
      <c r="C216" s="205">
        <v>402092.10769342585</v>
      </c>
      <c r="D216" s="206">
        <v>41397.507172814163</v>
      </c>
      <c r="E216" s="207">
        <v>0</v>
      </c>
      <c r="F216" s="206">
        <v>0</v>
      </c>
      <c r="G216" s="206">
        <v>0</v>
      </c>
      <c r="H216" s="208">
        <f t="shared" si="38"/>
        <v>443489.61486624001</v>
      </c>
      <c r="I216" s="272">
        <v>24960.640433789951</v>
      </c>
      <c r="J216" s="125">
        <f>'B) D RI'!U217</f>
        <v>23930.083584474884</v>
      </c>
      <c r="K216" s="86">
        <f t="shared" si="29"/>
        <v>17.767557528927629</v>
      </c>
      <c r="L216" s="43">
        <f>'B) D RI'!S217</f>
        <v>73</v>
      </c>
      <c r="M216" s="43">
        <f t="shared" si="24"/>
        <v>55.232442471072375</v>
      </c>
      <c r="N216" s="166">
        <f>'J) Plafonnement effort'!G215+'J) Plafonnement effort'!H215-'K) Plafonnement aide'!I215</f>
        <v>10.061773587809919</v>
      </c>
      <c r="O216" s="166">
        <f t="shared" si="25"/>
        <v>65.294216058882299</v>
      </c>
      <c r="P216" s="59">
        <f t="shared" si="26"/>
        <v>0</v>
      </c>
      <c r="Q216" s="74">
        <f t="shared" si="30"/>
        <v>0</v>
      </c>
      <c r="R216" s="197">
        <f t="shared" si="27"/>
        <v>65.294216058882299</v>
      </c>
      <c r="S216" s="166">
        <f t="shared" si="28"/>
        <v>-7.7057839411177014</v>
      </c>
      <c r="T216" s="196"/>
    </row>
    <row r="217" spans="1:20" x14ac:dyDescent="0.25">
      <c r="A217" s="61">
        <f>'A) Base RI'!A218</f>
        <v>5747</v>
      </c>
      <c r="B217" s="72" t="str">
        <f>'A) Base RI'!B218</f>
        <v>Bofflens</v>
      </c>
      <c r="C217" s="205">
        <v>88209.924498070424</v>
      </c>
      <c r="D217" s="206">
        <v>27317.135037314816</v>
      </c>
      <c r="E217" s="207">
        <v>0</v>
      </c>
      <c r="F217" s="206">
        <v>0</v>
      </c>
      <c r="G217" s="206">
        <v>0</v>
      </c>
      <c r="H217" s="208">
        <f t="shared" si="38"/>
        <v>115527.05953538524</v>
      </c>
      <c r="I217" s="272">
        <v>5444.2446376811595</v>
      </c>
      <c r="J217" s="125">
        <f>'B) D RI'!U218</f>
        <v>5183.441884057971</v>
      </c>
      <c r="K217" s="86">
        <f t="shared" si="29"/>
        <v>21.220034591353542</v>
      </c>
      <c r="L217" s="43">
        <f>'B) D RI'!S218</f>
        <v>69</v>
      </c>
      <c r="M217" s="43">
        <f t="shared" si="24"/>
        <v>47.779965408646461</v>
      </c>
      <c r="N217" s="166">
        <f>'J) Plafonnement effort'!G216+'J) Plafonnement effort'!H216-'K) Plafonnement aide'!I216</f>
        <v>19.106509633974436</v>
      </c>
      <c r="O217" s="166">
        <f t="shared" si="25"/>
        <v>66.886475042620901</v>
      </c>
      <c r="P217" s="59">
        <f t="shared" si="26"/>
        <v>0</v>
      </c>
      <c r="Q217" s="74">
        <f t="shared" si="30"/>
        <v>0</v>
      </c>
      <c r="R217" s="197">
        <f t="shared" si="27"/>
        <v>66.886475042620901</v>
      </c>
      <c r="S217" s="166">
        <f t="shared" si="28"/>
        <v>-2.1135249573790986</v>
      </c>
      <c r="T217" s="196"/>
    </row>
    <row r="218" spans="1:20" x14ac:dyDescent="0.25">
      <c r="A218" s="61">
        <f>'A) Base RI'!A219</f>
        <v>5748</v>
      </c>
      <c r="B218" s="72" t="str">
        <f>'A) Base RI'!B219</f>
        <v>Bretonnières</v>
      </c>
      <c r="C218" s="205">
        <v>87508.412947076809</v>
      </c>
      <c r="D218" s="206">
        <v>-41658.535657527915</v>
      </c>
      <c r="E218" s="207">
        <v>0</v>
      </c>
      <c r="F218" s="206">
        <v>0</v>
      </c>
      <c r="G218" s="206">
        <v>0</v>
      </c>
      <c r="H218" s="208">
        <f t="shared" si="38"/>
        <v>45849.877289548895</v>
      </c>
      <c r="I218" s="272">
        <v>4853.6245714285715</v>
      </c>
      <c r="J218" s="125">
        <f>'B) D RI'!U219</f>
        <v>6140.8540277777784</v>
      </c>
      <c r="K218" s="86">
        <f t="shared" si="29"/>
        <v>9.4465232353259374</v>
      </c>
      <c r="L218" s="43">
        <f>'B) D RI'!S219</f>
        <v>72</v>
      </c>
      <c r="M218" s="43">
        <f t="shared" si="24"/>
        <v>62.553476764674059</v>
      </c>
      <c r="N218" s="166">
        <f>'J) Plafonnement effort'!G217+'J) Plafonnement effort'!H217-'K) Plafonnement aide'!I217</f>
        <v>9.9879976661149037</v>
      </c>
      <c r="O218" s="166">
        <f t="shared" si="25"/>
        <v>72.541474430788966</v>
      </c>
      <c r="P218" s="59">
        <f t="shared" si="26"/>
        <v>0</v>
      </c>
      <c r="Q218" s="74">
        <f t="shared" si="30"/>
        <v>0</v>
      </c>
      <c r="R218" s="197">
        <f t="shared" si="27"/>
        <v>72.541474430788966</v>
      </c>
      <c r="S218" s="166">
        <f t="shared" si="28"/>
        <v>0.54147443078896629</v>
      </c>
      <c r="T218" s="196"/>
    </row>
    <row r="219" spans="1:20" x14ac:dyDescent="0.25">
      <c r="A219" s="61">
        <f>'A) Base RI'!A220</f>
        <v>5749</v>
      </c>
      <c r="B219" s="72" t="str">
        <f>'A) Base RI'!B220</f>
        <v>Chavornay</v>
      </c>
      <c r="C219" s="205">
        <v>2389368</v>
      </c>
      <c r="D219" s="206">
        <v>-251476</v>
      </c>
      <c r="E219" s="207"/>
      <c r="F219" s="206"/>
      <c r="G219" s="206"/>
      <c r="H219" s="208">
        <v>2137891</v>
      </c>
      <c r="I219" s="272">
        <v>134337</v>
      </c>
      <c r="J219" s="125">
        <f>'B) D RI'!U220</f>
        <v>124346.92667771333</v>
      </c>
      <c r="K219" s="86">
        <f t="shared" ref="K219" si="39">H219/I219</f>
        <v>15.914386952217185</v>
      </c>
      <c r="L219" s="43">
        <f>'B) D RI'!S220</f>
        <v>72.42</v>
      </c>
      <c r="M219" s="43">
        <f t="shared" ref="M219" si="40">L219-K219</f>
        <v>56.505613047782816</v>
      </c>
      <c r="N219" s="166">
        <f>'J) Plafonnement effort'!G218+'J) Plafonnement effort'!H218-'K) Plafonnement aide'!I218</f>
        <v>6.1655042478769211</v>
      </c>
      <c r="O219" s="166">
        <f t="shared" ref="O219" si="41">M219+N219</f>
        <v>62.671117295659741</v>
      </c>
      <c r="P219" s="59">
        <f t="shared" ref="P219" si="42">IF(O219&gt;$P$5,$P$5-O219,0)</f>
        <v>0</v>
      </c>
      <c r="Q219" s="74">
        <f t="shared" ref="Q219" si="43">P219*J219</f>
        <v>0</v>
      </c>
      <c r="R219" s="197">
        <f t="shared" ref="R219" si="44">O219+P219</f>
        <v>62.671117295659741</v>
      </c>
      <c r="S219" s="166">
        <f t="shared" ref="S219" si="45">R219-L219</f>
        <v>-9.7488827043402608</v>
      </c>
      <c r="T219" s="196"/>
    </row>
    <row r="220" spans="1:20" x14ac:dyDescent="0.25">
      <c r="A220" s="61">
        <f>'A) Base RI'!A221</f>
        <v>5750</v>
      </c>
      <c r="B220" s="72" t="str">
        <f>'A) Base RI'!B221</f>
        <v>Les Clées</v>
      </c>
      <c r="C220" s="205">
        <v>67263.397913010631</v>
      </c>
      <c r="D220" s="206">
        <v>-6197.5984543277591</v>
      </c>
      <c r="E220" s="207">
        <v>0</v>
      </c>
      <c r="F220" s="206">
        <v>0</v>
      </c>
      <c r="G220" s="206">
        <v>0</v>
      </c>
      <c r="H220" s="208">
        <f t="shared" si="38"/>
        <v>61065.799458682872</v>
      </c>
      <c r="I220" s="272">
        <v>4745.5921666666673</v>
      </c>
      <c r="J220" s="125">
        <f>'B) D RI'!U221</f>
        <v>4366.1146666666664</v>
      </c>
      <c r="K220" s="86">
        <f t="shared" si="29"/>
        <v>12.867898739300191</v>
      </c>
      <c r="L220" s="43">
        <f>'B) D RI'!S221</f>
        <v>80</v>
      </c>
      <c r="M220" s="43">
        <f t="shared" ref="M220:M261" si="46">L220-K220</f>
        <v>67.132101260699812</v>
      </c>
      <c r="N220" s="166">
        <f>'J) Plafonnement effort'!G219+'J) Plafonnement effort'!H219-'K) Plafonnement aide'!I219</f>
        <v>2.0091097923447432</v>
      </c>
      <c r="O220" s="166">
        <f t="shared" ref="O220:O261" si="47">M220+N220</f>
        <v>69.141211053044557</v>
      </c>
      <c r="P220" s="59">
        <f t="shared" ref="P220:P261" si="48">IF(O220&gt;$P$5,$P$5-O220,0)</f>
        <v>0</v>
      </c>
      <c r="Q220" s="74">
        <f t="shared" si="30"/>
        <v>0</v>
      </c>
      <c r="R220" s="197">
        <f t="shared" ref="R220:R261" si="49">O220+P220</f>
        <v>69.141211053044557</v>
      </c>
      <c r="S220" s="166">
        <f t="shared" ref="S220:S261" si="50">R220-L220</f>
        <v>-10.858788946955443</v>
      </c>
      <c r="T220" s="196"/>
    </row>
    <row r="221" spans="1:20" x14ac:dyDescent="0.25">
      <c r="A221" s="61">
        <f>'A) Base RI'!A222</f>
        <v>5752</v>
      </c>
      <c r="B221" s="72" t="str">
        <f>'A) Base RI'!B222</f>
        <v>Croy</v>
      </c>
      <c r="C221" s="205">
        <v>124325.40404572929</v>
      </c>
      <c r="D221" s="206">
        <v>-12485.932208002429</v>
      </c>
      <c r="E221" s="207">
        <v>0</v>
      </c>
      <c r="F221" s="206">
        <v>0</v>
      </c>
      <c r="G221" s="206">
        <v>0</v>
      </c>
      <c r="H221" s="208">
        <f t="shared" si="38"/>
        <v>111839.47183772686</v>
      </c>
      <c r="I221" s="272">
        <v>8127.3322007722018</v>
      </c>
      <c r="J221" s="125">
        <f>'B) D RI'!U222</f>
        <v>12886.326312741312</v>
      </c>
      <c r="K221" s="86">
        <f t="shared" ref="K221:K265" si="51">H221/I221</f>
        <v>13.760908139955282</v>
      </c>
      <c r="L221" s="43">
        <f>'B) D RI'!S222</f>
        <v>74</v>
      </c>
      <c r="M221" s="43">
        <f t="shared" si="46"/>
        <v>60.239091860044716</v>
      </c>
      <c r="N221" s="166">
        <f>'J) Plafonnement effort'!G220+'J) Plafonnement effort'!H220-'K) Plafonnement aide'!I220</f>
        <v>8.4471872112045645</v>
      </c>
      <c r="O221" s="166">
        <f t="shared" si="47"/>
        <v>68.686279071249288</v>
      </c>
      <c r="P221" s="59">
        <f t="shared" si="48"/>
        <v>0</v>
      </c>
      <c r="Q221" s="74">
        <f t="shared" si="30"/>
        <v>0</v>
      </c>
      <c r="R221" s="197">
        <f t="shared" si="49"/>
        <v>68.686279071249288</v>
      </c>
      <c r="S221" s="166">
        <f t="shared" si="50"/>
        <v>-5.3137209287507119</v>
      </c>
      <c r="T221" s="196"/>
    </row>
    <row r="222" spans="1:20" x14ac:dyDescent="0.25">
      <c r="A222" s="61">
        <f>'A) Base RI'!A223</f>
        <v>5754</v>
      </c>
      <c r="B222" s="72" t="str">
        <f>'A) Base RI'!B223</f>
        <v>Juriens</v>
      </c>
      <c r="C222" s="205">
        <v>95127.016822232035</v>
      </c>
      <c r="D222" s="206">
        <v>-72373.317139949737</v>
      </c>
      <c r="E222" s="207">
        <v>0</v>
      </c>
      <c r="F222" s="206">
        <v>0</v>
      </c>
      <c r="G222" s="206">
        <v>0</v>
      </c>
      <c r="H222" s="208">
        <f t="shared" si="38"/>
        <v>22753.699682282298</v>
      </c>
      <c r="I222" s="272">
        <v>6779.1981012658243</v>
      </c>
      <c r="J222" s="125">
        <f>'B) D RI'!U223</f>
        <v>6475.8115189873415</v>
      </c>
      <c r="K222" s="86">
        <f t="shared" si="51"/>
        <v>3.3563998783327613</v>
      </c>
      <c r="L222" s="43">
        <f>'B) D RI'!S223</f>
        <v>79</v>
      </c>
      <c r="M222" s="43">
        <f t="shared" si="46"/>
        <v>75.643600121667234</v>
      </c>
      <c r="N222" s="166">
        <f>'J) Plafonnement effort'!G221+'J) Plafonnement effort'!H221-'K) Plafonnement aide'!I221</f>
        <v>1.0339955924238673</v>
      </c>
      <c r="O222" s="166">
        <f t="shared" si="47"/>
        <v>76.677595714091098</v>
      </c>
      <c r="P222" s="59">
        <f t="shared" si="48"/>
        <v>0</v>
      </c>
      <c r="Q222" s="74">
        <f t="shared" ref="Q222:Q266" si="52">P222*J222</f>
        <v>0</v>
      </c>
      <c r="R222" s="197">
        <f t="shared" si="49"/>
        <v>76.677595714091098</v>
      </c>
      <c r="S222" s="166">
        <f t="shared" si="50"/>
        <v>-2.3224042859089025</v>
      </c>
      <c r="T222" s="196"/>
    </row>
    <row r="223" spans="1:20" x14ac:dyDescent="0.25">
      <c r="A223" s="61">
        <f>'A) Base RI'!A224</f>
        <v>5755</v>
      </c>
      <c r="B223" s="72" t="str">
        <f>'A) Base RI'!B224</f>
        <v>Lignerolle</v>
      </c>
      <c r="C223" s="205">
        <v>165617.60879501939</v>
      </c>
      <c r="D223" s="206">
        <v>-87018.598312053189</v>
      </c>
      <c r="E223" s="207">
        <v>0</v>
      </c>
      <c r="F223" s="206">
        <v>0</v>
      </c>
      <c r="G223" s="206">
        <v>0</v>
      </c>
      <c r="H223" s="208">
        <f t="shared" si="38"/>
        <v>78599.010482966201</v>
      </c>
      <c r="I223" s="272">
        <v>8994.3248324514989</v>
      </c>
      <c r="J223" s="125">
        <f>'B) D RI'!U224</f>
        <v>8871.4906525573169</v>
      </c>
      <c r="K223" s="86">
        <f t="shared" si="51"/>
        <v>8.7387338068313021</v>
      </c>
      <c r="L223" s="43">
        <f>'B) D RI'!S224</f>
        <v>81</v>
      </c>
      <c r="M223" s="43">
        <f t="shared" si="46"/>
        <v>72.261266193168694</v>
      </c>
      <c r="N223" s="166">
        <f>'J) Plafonnement effort'!G222+'J) Plafonnement effort'!H222-'K) Plafonnement aide'!I222</f>
        <v>-23.382344238210472</v>
      </c>
      <c r="O223" s="166">
        <f t="shared" si="47"/>
        <v>48.878921954958223</v>
      </c>
      <c r="P223" s="59">
        <f t="shared" si="48"/>
        <v>0</v>
      </c>
      <c r="Q223" s="74">
        <f t="shared" si="52"/>
        <v>0</v>
      </c>
      <c r="R223" s="197">
        <f t="shared" si="49"/>
        <v>48.878921954958223</v>
      </c>
      <c r="S223" s="166">
        <f t="shared" si="50"/>
        <v>-32.121078045041777</v>
      </c>
      <c r="T223" s="196"/>
    </row>
    <row r="224" spans="1:20" x14ac:dyDescent="0.25">
      <c r="A224" s="61">
        <f>'A) Base RI'!A225</f>
        <v>5756</v>
      </c>
      <c r="B224" s="72" t="str">
        <f>'A) Base RI'!B225</f>
        <v>Montcherand</v>
      </c>
      <c r="C224" s="205">
        <v>253041.06559855858</v>
      </c>
      <c r="D224" s="206">
        <v>147575.86461702868</v>
      </c>
      <c r="E224" s="207">
        <v>0</v>
      </c>
      <c r="F224" s="206">
        <v>0</v>
      </c>
      <c r="G224" s="206">
        <v>0</v>
      </c>
      <c r="H224" s="208">
        <f t="shared" si="38"/>
        <v>400616.93021558726</v>
      </c>
      <c r="I224" s="272">
        <v>15693.326135265701</v>
      </c>
      <c r="J224" s="125">
        <f>'B) D RI'!U225</f>
        <v>14808.245169082125</v>
      </c>
      <c r="K224" s="86">
        <f t="shared" si="51"/>
        <v>25.527853481317106</v>
      </c>
      <c r="L224" s="43">
        <f>'B) D RI'!S225</f>
        <v>69</v>
      </c>
      <c r="M224" s="43">
        <f t="shared" si="46"/>
        <v>43.472146518682891</v>
      </c>
      <c r="N224" s="166">
        <f>'J) Plafonnement effort'!G223+'J) Plafonnement effort'!H223-'K) Plafonnement aide'!I223</f>
        <v>21.43039704466306</v>
      </c>
      <c r="O224" s="166">
        <f t="shared" si="47"/>
        <v>64.902543563345944</v>
      </c>
      <c r="P224" s="59">
        <f t="shared" si="48"/>
        <v>0</v>
      </c>
      <c r="Q224" s="74">
        <f t="shared" si="52"/>
        <v>0</v>
      </c>
      <c r="R224" s="197">
        <f t="shared" si="49"/>
        <v>64.902543563345944</v>
      </c>
      <c r="S224" s="166">
        <f t="shared" si="50"/>
        <v>-4.0974564366540562</v>
      </c>
      <c r="T224" s="196"/>
    </row>
    <row r="225" spans="1:20" x14ac:dyDescent="0.25">
      <c r="A225" s="61">
        <f>'A) Base RI'!A226</f>
        <v>5757</v>
      </c>
      <c r="B225" s="72" t="str">
        <f>'A) Base RI'!B226</f>
        <v>Orbe</v>
      </c>
      <c r="C225" s="205">
        <v>3888734.9711298039</v>
      </c>
      <c r="D225" s="206">
        <v>-838912.25318064541</v>
      </c>
      <c r="E225" s="207">
        <v>0</v>
      </c>
      <c r="F225" s="206">
        <v>0</v>
      </c>
      <c r="G225" s="206">
        <v>0</v>
      </c>
      <c r="H225" s="208">
        <f t="shared" si="38"/>
        <v>3049822.7179491585</v>
      </c>
      <c r="I225" s="272">
        <v>203617.2094202899</v>
      </c>
      <c r="J225" s="125">
        <f>'B) D RI'!U226</f>
        <v>210430.38166666671</v>
      </c>
      <c r="K225" s="86">
        <f t="shared" si="51"/>
        <v>14.978216854224563</v>
      </c>
      <c r="L225" s="43">
        <f>'B) D RI'!S226</f>
        <v>72</v>
      </c>
      <c r="M225" s="43">
        <f t="shared" si="46"/>
        <v>57.021783145775437</v>
      </c>
      <c r="N225" s="166">
        <f>'J) Plafonnement effort'!G224+'J) Plafonnement effort'!H224-'K) Plafonnement aide'!I224</f>
        <v>9.7209015573579034</v>
      </c>
      <c r="O225" s="166">
        <f t="shared" si="47"/>
        <v>66.742684703133335</v>
      </c>
      <c r="P225" s="59">
        <f t="shared" si="48"/>
        <v>0</v>
      </c>
      <c r="Q225" s="74">
        <f t="shared" si="52"/>
        <v>0</v>
      </c>
      <c r="R225" s="197">
        <f t="shared" si="49"/>
        <v>66.742684703133335</v>
      </c>
      <c r="S225" s="166">
        <f t="shared" si="50"/>
        <v>-5.2573152968666648</v>
      </c>
      <c r="T225" s="196"/>
    </row>
    <row r="226" spans="1:20" x14ac:dyDescent="0.25">
      <c r="A226" s="61">
        <f>'A) Base RI'!A227</f>
        <v>5758</v>
      </c>
      <c r="B226" s="72" t="str">
        <f>'A) Base RI'!B227</f>
        <v>La Praz</v>
      </c>
      <c r="C226" s="205">
        <v>64773.230311817133</v>
      </c>
      <c r="D226" s="206">
        <v>-26804.502696500684</v>
      </c>
      <c r="E226" s="207">
        <v>0</v>
      </c>
      <c r="F226" s="206">
        <v>0</v>
      </c>
      <c r="G226" s="206">
        <v>-16548.251263563026</v>
      </c>
      <c r="H226" s="208">
        <f t="shared" si="38"/>
        <v>21420.476351753423</v>
      </c>
      <c r="I226" s="272">
        <v>3854.1398125836677</v>
      </c>
      <c r="J226" s="125">
        <f>'B) D RI'!U227</f>
        <v>3864.2083668005353</v>
      </c>
      <c r="K226" s="86">
        <f t="shared" si="51"/>
        <v>5.557783939704553</v>
      </c>
      <c r="L226" s="43">
        <f>'B) D RI'!S227</f>
        <v>83</v>
      </c>
      <c r="M226" s="43">
        <f t="shared" si="46"/>
        <v>77.442216060295451</v>
      </c>
      <c r="N226" s="166">
        <f>'J) Plafonnement effort'!G225+'J) Plafonnement effort'!H225-'K) Plafonnement aide'!I225</f>
        <v>0.33153281681984303</v>
      </c>
      <c r="O226" s="166">
        <f t="shared" si="47"/>
        <v>77.773748877115295</v>
      </c>
      <c r="P226" s="59">
        <f t="shared" si="48"/>
        <v>0</v>
      </c>
      <c r="Q226" s="74">
        <f t="shared" si="52"/>
        <v>0</v>
      </c>
      <c r="R226" s="197">
        <f t="shared" si="49"/>
        <v>77.773748877115295</v>
      </c>
      <c r="S226" s="166">
        <f t="shared" si="50"/>
        <v>-5.2262511228847046</v>
      </c>
      <c r="T226" s="196"/>
    </row>
    <row r="227" spans="1:20" x14ac:dyDescent="0.25">
      <c r="A227" s="61">
        <f>'A) Base RI'!A228</f>
        <v>5759</v>
      </c>
      <c r="B227" s="72" t="str">
        <f>'A) Base RI'!B228</f>
        <v>Premier</v>
      </c>
      <c r="C227" s="205">
        <v>66504.003195225814</v>
      </c>
      <c r="D227" s="206">
        <v>-53915.915315633989</v>
      </c>
      <c r="E227" s="207">
        <v>0</v>
      </c>
      <c r="F227" s="206">
        <v>0</v>
      </c>
      <c r="G227" s="206">
        <v>0</v>
      </c>
      <c r="H227" s="208">
        <f t="shared" si="38"/>
        <v>12588.087879591825</v>
      </c>
      <c r="I227" s="272">
        <v>3885.6082716049386</v>
      </c>
      <c r="J227" s="125">
        <f>'B) D RI'!U228</f>
        <v>4558.7250617283944</v>
      </c>
      <c r="K227" s="86">
        <f t="shared" si="51"/>
        <v>3.2396698276515541</v>
      </c>
      <c r="L227" s="43">
        <f>'B) D RI'!S228</f>
        <v>81</v>
      </c>
      <c r="M227" s="43">
        <f t="shared" si="46"/>
        <v>77.760330172348446</v>
      </c>
      <c r="N227" s="166">
        <f>'J) Plafonnement effort'!G226+'J) Plafonnement effort'!H226-'K) Plafonnement aide'!I226</f>
        <v>2.2104688836840722</v>
      </c>
      <c r="O227" s="166">
        <f t="shared" si="47"/>
        <v>79.970799056032519</v>
      </c>
      <c r="P227" s="59">
        <f t="shared" si="48"/>
        <v>0</v>
      </c>
      <c r="Q227" s="74">
        <f t="shared" si="52"/>
        <v>0</v>
      </c>
      <c r="R227" s="197">
        <f t="shared" si="49"/>
        <v>79.970799056032519</v>
      </c>
      <c r="S227" s="166">
        <f t="shared" si="50"/>
        <v>-1.0292009439674814</v>
      </c>
      <c r="T227" s="196"/>
    </row>
    <row r="228" spans="1:20" x14ac:dyDescent="0.25">
      <c r="A228" s="61">
        <f>'A) Base RI'!A229</f>
        <v>5760</v>
      </c>
      <c r="B228" s="72" t="str">
        <f>'A) Base RI'!B229</f>
        <v>Rances</v>
      </c>
      <c r="C228" s="205">
        <v>183478.06565699447</v>
      </c>
      <c r="D228" s="206">
        <v>-24431.853480737831</v>
      </c>
      <c r="E228" s="207">
        <v>0</v>
      </c>
      <c r="F228" s="206">
        <v>0</v>
      </c>
      <c r="G228" s="206">
        <v>0</v>
      </c>
      <c r="H228" s="208">
        <f t="shared" si="38"/>
        <v>159046.21217625664</v>
      </c>
      <c r="I228" s="272">
        <v>11324.841153846155</v>
      </c>
      <c r="J228" s="125">
        <f>'B) D RI'!U229</f>
        <v>11470.274871794873</v>
      </c>
      <c r="K228" s="86">
        <f t="shared" si="51"/>
        <v>14.044012628136615</v>
      </c>
      <c r="L228" s="43">
        <f>'B) D RI'!S229</f>
        <v>78</v>
      </c>
      <c r="M228" s="43">
        <f t="shared" si="46"/>
        <v>63.955987371863387</v>
      </c>
      <c r="N228" s="166">
        <f>'J) Plafonnement effort'!G227+'J) Plafonnement effort'!H227-'K) Plafonnement aide'!I227</f>
        <v>-0.28685952295356287</v>
      </c>
      <c r="O228" s="166">
        <f t="shared" si="47"/>
        <v>63.669127848909824</v>
      </c>
      <c r="P228" s="59">
        <f t="shared" si="48"/>
        <v>0</v>
      </c>
      <c r="Q228" s="74">
        <f t="shared" si="52"/>
        <v>0</v>
      </c>
      <c r="R228" s="197">
        <f t="shared" si="49"/>
        <v>63.669127848909824</v>
      </c>
      <c r="S228" s="166">
        <f t="shared" si="50"/>
        <v>-14.330872151090176</v>
      </c>
      <c r="T228" s="196"/>
    </row>
    <row r="229" spans="1:20" x14ac:dyDescent="0.25">
      <c r="A229" s="61">
        <f>'A) Base RI'!A230</f>
        <v>5761</v>
      </c>
      <c r="B229" s="72" t="str">
        <f>'A) Base RI'!B230</f>
        <v>Romainmôtier-Envy</v>
      </c>
      <c r="C229" s="205">
        <v>211258.21878650197</v>
      </c>
      <c r="D229" s="206">
        <v>-85123.665498967341</v>
      </c>
      <c r="E229" s="207">
        <v>0</v>
      </c>
      <c r="F229" s="206">
        <v>0</v>
      </c>
      <c r="G229" s="206">
        <v>0</v>
      </c>
      <c r="H229" s="208">
        <f t="shared" si="38"/>
        <v>126134.55328753463</v>
      </c>
      <c r="I229" s="272">
        <v>12066.350855263157</v>
      </c>
      <c r="J229" s="125">
        <f>'B) D RI'!U230</f>
        <v>11347.35572368421</v>
      </c>
      <c r="K229" s="86">
        <f t="shared" si="51"/>
        <v>10.453413364200053</v>
      </c>
      <c r="L229" s="43">
        <f>'B) D RI'!S230</f>
        <v>76</v>
      </c>
      <c r="M229" s="43">
        <f t="shared" si="46"/>
        <v>65.54658663579994</v>
      </c>
      <c r="N229" s="166">
        <f>'J) Plafonnement effort'!G228+'J) Plafonnement effort'!H228-'K) Plafonnement aide'!I228</f>
        <v>3.0666446206494875</v>
      </c>
      <c r="O229" s="166">
        <f t="shared" si="47"/>
        <v>68.613231256449424</v>
      </c>
      <c r="P229" s="59">
        <f t="shared" si="48"/>
        <v>0</v>
      </c>
      <c r="Q229" s="74">
        <f t="shared" si="52"/>
        <v>0</v>
      </c>
      <c r="R229" s="197">
        <f t="shared" si="49"/>
        <v>68.613231256449424</v>
      </c>
      <c r="S229" s="166">
        <f t="shared" si="50"/>
        <v>-7.3867687435505758</v>
      </c>
      <c r="T229" s="196"/>
    </row>
    <row r="230" spans="1:20" x14ac:dyDescent="0.25">
      <c r="A230" s="61">
        <f>'A) Base RI'!A231</f>
        <v>5762</v>
      </c>
      <c r="B230" s="72" t="str">
        <f>'A) Base RI'!B231</f>
        <v>Sergey</v>
      </c>
      <c r="C230" s="205">
        <v>62510.988095035093</v>
      </c>
      <c r="D230" s="206">
        <v>7411.595387717447</v>
      </c>
      <c r="E230" s="207">
        <v>0</v>
      </c>
      <c r="F230" s="206">
        <v>0</v>
      </c>
      <c r="G230" s="206">
        <v>-28867.057186525519</v>
      </c>
      <c r="H230" s="208">
        <f t="shared" si="38"/>
        <v>41055.526296227021</v>
      </c>
      <c r="I230" s="272">
        <v>4226.1104938271601</v>
      </c>
      <c r="J230" s="125">
        <f>'B) D RI'!U231</f>
        <v>3104.8092592592593</v>
      </c>
      <c r="K230" s="86">
        <f t="shared" si="51"/>
        <v>9.7147309224864085</v>
      </c>
      <c r="L230" s="43">
        <f>'B) D RI'!S231</f>
        <v>81</v>
      </c>
      <c r="M230" s="43">
        <f t="shared" si="46"/>
        <v>71.28526907751359</v>
      </c>
      <c r="N230" s="166">
        <f>'J) Plafonnement effort'!G229+'J) Plafonnement effort'!H229-'K) Plafonnement aide'!I229</f>
        <v>0.30908290332124855</v>
      </c>
      <c r="O230" s="166">
        <f t="shared" si="47"/>
        <v>71.594351980834844</v>
      </c>
      <c r="P230" s="59">
        <f t="shared" si="48"/>
        <v>0</v>
      </c>
      <c r="Q230" s="74">
        <f t="shared" si="52"/>
        <v>0</v>
      </c>
      <c r="R230" s="197">
        <f t="shared" si="49"/>
        <v>71.594351980834844</v>
      </c>
      <c r="S230" s="166">
        <f t="shared" si="50"/>
        <v>-9.4056480191651559</v>
      </c>
      <c r="T230" s="196"/>
    </row>
    <row r="231" spans="1:20" x14ac:dyDescent="0.25">
      <c r="A231" s="61">
        <f>'A) Base RI'!A232</f>
        <v>5763</v>
      </c>
      <c r="B231" s="72" t="str">
        <f>'A) Base RI'!B232</f>
        <v>Valeyres-sous-Rances</v>
      </c>
      <c r="C231" s="205">
        <v>284713.39208406536</v>
      </c>
      <c r="D231" s="206">
        <v>49828.112595454935</v>
      </c>
      <c r="E231" s="207">
        <v>0</v>
      </c>
      <c r="F231" s="206">
        <v>0</v>
      </c>
      <c r="G231" s="206">
        <v>0</v>
      </c>
      <c r="H231" s="208">
        <f t="shared" si="38"/>
        <v>334541.50467952027</v>
      </c>
      <c r="I231" s="272">
        <v>15753.099264705883</v>
      </c>
      <c r="J231" s="125">
        <f>'B) D RI'!U232</f>
        <v>16129.151764705883</v>
      </c>
      <c r="K231" s="86">
        <f t="shared" si="51"/>
        <v>21.236551554591266</v>
      </c>
      <c r="L231" s="43">
        <f>'B) D RI'!S232</f>
        <v>68</v>
      </c>
      <c r="M231" s="43">
        <f t="shared" si="46"/>
        <v>46.763448445408734</v>
      </c>
      <c r="N231" s="166">
        <f>'J) Plafonnement effort'!G230+'J) Plafonnement effort'!H230-'K) Plafonnement aide'!I230</f>
        <v>14.961929362271974</v>
      </c>
      <c r="O231" s="166">
        <f t="shared" si="47"/>
        <v>61.725377807680708</v>
      </c>
      <c r="P231" s="59">
        <f t="shared" si="48"/>
        <v>0</v>
      </c>
      <c r="Q231" s="74">
        <f t="shared" si="52"/>
        <v>0</v>
      </c>
      <c r="R231" s="197">
        <f t="shared" si="49"/>
        <v>61.725377807680708</v>
      </c>
      <c r="S231" s="166">
        <f t="shared" si="50"/>
        <v>-6.274622192319292</v>
      </c>
      <c r="T231" s="196"/>
    </row>
    <row r="232" spans="1:20" x14ac:dyDescent="0.25">
      <c r="A232" s="61">
        <f>'A) Base RI'!A233</f>
        <v>5764</v>
      </c>
      <c r="B232" s="72" t="str">
        <f>'A) Base RI'!B233</f>
        <v>Vallorbe</v>
      </c>
      <c r="C232" s="205">
        <v>1887952.6830997746</v>
      </c>
      <c r="D232" s="206">
        <v>-1305173.9309682013</v>
      </c>
      <c r="E232" s="207">
        <v>0</v>
      </c>
      <c r="F232" s="206">
        <v>0</v>
      </c>
      <c r="G232" s="206">
        <v>0</v>
      </c>
      <c r="H232" s="208">
        <f t="shared" si="38"/>
        <v>582778.75213157339</v>
      </c>
      <c r="I232" s="272">
        <v>79459.361216216217</v>
      </c>
      <c r="J232" s="125">
        <f>'B) D RI'!U233</f>
        <v>84393.993513513502</v>
      </c>
      <c r="K232" s="86">
        <f t="shared" si="51"/>
        <v>7.3342994860703561</v>
      </c>
      <c r="L232" s="43">
        <f>'B) D RI'!S233</f>
        <v>74</v>
      </c>
      <c r="M232" s="43">
        <f t="shared" si="46"/>
        <v>66.66570051392965</v>
      </c>
      <c r="N232" s="166">
        <f>'J) Plafonnement effort'!G231+'J) Plafonnement effort'!H231-'K) Plafonnement aide'!I231</f>
        <v>-6.0363361023773034</v>
      </c>
      <c r="O232" s="166">
        <f t="shared" si="47"/>
        <v>60.629364411552345</v>
      </c>
      <c r="P232" s="59">
        <f t="shared" si="48"/>
        <v>0</v>
      </c>
      <c r="Q232" s="74">
        <f t="shared" si="52"/>
        <v>0</v>
      </c>
      <c r="R232" s="197">
        <f t="shared" si="49"/>
        <v>60.629364411552345</v>
      </c>
      <c r="S232" s="166">
        <f t="shared" si="50"/>
        <v>-13.370635588447655</v>
      </c>
      <c r="T232" s="196"/>
    </row>
    <row r="233" spans="1:20" x14ac:dyDescent="0.25">
      <c r="A233" s="61">
        <f>'A) Base RI'!A234</f>
        <v>5765</v>
      </c>
      <c r="B233" s="72" t="str">
        <f>'A) Base RI'!B234</f>
        <v>Vaulion</v>
      </c>
      <c r="C233" s="205">
        <v>178794.65116243914</v>
      </c>
      <c r="D233" s="206">
        <v>-147475.56587295164</v>
      </c>
      <c r="E233" s="207">
        <v>0</v>
      </c>
      <c r="F233" s="206">
        <v>0</v>
      </c>
      <c r="G233" s="206">
        <v>0</v>
      </c>
      <c r="H233" s="208">
        <f t="shared" si="38"/>
        <v>31319.085289487499</v>
      </c>
      <c r="I233" s="272">
        <v>10213.279999999997</v>
      </c>
      <c r="J233" s="125">
        <f>'B) D RI'!U234</f>
        <v>9305.5603703703709</v>
      </c>
      <c r="K233" s="86">
        <f t="shared" si="51"/>
        <v>3.0665060871226002</v>
      </c>
      <c r="L233" s="43">
        <f>'B) D RI'!S234</f>
        <v>81</v>
      </c>
      <c r="M233" s="43">
        <f t="shared" si="46"/>
        <v>77.933493912877395</v>
      </c>
      <c r="N233" s="166">
        <f>'J) Plafonnement effort'!G232+'J) Plafonnement effort'!H232-'K) Plafonnement aide'!I232</f>
        <v>-17.544292413861442</v>
      </c>
      <c r="O233" s="166">
        <f t="shared" si="47"/>
        <v>60.389201499015954</v>
      </c>
      <c r="P233" s="59">
        <f t="shared" si="48"/>
        <v>0</v>
      </c>
      <c r="Q233" s="74">
        <f t="shared" si="52"/>
        <v>0</v>
      </c>
      <c r="R233" s="197">
        <f t="shared" si="49"/>
        <v>60.389201499015954</v>
      </c>
      <c r="S233" s="166">
        <f t="shared" si="50"/>
        <v>-20.610798500984046</v>
      </c>
      <c r="T233" s="196"/>
    </row>
    <row r="234" spans="1:20" x14ac:dyDescent="0.25">
      <c r="A234" s="61">
        <f>'A) Base RI'!A235</f>
        <v>5766</v>
      </c>
      <c r="B234" s="72" t="str">
        <f>'A) Base RI'!B235</f>
        <v>Vuiteboeuf</v>
      </c>
      <c r="C234" s="205">
        <v>202072.22929101586</v>
      </c>
      <c r="D234" s="206">
        <v>-32273.514388908981</v>
      </c>
      <c r="E234" s="207">
        <v>0</v>
      </c>
      <c r="F234" s="206">
        <v>0</v>
      </c>
      <c r="G234" s="206">
        <v>0</v>
      </c>
      <c r="H234" s="208">
        <f t="shared" si="38"/>
        <v>169798.71490210688</v>
      </c>
      <c r="I234" s="272">
        <v>13186.718497217067</v>
      </c>
      <c r="J234" s="125">
        <f>'B) D RI'!U235</f>
        <v>11614.965899814471</v>
      </c>
      <c r="K234" s="86">
        <f t="shared" si="51"/>
        <v>12.876495008059912</v>
      </c>
      <c r="L234" s="43">
        <f>'B) D RI'!S235</f>
        <v>77</v>
      </c>
      <c r="M234" s="43">
        <f t="shared" si="46"/>
        <v>64.123504991940081</v>
      </c>
      <c r="N234" s="166">
        <f>'J) Plafonnement effort'!G233+'J) Plafonnement effort'!H233-'K) Plafonnement aide'!I233</f>
        <v>0.55554389174162733</v>
      </c>
      <c r="O234" s="166">
        <f t="shared" si="47"/>
        <v>64.679048883681702</v>
      </c>
      <c r="P234" s="59">
        <f t="shared" si="48"/>
        <v>0</v>
      </c>
      <c r="Q234" s="74">
        <f t="shared" si="52"/>
        <v>0</v>
      </c>
      <c r="R234" s="197">
        <f t="shared" si="49"/>
        <v>64.679048883681702</v>
      </c>
      <c r="S234" s="166">
        <f t="shared" si="50"/>
        <v>-12.320951116318298</v>
      </c>
      <c r="T234" s="196"/>
    </row>
    <row r="235" spans="1:20" x14ac:dyDescent="0.25">
      <c r="A235" s="61">
        <f>'A) Base RI'!A236</f>
        <v>5785</v>
      </c>
      <c r="B235" s="72" t="str">
        <f>'A) Base RI'!B236</f>
        <v>Corcelles-le-Jorat</v>
      </c>
      <c r="C235" s="205">
        <v>248286.40364290649</v>
      </c>
      <c r="D235" s="206">
        <v>130960.94622460657</v>
      </c>
      <c r="E235" s="207">
        <v>0</v>
      </c>
      <c r="F235" s="206">
        <v>0</v>
      </c>
      <c r="G235" s="206">
        <v>0</v>
      </c>
      <c r="H235" s="208">
        <f t="shared" si="38"/>
        <v>379247.34986751305</v>
      </c>
      <c r="I235" s="272">
        <v>15220.93759493671</v>
      </c>
      <c r="J235" s="125">
        <f>'B) D RI'!U236</f>
        <v>12293.058354430379</v>
      </c>
      <c r="K235" s="86">
        <f t="shared" si="51"/>
        <v>24.916162194480766</v>
      </c>
      <c r="L235" s="43">
        <f>'B) D RI'!S236</f>
        <v>79</v>
      </c>
      <c r="M235" s="43">
        <f t="shared" si="46"/>
        <v>54.083837805519238</v>
      </c>
      <c r="N235" s="166">
        <f>'J) Plafonnement effort'!G234+'J) Plafonnement effort'!H234-'K) Plafonnement aide'!I234</f>
        <v>11.245071856636295</v>
      </c>
      <c r="O235" s="166">
        <f t="shared" si="47"/>
        <v>65.328909662155539</v>
      </c>
      <c r="P235" s="59">
        <f t="shared" si="48"/>
        <v>0</v>
      </c>
      <c r="Q235" s="74">
        <f t="shared" si="52"/>
        <v>0</v>
      </c>
      <c r="R235" s="197">
        <f t="shared" si="49"/>
        <v>65.328909662155539</v>
      </c>
      <c r="S235" s="166">
        <f t="shared" si="50"/>
        <v>-13.671090337844461</v>
      </c>
      <c r="T235" s="196"/>
    </row>
    <row r="236" spans="1:20" x14ac:dyDescent="0.25">
      <c r="A236" s="61">
        <f>'A) Base RI'!A237</f>
        <v>5788</v>
      </c>
      <c r="B236" s="72" t="str">
        <f>'A) Base RI'!B237</f>
        <v>Essertes</v>
      </c>
      <c r="C236" s="205">
        <v>130577.87142995908</v>
      </c>
      <c r="D236" s="206">
        <v>37429.864596390398</v>
      </c>
      <c r="E236" s="207">
        <v>0</v>
      </c>
      <c r="F236" s="206">
        <v>0</v>
      </c>
      <c r="G236" s="206">
        <v>0</v>
      </c>
      <c r="H236" s="208">
        <f t="shared" si="38"/>
        <v>168007.73602634948</v>
      </c>
      <c r="I236" s="272">
        <v>9308.1854285714289</v>
      </c>
      <c r="J236" s="125">
        <f>'B) D RI'!U237</f>
        <v>10412.319857142857</v>
      </c>
      <c r="K236" s="86">
        <f t="shared" si="51"/>
        <v>18.0494616609861</v>
      </c>
      <c r="L236" s="43">
        <f>'B) D RI'!S237</f>
        <v>70</v>
      </c>
      <c r="M236" s="43">
        <f t="shared" si="46"/>
        <v>51.950538339013903</v>
      </c>
      <c r="N236" s="166">
        <f>'J) Plafonnement effort'!G235+'J) Plafonnement effort'!H235-'K) Plafonnement aide'!I235</f>
        <v>21.221011503051269</v>
      </c>
      <c r="O236" s="166">
        <f t="shared" si="47"/>
        <v>73.171549842065176</v>
      </c>
      <c r="P236" s="59">
        <f t="shared" si="48"/>
        <v>0</v>
      </c>
      <c r="Q236" s="74">
        <f t="shared" si="52"/>
        <v>0</v>
      </c>
      <c r="R236" s="197">
        <f t="shared" si="49"/>
        <v>73.171549842065176</v>
      </c>
      <c r="S236" s="166">
        <f t="shared" si="50"/>
        <v>3.1715498420651755</v>
      </c>
      <c r="T236" s="196"/>
    </row>
    <row r="237" spans="1:20" x14ac:dyDescent="0.25">
      <c r="A237" s="61">
        <f>'A) Base RI'!A238</f>
        <v>5790</v>
      </c>
      <c r="B237" s="72" t="str">
        <f>'A) Base RI'!B238</f>
        <v>Maracon</v>
      </c>
      <c r="C237" s="205">
        <v>188399.06108970882</v>
      </c>
      <c r="D237" s="206">
        <v>-14826.321687869495</v>
      </c>
      <c r="E237" s="207">
        <v>0</v>
      </c>
      <c r="F237" s="206">
        <v>0</v>
      </c>
      <c r="G237" s="206">
        <v>0</v>
      </c>
      <c r="H237" s="208">
        <f t="shared" si="38"/>
        <v>173572.73940183932</v>
      </c>
      <c r="I237" s="272">
        <v>11539.028947368422</v>
      </c>
      <c r="J237" s="125">
        <f>'B) D RI'!U238</f>
        <v>12107.709078947366</v>
      </c>
      <c r="K237" s="86">
        <f t="shared" si="51"/>
        <v>15.042231039850552</v>
      </c>
      <c r="L237" s="43">
        <f>'B) D RI'!S238</f>
        <v>76</v>
      </c>
      <c r="M237" s="43">
        <f t="shared" si="46"/>
        <v>60.957768960149451</v>
      </c>
      <c r="N237" s="166">
        <f>'J) Plafonnement effort'!G236+'J) Plafonnement effort'!H236-'K) Plafonnement aide'!I236</f>
        <v>16.074344627905248</v>
      </c>
      <c r="O237" s="166">
        <f t="shared" si="47"/>
        <v>77.032113588054699</v>
      </c>
      <c r="P237" s="59">
        <f t="shared" si="48"/>
        <v>0</v>
      </c>
      <c r="Q237" s="74">
        <f t="shared" si="52"/>
        <v>0</v>
      </c>
      <c r="R237" s="197">
        <f t="shared" si="49"/>
        <v>77.032113588054699</v>
      </c>
      <c r="S237" s="166">
        <f t="shared" si="50"/>
        <v>1.032113588054699</v>
      </c>
      <c r="T237" s="196"/>
    </row>
    <row r="238" spans="1:20" x14ac:dyDescent="0.25">
      <c r="A238" s="61">
        <f>'A) Base RI'!A239</f>
        <v>5792</v>
      </c>
      <c r="B238" s="72" t="str">
        <f>'A) Base RI'!B239</f>
        <v>Montpreveyres</v>
      </c>
      <c r="C238" s="205">
        <v>275652.66758139868</v>
      </c>
      <c r="D238" s="206">
        <v>26755.958520147484</v>
      </c>
      <c r="E238" s="207">
        <v>0</v>
      </c>
      <c r="F238" s="206">
        <v>0</v>
      </c>
      <c r="G238" s="206">
        <v>0</v>
      </c>
      <c r="H238" s="208">
        <f t="shared" si="38"/>
        <v>302408.62610154616</v>
      </c>
      <c r="I238" s="272">
        <v>17052.817341772152</v>
      </c>
      <c r="J238" s="125">
        <f>'B) D RI'!U239</f>
        <v>19088.494155844161</v>
      </c>
      <c r="K238" s="86">
        <f t="shared" si="51"/>
        <v>17.733646003512487</v>
      </c>
      <c r="L238" s="43">
        <f>'B) D RI'!S239</f>
        <v>77</v>
      </c>
      <c r="M238" s="43">
        <f t="shared" si="46"/>
        <v>59.26635399648751</v>
      </c>
      <c r="N238" s="166">
        <f>'J) Plafonnement effort'!G237+'J) Plafonnement effort'!H237-'K) Plafonnement aide'!I237</f>
        <v>15.987532152406487</v>
      </c>
      <c r="O238" s="166">
        <f t="shared" si="47"/>
        <v>75.253886148893997</v>
      </c>
      <c r="P238" s="59">
        <f t="shared" si="48"/>
        <v>0</v>
      </c>
      <c r="Q238" s="74">
        <f t="shared" si="52"/>
        <v>0</v>
      </c>
      <c r="R238" s="197">
        <f t="shared" si="49"/>
        <v>75.253886148893997</v>
      </c>
      <c r="S238" s="166">
        <f t="shared" si="50"/>
        <v>-1.7461138511060028</v>
      </c>
      <c r="T238" s="196"/>
    </row>
    <row r="239" spans="1:20" x14ac:dyDescent="0.25">
      <c r="A239" s="61">
        <f>'A) Base RI'!A240</f>
        <v>5798</v>
      </c>
      <c r="B239" s="72" t="str">
        <f>'A) Base RI'!B240</f>
        <v>Ropraz</v>
      </c>
      <c r="C239" s="205">
        <v>201201.45926845493</v>
      </c>
      <c r="D239" s="206">
        <v>8375.3113146137912</v>
      </c>
      <c r="E239" s="207">
        <v>0</v>
      </c>
      <c r="F239" s="206">
        <v>0</v>
      </c>
      <c r="G239" s="206">
        <v>0</v>
      </c>
      <c r="H239" s="208">
        <f t="shared" si="38"/>
        <v>209576.77058306872</v>
      </c>
      <c r="I239" s="272">
        <v>11308.746838709676</v>
      </c>
      <c r="J239" s="125">
        <f>'B) D RI'!U240</f>
        <v>9558.3067096774193</v>
      </c>
      <c r="K239" s="86">
        <f t="shared" si="51"/>
        <v>18.532271839855014</v>
      </c>
      <c r="L239" s="43">
        <f>'B) D RI'!S240</f>
        <v>77.5</v>
      </c>
      <c r="M239" s="43">
        <f t="shared" si="46"/>
        <v>58.967728160144986</v>
      </c>
      <c r="N239" s="166">
        <f>'J) Plafonnement effort'!G238+'J) Plafonnement effort'!H238-'K) Plafonnement aide'!I238</f>
        <v>4.5649256476150715</v>
      </c>
      <c r="O239" s="166">
        <f t="shared" si="47"/>
        <v>63.532653807760056</v>
      </c>
      <c r="P239" s="59">
        <f t="shared" si="48"/>
        <v>0</v>
      </c>
      <c r="Q239" s="74">
        <f t="shared" si="52"/>
        <v>0</v>
      </c>
      <c r="R239" s="197">
        <f t="shared" si="49"/>
        <v>63.532653807760056</v>
      </c>
      <c r="S239" s="166">
        <f t="shared" si="50"/>
        <v>-13.967346192239944</v>
      </c>
      <c r="T239" s="196"/>
    </row>
    <row r="240" spans="1:20" x14ac:dyDescent="0.25">
      <c r="A240" s="61">
        <f>'A) Base RI'!A241</f>
        <v>5799</v>
      </c>
      <c r="B240" s="72" t="str">
        <f>'A) Base RI'!B241</f>
        <v>Servion</v>
      </c>
      <c r="C240" s="205">
        <v>1250110.9029128342</v>
      </c>
      <c r="D240" s="206">
        <v>567485.37591802131</v>
      </c>
      <c r="E240" s="207">
        <v>0</v>
      </c>
      <c r="F240" s="206">
        <v>0</v>
      </c>
      <c r="G240" s="206">
        <v>0</v>
      </c>
      <c r="H240" s="208">
        <f t="shared" si="38"/>
        <v>1817596.2788308556</v>
      </c>
      <c r="I240" s="272">
        <v>68357.530144927528</v>
      </c>
      <c r="J240" s="125">
        <f>'B) D RI'!U241</f>
        <v>51366.477681159435</v>
      </c>
      <c r="K240" s="86">
        <f t="shared" si="51"/>
        <v>26.589554581291882</v>
      </c>
      <c r="L240" s="43">
        <f>'B) D RI'!S241</f>
        <v>69</v>
      </c>
      <c r="M240" s="43">
        <f t="shared" si="46"/>
        <v>42.410445418708122</v>
      </c>
      <c r="N240" s="166">
        <f>'J) Plafonnement effort'!G239+'J) Plafonnement effort'!H239-'K) Plafonnement aide'!I239</f>
        <v>14.273460379686279</v>
      </c>
      <c r="O240" s="166">
        <f t="shared" si="47"/>
        <v>56.683905798394399</v>
      </c>
      <c r="P240" s="59">
        <f t="shared" si="48"/>
        <v>0</v>
      </c>
      <c r="Q240" s="74">
        <f t="shared" si="52"/>
        <v>0</v>
      </c>
      <c r="R240" s="197">
        <f t="shared" si="49"/>
        <v>56.683905798394399</v>
      </c>
      <c r="S240" s="166">
        <f t="shared" si="50"/>
        <v>-12.316094201605601</v>
      </c>
      <c r="T240" s="196"/>
    </row>
    <row r="241" spans="1:20" x14ac:dyDescent="0.25">
      <c r="A241" s="61">
        <f>'A) Base RI'!A242</f>
        <v>5803</v>
      </c>
      <c r="B241" s="72" t="str">
        <f>'A) Base RI'!B242</f>
        <v>Vulliens</v>
      </c>
      <c r="C241" s="205">
        <v>291871.9857247622</v>
      </c>
      <c r="D241" s="206">
        <v>77855.123913600284</v>
      </c>
      <c r="E241" s="207">
        <v>0</v>
      </c>
      <c r="F241" s="206">
        <v>0</v>
      </c>
      <c r="G241" s="206">
        <v>-16002.931982258231</v>
      </c>
      <c r="H241" s="208">
        <f t="shared" si="38"/>
        <v>353724.17765610426</v>
      </c>
      <c r="I241" s="272">
        <v>14122.679753086417</v>
      </c>
      <c r="J241" s="125">
        <f>'B) D RI'!U242</f>
        <v>12589.149382716048</v>
      </c>
      <c r="K241" s="86">
        <f t="shared" si="51"/>
        <v>25.046533932683719</v>
      </c>
      <c r="L241" s="43">
        <f>'B) D RI'!S242</f>
        <v>81</v>
      </c>
      <c r="M241" s="43">
        <f t="shared" si="46"/>
        <v>55.953466067316285</v>
      </c>
      <c r="N241" s="166">
        <f>'J) Plafonnement effort'!G240+'J) Plafonnement effort'!H240-'K) Plafonnement aide'!I240</f>
        <v>15.433913692465698</v>
      </c>
      <c r="O241" s="166">
        <f t="shared" si="47"/>
        <v>71.387379759781979</v>
      </c>
      <c r="P241" s="59">
        <f t="shared" si="48"/>
        <v>0</v>
      </c>
      <c r="Q241" s="74">
        <f t="shared" si="52"/>
        <v>0</v>
      </c>
      <c r="R241" s="197">
        <f t="shared" si="49"/>
        <v>71.387379759781979</v>
      </c>
      <c r="S241" s="166">
        <f t="shared" si="50"/>
        <v>-9.6126202402180212</v>
      </c>
      <c r="T241" s="196"/>
    </row>
    <row r="242" spans="1:20" x14ac:dyDescent="0.25">
      <c r="A242" s="61">
        <f>'A) Base RI'!A243</f>
        <v>5804</v>
      </c>
      <c r="B242" s="72" t="str">
        <f>'A) Base RI'!B243</f>
        <v>Jorat-Menthue</v>
      </c>
      <c r="C242" s="205">
        <v>632418.2120366788</v>
      </c>
      <c r="D242" s="206">
        <v>73062.637628600234</v>
      </c>
      <c r="E242" s="207">
        <v>0</v>
      </c>
      <c r="F242" s="206">
        <v>0</v>
      </c>
      <c r="G242" s="206">
        <v>0</v>
      </c>
      <c r="H242" s="208">
        <f t="shared" si="38"/>
        <v>705480.84966527903</v>
      </c>
      <c r="I242" s="272">
        <v>42711.248333333329</v>
      </c>
      <c r="J242" s="125">
        <f>'B) D RI'!U243</f>
        <v>41163.666944444441</v>
      </c>
      <c r="K242" s="86">
        <f>H242/I242</f>
        <v>16.517448615864911</v>
      </c>
      <c r="L242" s="43">
        <f>'B) D RI'!S243</f>
        <v>72</v>
      </c>
      <c r="M242" s="43">
        <f>L242-K242</f>
        <v>55.482551384135093</v>
      </c>
      <c r="N242" s="166">
        <f>'J) Plafonnement effort'!G241+'J) Plafonnement effort'!H241-'K) Plafonnement aide'!I241</f>
        <v>7.1721822441417853</v>
      </c>
      <c r="O242" s="166">
        <f>M242+N242</f>
        <v>62.65473362827688</v>
      </c>
      <c r="P242" s="59">
        <f t="shared" si="48"/>
        <v>0</v>
      </c>
      <c r="Q242" s="74">
        <f>P242*J242</f>
        <v>0</v>
      </c>
      <c r="R242" s="197">
        <f>O242+P242</f>
        <v>62.65473362827688</v>
      </c>
      <c r="S242" s="166">
        <f>R242-L242</f>
        <v>-9.3452663717231204</v>
      </c>
      <c r="T242" s="196"/>
    </row>
    <row r="243" spans="1:20" x14ac:dyDescent="0.25">
      <c r="A243" s="61">
        <f>'A) Base RI'!A244</f>
        <v>5805</v>
      </c>
      <c r="B243" s="72" t="str">
        <f>'A) Base RI'!B244</f>
        <v>Oron</v>
      </c>
      <c r="C243" s="205">
        <v>2274752.4934733254</v>
      </c>
      <c r="D243" s="206">
        <v>-787657.3647734886</v>
      </c>
      <c r="E243" s="207">
        <v>0</v>
      </c>
      <c r="F243" s="206">
        <v>0</v>
      </c>
      <c r="G243" s="206">
        <v>0</v>
      </c>
      <c r="H243" s="208">
        <f t="shared" si="38"/>
        <v>1487095.1286998368</v>
      </c>
      <c r="I243" s="272">
        <v>145299.16422924903</v>
      </c>
      <c r="J243" s="125">
        <f>'B) D RI'!U244</f>
        <v>146504.50986824767</v>
      </c>
      <c r="K243" s="86">
        <f>H243/I243</f>
        <v>10.234712199400811</v>
      </c>
      <c r="L243" s="43">
        <f>'B) D RI'!S244</f>
        <v>69</v>
      </c>
      <c r="M243" s="43">
        <f>L243-K243</f>
        <v>58.765287800599189</v>
      </c>
      <c r="N243" s="166">
        <f>'J) Plafonnement effort'!G242+'J) Plafonnement effort'!H242-'K) Plafonnement aide'!I242</f>
        <v>6.0785849265145657</v>
      </c>
      <c r="O243" s="166">
        <f>M243+N243</f>
        <v>64.843872727113762</v>
      </c>
      <c r="P243" s="59">
        <f t="shared" si="48"/>
        <v>0</v>
      </c>
      <c r="Q243" s="74">
        <f>P243*J243</f>
        <v>0</v>
      </c>
      <c r="R243" s="197">
        <f>O243+P243</f>
        <v>64.843872727113762</v>
      </c>
      <c r="S243" s="166">
        <f>R243-L243</f>
        <v>-4.1561272728862377</v>
      </c>
      <c r="T243" s="196"/>
    </row>
    <row r="244" spans="1:20" x14ac:dyDescent="0.25">
      <c r="A244" s="61">
        <f>'A) Base RI'!A245</f>
        <v>5806</v>
      </c>
      <c r="B244" s="72" t="str">
        <f>'A) Base RI'!B245</f>
        <v>Jorat-Mézières</v>
      </c>
      <c r="C244" s="205">
        <v>1285625</v>
      </c>
      <c r="D244" s="206">
        <v>404423</v>
      </c>
      <c r="E244" s="207"/>
      <c r="F244" s="206"/>
      <c r="G244" s="206"/>
      <c r="H244" s="208">
        <v>1690048</v>
      </c>
      <c r="I244" s="272">
        <v>81691</v>
      </c>
      <c r="J244" s="125">
        <f>'B) D RI'!U245</f>
        <v>83059.358118759847</v>
      </c>
      <c r="K244" s="86">
        <f>H244/I244</f>
        <v>20.688301036833924</v>
      </c>
      <c r="L244" s="43">
        <f>'B) D RI'!S245</f>
        <v>76.12</v>
      </c>
      <c r="M244" s="43">
        <f>L244-K244</f>
        <v>55.431698963166085</v>
      </c>
      <c r="N244" s="166">
        <f>'J) Plafonnement effort'!G243+'J) Plafonnement effort'!H243-'K) Plafonnement aide'!I243</f>
        <v>9.322378309197866</v>
      </c>
      <c r="O244" s="166">
        <f>M244+N244</f>
        <v>64.754077272363958</v>
      </c>
      <c r="P244" s="59">
        <f t="shared" ref="P244" si="53">IF(O244&gt;$P$5,$P$5-O244,0)</f>
        <v>0</v>
      </c>
      <c r="Q244" s="74">
        <f>P244*J244</f>
        <v>0</v>
      </c>
      <c r="R244" s="197">
        <f>O244+P244</f>
        <v>64.754077272363958</v>
      </c>
      <c r="S244" s="166">
        <f>R244-L244</f>
        <v>-11.365922727636047</v>
      </c>
      <c r="T244" s="196"/>
    </row>
    <row r="245" spans="1:20" x14ac:dyDescent="0.25">
      <c r="A245" s="61">
        <f>'A) Base RI'!A246</f>
        <v>5812</v>
      </c>
      <c r="B245" s="72" t="str">
        <f>'A) Base RI'!B246</f>
        <v>Champtauroz</v>
      </c>
      <c r="C245" s="205">
        <v>44417.847042706999</v>
      </c>
      <c r="D245" s="206">
        <v>-39889.305963741164</v>
      </c>
      <c r="E245" s="207">
        <v>0</v>
      </c>
      <c r="F245" s="206">
        <v>0</v>
      </c>
      <c r="G245" s="206">
        <v>0</v>
      </c>
      <c r="H245" s="208">
        <f t="shared" si="38"/>
        <v>4528.5410789658345</v>
      </c>
      <c r="I245" s="272">
        <v>2756.1429220779223</v>
      </c>
      <c r="J245" s="125">
        <f>'B) D RI'!U246</f>
        <v>2420.1879870129869</v>
      </c>
      <c r="K245" s="86">
        <f>H245/I245</f>
        <v>1.6430719331317036</v>
      </c>
      <c r="L245" s="43">
        <f>'B) D RI'!S246</f>
        <v>77</v>
      </c>
      <c r="M245" s="43">
        <f>L245-K245</f>
        <v>75.356928066868292</v>
      </c>
      <c r="N245" s="166">
        <f>'J) Plafonnement effort'!G244+'J) Plafonnement effort'!H244-'K) Plafonnement aide'!I244</f>
        <v>-12.321004220268451</v>
      </c>
      <c r="O245" s="166">
        <f>M245+N245</f>
        <v>63.035923846599843</v>
      </c>
      <c r="P245" s="59">
        <f t="shared" si="48"/>
        <v>0</v>
      </c>
      <c r="Q245" s="74">
        <f>P245*J245</f>
        <v>0</v>
      </c>
      <c r="R245" s="197">
        <f>O245+P245</f>
        <v>63.035923846599843</v>
      </c>
      <c r="S245" s="166">
        <f>R245-L245</f>
        <v>-13.964076153400157</v>
      </c>
      <c r="T245" s="196"/>
    </row>
    <row r="246" spans="1:20" x14ac:dyDescent="0.25">
      <c r="A246" s="61">
        <f>'A) Base RI'!A247</f>
        <v>5813</v>
      </c>
      <c r="B246" s="72" t="str">
        <f>'A) Base RI'!B247</f>
        <v>Chevroux</v>
      </c>
      <c r="C246" s="205">
        <v>189819.6442208614</v>
      </c>
      <c r="D246" s="206">
        <v>34051.136288685957</v>
      </c>
      <c r="E246" s="207">
        <v>0</v>
      </c>
      <c r="F246" s="206">
        <v>0</v>
      </c>
      <c r="G246" s="206">
        <v>0</v>
      </c>
      <c r="H246" s="208">
        <f t="shared" si="38"/>
        <v>223870.78050954736</v>
      </c>
      <c r="I246" s="272">
        <v>11438.318904761907</v>
      </c>
      <c r="J246" s="125">
        <f>'B) D RI'!U247</f>
        <v>11590.298571428571</v>
      </c>
      <c r="K246" s="86">
        <f t="shared" si="51"/>
        <v>19.572000254018736</v>
      </c>
      <c r="L246" s="43">
        <f>'B) D RI'!S247</f>
        <v>70</v>
      </c>
      <c r="M246" s="43">
        <f t="shared" si="46"/>
        <v>50.427999745981268</v>
      </c>
      <c r="N246" s="166">
        <f>'J) Plafonnement effort'!G245+'J) Plafonnement effort'!H245-'K) Plafonnement aide'!I245</f>
        <v>20.142099719367163</v>
      </c>
      <c r="O246" s="166">
        <f t="shared" si="47"/>
        <v>70.570099465348434</v>
      </c>
      <c r="P246" s="59">
        <f t="shared" si="48"/>
        <v>0</v>
      </c>
      <c r="Q246" s="74">
        <f t="shared" si="52"/>
        <v>0</v>
      </c>
      <c r="R246" s="197">
        <f t="shared" si="49"/>
        <v>70.570099465348434</v>
      </c>
      <c r="S246" s="166">
        <f t="shared" si="50"/>
        <v>0.57009946534843436</v>
      </c>
      <c r="T246" s="196"/>
    </row>
    <row r="247" spans="1:20" x14ac:dyDescent="0.25">
      <c r="A247" s="61">
        <f>'A) Base RI'!A248</f>
        <v>5816</v>
      </c>
      <c r="B247" s="72" t="str">
        <f>'A) Base RI'!B248</f>
        <v>Corcelles-près-Payerne</v>
      </c>
      <c r="C247" s="205">
        <v>912654.68333963398</v>
      </c>
      <c r="D247" s="206">
        <v>-372188.94307782035</v>
      </c>
      <c r="E247" s="207">
        <v>0</v>
      </c>
      <c r="F247" s="206">
        <v>0</v>
      </c>
      <c r="G247" s="206">
        <v>0</v>
      </c>
      <c r="H247" s="208">
        <f t="shared" si="38"/>
        <v>540465.74026181363</v>
      </c>
      <c r="I247" s="272">
        <v>51319.201507936508</v>
      </c>
      <c r="J247" s="125">
        <f>'B) D RI'!U248</f>
        <v>52953.608154761903</v>
      </c>
      <c r="K247" s="86">
        <f t="shared" si="51"/>
        <v>10.531452641137268</v>
      </c>
      <c r="L247" s="43">
        <f>'B) D RI'!S248</f>
        <v>72</v>
      </c>
      <c r="M247" s="43">
        <f t="shared" si="46"/>
        <v>61.468547358862736</v>
      </c>
      <c r="N247" s="166">
        <f>'J) Plafonnement effort'!G246+'J) Plafonnement effort'!H246-'K) Plafonnement aide'!I246</f>
        <v>6.3305053864622787</v>
      </c>
      <c r="O247" s="166">
        <f t="shared" si="47"/>
        <v>67.799052745325014</v>
      </c>
      <c r="P247" s="59">
        <f t="shared" si="48"/>
        <v>0</v>
      </c>
      <c r="Q247" s="74">
        <f t="shared" si="52"/>
        <v>0</v>
      </c>
      <c r="R247" s="197">
        <f t="shared" si="49"/>
        <v>67.799052745325014</v>
      </c>
      <c r="S247" s="166">
        <f t="shared" si="50"/>
        <v>-4.2009472546749862</v>
      </c>
      <c r="T247" s="196"/>
    </row>
    <row r="248" spans="1:20" x14ac:dyDescent="0.25">
      <c r="A248" s="61">
        <f>'A) Base RI'!A249</f>
        <v>5817</v>
      </c>
      <c r="B248" s="72" t="str">
        <f>'A) Base RI'!B249</f>
        <v>Grandcour</v>
      </c>
      <c r="C248" s="205">
        <v>314674.20348721673</v>
      </c>
      <c r="D248" s="206">
        <v>-163902.58761536365</v>
      </c>
      <c r="E248" s="207">
        <v>0</v>
      </c>
      <c r="F248" s="206">
        <v>0</v>
      </c>
      <c r="G248" s="206">
        <v>0</v>
      </c>
      <c r="H248" s="208">
        <f t="shared" si="38"/>
        <v>150771.61587185308</v>
      </c>
      <c r="I248" s="272">
        <v>20100.413081761009</v>
      </c>
      <c r="J248" s="125">
        <f>'B) D RI'!U249</f>
        <v>20895.78968553459</v>
      </c>
      <c r="K248" s="86">
        <f t="shared" si="51"/>
        <v>7.5009212625914792</v>
      </c>
      <c r="L248" s="43">
        <f>'B) D RI'!S249</f>
        <v>79.5</v>
      </c>
      <c r="M248" s="43">
        <f t="shared" si="46"/>
        <v>71.999078737408524</v>
      </c>
      <c r="N248" s="166">
        <f>'J) Plafonnement effort'!G247+'J) Plafonnement effort'!H247-'K) Plafonnement aide'!I247</f>
        <v>6.7499343912068026</v>
      </c>
      <c r="O248" s="166">
        <f t="shared" si="47"/>
        <v>78.749013128615331</v>
      </c>
      <c r="P248" s="59">
        <f t="shared" si="48"/>
        <v>0</v>
      </c>
      <c r="Q248" s="74">
        <f t="shared" si="52"/>
        <v>0</v>
      </c>
      <c r="R248" s="197">
        <f t="shared" si="49"/>
        <v>78.749013128615331</v>
      </c>
      <c r="S248" s="166">
        <f t="shared" si="50"/>
        <v>-0.75098687138466858</v>
      </c>
      <c r="T248" s="196"/>
    </row>
    <row r="249" spans="1:20" x14ac:dyDescent="0.25">
      <c r="A249" s="61">
        <f>'A) Base RI'!A250</f>
        <v>5819</v>
      </c>
      <c r="B249" s="72" t="str">
        <f>'A) Base RI'!B250</f>
        <v>Henniez</v>
      </c>
      <c r="C249" s="205">
        <v>143079.93373031024</v>
      </c>
      <c r="D249" s="206">
        <v>104911.29322873482</v>
      </c>
      <c r="E249" s="207">
        <v>0</v>
      </c>
      <c r="F249" s="206">
        <v>0</v>
      </c>
      <c r="G249" s="206">
        <v>0</v>
      </c>
      <c r="H249" s="208">
        <f t="shared" si="38"/>
        <v>247991.22695904505</v>
      </c>
      <c r="I249" s="272">
        <v>9884.2255223880602</v>
      </c>
      <c r="J249" s="125">
        <f>'B) D RI'!U250</f>
        <v>13106.979402985076</v>
      </c>
      <c r="K249" s="86">
        <f t="shared" si="51"/>
        <v>25.089596185086798</v>
      </c>
      <c r="L249" s="43">
        <f>'B) D RI'!S250</f>
        <v>67</v>
      </c>
      <c r="M249" s="43">
        <f t="shared" si="46"/>
        <v>41.910403814913202</v>
      </c>
      <c r="N249" s="166">
        <f>'J) Plafonnement effort'!G248+'J) Plafonnement effort'!H248-'K) Plafonnement aide'!I248</f>
        <v>25.484557830566082</v>
      </c>
      <c r="O249" s="166">
        <f t="shared" si="47"/>
        <v>67.394961645479285</v>
      </c>
      <c r="P249" s="59">
        <f t="shared" si="48"/>
        <v>0</v>
      </c>
      <c r="Q249" s="74">
        <f t="shared" si="52"/>
        <v>0</v>
      </c>
      <c r="R249" s="197">
        <f t="shared" si="49"/>
        <v>67.394961645479285</v>
      </c>
      <c r="S249" s="166">
        <f t="shared" si="50"/>
        <v>0.39496164547928458</v>
      </c>
      <c r="T249" s="196"/>
    </row>
    <row r="250" spans="1:20" x14ac:dyDescent="0.25">
      <c r="A250" s="61">
        <f>'A) Base RI'!A251</f>
        <v>5821</v>
      </c>
      <c r="B250" s="72" t="str">
        <f>'A) Base RI'!B251</f>
        <v>Missy</v>
      </c>
      <c r="C250" s="205">
        <v>137317.62751897675</v>
      </c>
      <c r="D250" s="206">
        <v>-44246.870463287836</v>
      </c>
      <c r="E250" s="207">
        <v>0</v>
      </c>
      <c r="F250" s="206">
        <v>0</v>
      </c>
      <c r="G250" s="206">
        <v>0</v>
      </c>
      <c r="H250" s="208">
        <f t="shared" si="38"/>
        <v>93070.757055688911</v>
      </c>
      <c r="I250" s="272">
        <v>7497.2731944444431</v>
      </c>
      <c r="J250" s="125">
        <f>'B) D RI'!U251</f>
        <v>7313.8070833333331</v>
      </c>
      <c r="K250" s="86">
        <f t="shared" si="51"/>
        <v>12.413947663619261</v>
      </c>
      <c r="L250" s="43">
        <f>'B) D RI'!S251</f>
        <v>72</v>
      </c>
      <c r="M250" s="43">
        <f t="shared" si="46"/>
        <v>59.586052336380739</v>
      </c>
      <c r="N250" s="166">
        <f>'J) Plafonnement effort'!G249+'J) Plafonnement effort'!H249-'K) Plafonnement aide'!I249</f>
        <v>3.2888890259029289</v>
      </c>
      <c r="O250" s="166">
        <f t="shared" si="47"/>
        <v>62.874941362283664</v>
      </c>
      <c r="P250" s="59">
        <f t="shared" si="48"/>
        <v>0</v>
      </c>
      <c r="Q250" s="74">
        <f t="shared" si="52"/>
        <v>0</v>
      </c>
      <c r="R250" s="197">
        <f t="shared" si="49"/>
        <v>62.874941362283664</v>
      </c>
      <c r="S250" s="166">
        <f t="shared" si="50"/>
        <v>-9.1250586377163359</v>
      </c>
      <c r="T250" s="196"/>
    </row>
    <row r="251" spans="1:20" x14ac:dyDescent="0.25">
      <c r="A251" s="61">
        <f>'A) Base RI'!A252</f>
        <v>5822</v>
      </c>
      <c r="B251" s="72" t="str">
        <f>'A) Base RI'!B252</f>
        <v>Payerne</v>
      </c>
      <c r="C251" s="205">
        <v>3995654.7936954927</v>
      </c>
      <c r="D251" s="206">
        <v>-3750187.1511974186</v>
      </c>
      <c r="E251" s="207">
        <v>0</v>
      </c>
      <c r="F251" s="206">
        <v>0</v>
      </c>
      <c r="G251" s="206">
        <v>0</v>
      </c>
      <c r="H251" s="208">
        <f t="shared" si="38"/>
        <v>245467.6424980741</v>
      </c>
      <c r="I251" s="272">
        <v>232171.67534246575</v>
      </c>
      <c r="J251" s="125">
        <f>'B) D RI'!U252</f>
        <v>224445.50853333328</v>
      </c>
      <c r="K251" s="86">
        <f t="shared" si="51"/>
        <v>1.057267826215218</v>
      </c>
      <c r="L251" s="43">
        <f>'B) D RI'!S252</f>
        <v>75</v>
      </c>
      <c r="M251" s="43">
        <f t="shared" si="46"/>
        <v>73.942732173784776</v>
      </c>
      <c r="N251" s="166">
        <f>'J) Plafonnement effort'!G250+'J) Plafonnement effort'!H250-'K) Plafonnement aide'!I250</f>
        <v>-6.0921609467384812</v>
      </c>
      <c r="O251" s="166">
        <f t="shared" si="47"/>
        <v>67.850571227046288</v>
      </c>
      <c r="P251" s="59">
        <f t="shared" si="48"/>
        <v>0</v>
      </c>
      <c r="Q251" s="74">
        <f t="shared" si="52"/>
        <v>0</v>
      </c>
      <c r="R251" s="197">
        <f t="shared" si="49"/>
        <v>67.850571227046288</v>
      </c>
      <c r="S251" s="166">
        <f t="shared" si="50"/>
        <v>-7.149428772953712</v>
      </c>
      <c r="T251" s="196"/>
    </row>
    <row r="252" spans="1:20" x14ac:dyDescent="0.25">
      <c r="A252" s="61">
        <f>'A) Base RI'!A253</f>
        <v>5827</v>
      </c>
      <c r="B252" s="72" t="str">
        <f>'A) Base RI'!B253</f>
        <v>Trey</v>
      </c>
      <c r="C252" s="205">
        <v>96777.593960354352</v>
      </c>
      <c r="D252" s="206">
        <v>-55548.540924525412</v>
      </c>
      <c r="E252" s="207">
        <v>0</v>
      </c>
      <c r="F252" s="206">
        <v>0</v>
      </c>
      <c r="G252" s="206">
        <v>0</v>
      </c>
      <c r="H252" s="208">
        <f t="shared" si="38"/>
        <v>41229.05303582894</v>
      </c>
      <c r="I252" s="272">
        <v>6148.4623749999992</v>
      </c>
      <c r="J252" s="125">
        <f>'B) D RI'!U253</f>
        <v>6544.3336250000011</v>
      </c>
      <c r="K252" s="86">
        <f t="shared" si="51"/>
        <v>6.7055875959278266</v>
      </c>
      <c r="L252" s="43">
        <f>'B) D RI'!S253</f>
        <v>80</v>
      </c>
      <c r="M252" s="43">
        <f t="shared" si="46"/>
        <v>73.294412404072176</v>
      </c>
      <c r="N252" s="166">
        <f>'J) Plafonnement effort'!G251+'J) Plafonnement effort'!H251-'K) Plafonnement aide'!I251</f>
        <v>8.9443741600122948</v>
      </c>
      <c r="O252" s="166">
        <f t="shared" si="47"/>
        <v>82.238786564084478</v>
      </c>
      <c r="P252" s="59">
        <f t="shared" si="48"/>
        <v>0</v>
      </c>
      <c r="Q252" s="74">
        <f t="shared" si="52"/>
        <v>0</v>
      </c>
      <c r="R252" s="197">
        <f t="shared" si="49"/>
        <v>82.238786564084478</v>
      </c>
      <c r="S252" s="166">
        <f t="shared" si="50"/>
        <v>2.238786564084478</v>
      </c>
      <c r="T252" s="196"/>
    </row>
    <row r="253" spans="1:20" x14ac:dyDescent="0.25">
      <c r="A253" s="61">
        <f>'A) Base RI'!A254</f>
        <v>5828</v>
      </c>
      <c r="B253" s="72" t="str">
        <f>'A) Base RI'!B254</f>
        <v>Treytorrens (Payerne)</v>
      </c>
      <c r="C253" s="205">
        <v>44934.602802535039</v>
      </c>
      <c r="D253" s="206">
        <v>-45734.25806401929</v>
      </c>
      <c r="E253" s="207">
        <v>0</v>
      </c>
      <c r="F253" s="206">
        <v>0</v>
      </c>
      <c r="G253" s="206">
        <v>0</v>
      </c>
      <c r="H253" s="208">
        <f t="shared" si="38"/>
        <v>-799.65526148425124</v>
      </c>
      <c r="I253" s="272">
        <v>2457.9002380952379</v>
      </c>
      <c r="J253" s="125">
        <f>'B) D RI'!U254</f>
        <v>2136.5168650793653</v>
      </c>
      <c r="K253" s="86">
        <f t="shared" si="51"/>
        <v>-0.3253408128980646</v>
      </c>
      <c r="L253" s="43">
        <f>'B) D RI'!S254</f>
        <v>84</v>
      </c>
      <c r="M253" s="43">
        <f t="shared" si="46"/>
        <v>84.325340812898062</v>
      </c>
      <c r="N253" s="166">
        <f>'J) Plafonnement effort'!G252+'J) Plafonnement effort'!H252-'K) Plafonnement aide'!I252</f>
        <v>-31.802752553766272</v>
      </c>
      <c r="O253" s="166">
        <f t="shared" si="47"/>
        <v>52.522588259131794</v>
      </c>
      <c r="P253" s="59">
        <f t="shared" si="48"/>
        <v>0</v>
      </c>
      <c r="Q253" s="74">
        <f t="shared" si="52"/>
        <v>0</v>
      </c>
      <c r="R253" s="197">
        <f t="shared" si="49"/>
        <v>52.522588259131794</v>
      </c>
      <c r="S253" s="166">
        <f t="shared" si="50"/>
        <v>-31.477411740868206</v>
      </c>
      <c r="T253" s="196"/>
    </row>
    <row r="254" spans="1:20" x14ac:dyDescent="0.25">
      <c r="A254" s="61">
        <f>'A) Base RI'!A255</f>
        <v>5830</v>
      </c>
      <c r="B254" s="72" t="str">
        <f>'A) Base RI'!B255</f>
        <v>Villarzel</v>
      </c>
      <c r="C254" s="205">
        <v>162429.2595867661</v>
      </c>
      <c r="D254" s="206">
        <v>-74630.649912333814</v>
      </c>
      <c r="E254" s="207">
        <v>0</v>
      </c>
      <c r="F254" s="206">
        <v>0</v>
      </c>
      <c r="G254" s="206">
        <v>0</v>
      </c>
      <c r="H254" s="208">
        <f t="shared" si="38"/>
        <v>87798.609674432286</v>
      </c>
      <c r="I254" s="272">
        <v>9888.3237037037015</v>
      </c>
      <c r="J254" s="125">
        <f>'B) D RI'!U255</f>
        <v>10236.981518987341</v>
      </c>
      <c r="K254" s="86">
        <f t="shared" si="51"/>
        <v>8.8790185581755434</v>
      </c>
      <c r="L254" s="43">
        <f>'B) D RI'!S255</f>
        <v>79</v>
      </c>
      <c r="M254" s="43">
        <f t="shared" si="46"/>
        <v>70.120981441824455</v>
      </c>
      <c r="N254" s="166">
        <f>'J) Plafonnement effort'!G253+'J) Plafonnement effort'!H253-'K) Plafonnement aide'!I253</f>
        <v>1.7368061883423529</v>
      </c>
      <c r="O254" s="166">
        <f t="shared" si="47"/>
        <v>71.857787630166811</v>
      </c>
      <c r="P254" s="59">
        <f t="shared" si="48"/>
        <v>0</v>
      </c>
      <c r="Q254" s="74">
        <f t="shared" si="52"/>
        <v>0</v>
      </c>
      <c r="R254" s="197">
        <f t="shared" si="49"/>
        <v>71.857787630166811</v>
      </c>
      <c r="S254" s="166">
        <f t="shared" si="50"/>
        <v>-7.1422123698331887</v>
      </c>
      <c r="T254" s="196"/>
    </row>
    <row r="255" spans="1:20" x14ac:dyDescent="0.25">
      <c r="A255" s="61">
        <f>'A) Base RI'!A256</f>
        <v>5831</v>
      </c>
      <c r="B255" s="72" t="str">
        <f>'A) Base RI'!B256</f>
        <v>Valbroye</v>
      </c>
      <c r="C255" s="205">
        <v>1119826.9726251226</v>
      </c>
      <c r="D255" s="206">
        <v>-707649.89131437847</v>
      </c>
      <c r="E255" s="207">
        <v>0</v>
      </c>
      <c r="F255" s="206">
        <v>0</v>
      </c>
      <c r="G255" s="206">
        <v>0</v>
      </c>
      <c r="H255" s="208">
        <f t="shared" ref="H255:H314" si="54">SUM(C255:G255)</f>
        <v>412177.08131074416</v>
      </c>
      <c r="I255" s="272">
        <v>72189.06751111109</v>
      </c>
      <c r="J255" s="125">
        <f>'B) D RI'!U256</f>
        <v>78037.716438356161</v>
      </c>
      <c r="K255" s="86">
        <f>H255/I255</f>
        <v>5.709688399109786</v>
      </c>
      <c r="L255" s="43">
        <f>'B) D RI'!S256</f>
        <v>73</v>
      </c>
      <c r="M255" s="43">
        <f>L255-K255</f>
        <v>67.29031160089022</v>
      </c>
      <c r="N255" s="166">
        <f>'J) Plafonnement effort'!G254+'J) Plafonnement effort'!H254-'K) Plafonnement aide'!I254</f>
        <v>3.3610298412856885</v>
      </c>
      <c r="O255" s="166">
        <f>M255+N255</f>
        <v>70.651341442175905</v>
      </c>
      <c r="P255" s="59">
        <f t="shared" si="48"/>
        <v>0</v>
      </c>
      <c r="Q255" s="74">
        <f>P255*J255</f>
        <v>0</v>
      </c>
      <c r="R255" s="197">
        <f>O255+P255</f>
        <v>70.651341442175905</v>
      </c>
      <c r="S255" s="166">
        <f>R255-L255</f>
        <v>-2.3486585578240948</v>
      </c>
      <c r="T255" s="196"/>
    </row>
    <row r="256" spans="1:20" x14ac:dyDescent="0.25">
      <c r="A256" s="61">
        <f>'A) Base RI'!A257</f>
        <v>5841</v>
      </c>
      <c r="B256" s="72" t="str">
        <f>'A) Base RI'!B257</f>
        <v>Château-d'Oex</v>
      </c>
      <c r="C256" s="205">
        <v>1935949.8134495972</v>
      </c>
      <c r="D256" s="206">
        <v>-239199.83166184649</v>
      </c>
      <c r="E256" s="207">
        <v>0</v>
      </c>
      <c r="F256" s="206">
        <v>0</v>
      </c>
      <c r="G256" s="206">
        <v>0</v>
      </c>
      <c r="H256" s="208">
        <f t="shared" si="54"/>
        <v>1696749.9817877507</v>
      </c>
      <c r="I256" s="272">
        <v>107402.16457831326</v>
      </c>
      <c r="J256" s="125">
        <f>'B) D RI'!U257</f>
        <v>107525.73574297188</v>
      </c>
      <c r="K256" s="86">
        <f>H256/I256</f>
        <v>15.798098562069018</v>
      </c>
      <c r="L256" s="43">
        <f>'B) D RI'!S257</f>
        <v>83</v>
      </c>
      <c r="M256" s="43">
        <f>L256-K256</f>
        <v>67.201901437930985</v>
      </c>
      <c r="N256" s="166">
        <f>'J) Plafonnement effort'!G255+'J) Plafonnement effort'!H255-'K) Plafonnement aide'!I255</f>
        <v>3.1001260643502455</v>
      </c>
      <c r="O256" s="166">
        <f>M256+N256</f>
        <v>70.302027502281234</v>
      </c>
      <c r="P256" s="59">
        <f t="shared" si="48"/>
        <v>0</v>
      </c>
      <c r="Q256" s="74">
        <f>P256*J256</f>
        <v>0</v>
      </c>
      <c r="R256" s="197">
        <f>O256+P256</f>
        <v>70.302027502281234</v>
      </c>
      <c r="S256" s="166">
        <f>R256-L256</f>
        <v>-12.697972497718766</v>
      </c>
      <c r="T256" s="196"/>
    </row>
    <row r="257" spans="1:20" x14ac:dyDescent="0.25">
      <c r="A257" s="61">
        <f>'A) Base RI'!A258</f>
        <v>5842</v>
      </c>
      <c r="B257" s="72" t="str">
        <f>'A) Base RI'!B258</f>
        <v>Rossinière</v>
      </c>
      <c r="C257" s="205">
        <v>239856.95991635567</v>
      </c>
      <c r="D257" s="206">
        <v>-39991.41534960689</v>
      </c>
      <c r="E257" s="207">
        <v>0</v>
      </c>
      <c r="F257" s="206">
        <v>0</v>
      </c>
      <c r="G257" s="206">
        <v>0</v>
      </c>
      <c r="H257" s="208">
        <f t="shared" si="54"/>
        <v>199865.54456674878</v>
      </c>
      <c r="I257" s="272">
        <v>14557.548271604937</v>
      </c>
      <c r="J257" s="125">
        <f>'B) D RI'!U258</f>
        <v>16554.125349794238</v>
      </c>
      <c r="K257" s="86">
        <f t="shared" si="51"/>
        <v>13.729341015244598</v>
      </c>
      <c r="L257" s="43">
        <f>'B) D RI'!S258</f>
        <v>81</v>
      </c>
      <c r="M257" s="43">
        <f t="shared" si="46"/>
        <v>67.2706589847554</v>
      </c>
      <c r="N257" s="166">
        <f>'J) Plafonnement effort'!G256+'J) Plafonnement effort'!H256-'K) Plafonnement aide'!I256</f>
        <v>3.0865191760379425</v>
      </c>
      <c r="O257" s="166">
        <f t="shared" si="47"/>
        <v>70.357178160793339</v>
      </c>
      <c r="P257" s="59">
        <f t="shared" si="48"/>
        <v>0</v>
      </c>
      <c r="Q257" s="74">
        <f t="shared" si="52"/>
        <v>0</v>
      </c>
      <c r="R257" s="197">
        <f t="shared" si="49"/>
        <v>70.357178160793339</v>
      </c>
      <c r="S257" s="166">
        <f t="shared" si="50"/>
        <v>-10.642821839206661</v>
      </c>
      <c r="T257" s="196"/>
    </row>
    <row r="258" spans="1:20" x14ac:dyDescent="0.25">
      <c r="A258" s="61">
        <f>'A) Base RI'!A259</f>
        <v>5843</v>
      </c>
      <c r="B258" s="72" t="str">
        <f>'A) Base RI'!B259</f>
        <v>Rougemont</v>
      </c>
      <c r="C258" s="205">
        <v>2600935.4164232709</v>
      </c>
      <c r="D258" s="206">
        <v>1151040</v>
      </c>
      <c r="E258" s="207">
        <v>0</v>
      </c>
      <c r="F258" s="206">
        <v>0</v>
      </c>
      <c r="G258" s="206">
        <v>0</v>
      </c>
      <c r="H258" s="208">
        <f t="shared" si="54"/>
        <v>3751975.4164232709</v>
      </c>
      <c r="I258" s="272">
        <v>80469.50922705316</v>
      </c>
      <c r="J258" s="125">
        <f>'B) D RI'!U259</f>
        <v>92297.453816425128</v>
      </c>
      <c r="K258" s="86">
        <f t="shared" si="51"/>
        <v>46.626050692526022</v>
      </c>
      <c r="L258" s="43">
        <f>'B) D RI'!S259</f>
        <v>69</v>
      </c>
      <c r="M258" s="43">
        <f t="shared" si="46"/>
        <v>22.373949307473978</v>
      </c>
      <c r="N258" s="166">
        <f>'J) Plafonnement effort'!G257+'J) Plafonnement effort'!H257-'K) Plafonnement aide'!I257</f>
        <v>44.405692709812435</v>
      </c>
      <c r="O258" s="166">
        <f t="shared" si="47"/>
        <v>66.77964201728642</v>
      </c>
      <c r="P258" s="59">
        <f t="shared" si="48"/>
        <v>0</v>
      </c>
      <c r="Q258" s="74">
        <f t="shared" si="52"/>
        <v>0</v>
      </c>
      <c r="R258" s="197">
        <f t="shared" si="49"/>
        <v>66.77964201728642</v>
      </c>
      <c r="S258" s="166">
        <f t="shared" si="50"/>
        <v>-2.2203579827135798</v>
      </c>
      <c r="T258" s="196"/>
    </row>
    <row r="259" spans="1:20" x14ac:dyDescent="0.25">
      <c r="A259" s="61">
        <f>'A) Base RI'!A260</f>
        <v>5851</v>
      </c>
      <c r="B259" s="72" t="str">
        <f>'A) Base RI'!B260</f>
        <v>Allaman</v>
      </c>
      <c r="C259" s="205">
        <v>753640.85612135485</v>
      </c>
      <c r="D259" s="206">
        <v>398877</v>
      </c>
      <c r="E259" s="207">
        <v>0</v>
      </c>
      <c r="F259" s="206">
        <v>0</v>
      </c>
      <c r="G259" s="206">
        <v>0</v>
      </c>
      <c r="H259" s="208">
        <f t="shared" si="54"/>
        <v>1152517.8561213547</v>
      </c>
      <c r="I259" s="272">
        <v>24671.087704918031</v>
      </c>
      <c r="J259" s="125">
        <f>'B) D RI'!U260</f>
        <v>26311.895293255133</v>
      </c>
      <c r="K259" s="86">
        <f t="shared" si="51"/>
        <v>46.715324022442971</v>
      </c>
      <c r="L259" s="43">
        <f>'B) D RI'!S260</f>
        <v>62</v>
      </c>
      <c r="M259" s="43">
        <f t="shared" si="46"/>
        <v>15.284675977557029</v>
      </c>
      <c r="N259" s="166">
        <f>'J) Plafonnement effort'!G258+'J) Plafonnement effort'!H258-'K) Plafonnement aide'!I258</f>
        <v>26.16406584195191</v>
      </c>
      <c r="O259" s="166">
        <f t="shared" si="47"/>
        <v>41.448741819508939</v>
      </c>
      <c r="P259" s="59">
        <f t="shared" si="48"/>
        <v>0</v>
      </c>
      <c r="Q259" s="74">
        <f t="shared" si="52"/>
        <v>0</v>
      </c>
      <c r="R259" s="197">
        <f t="shared" si="49"/>
        <v>41.448741819508939</v>
      </c>
      <c r="S259" s="166">
        <f t="shared" si="50"/>
        <v>-20.551258180491061</v>
      </c>
      <c r="T259" s="196"/>
    </row>
    <row r="260" spans="1:20" x14ac:dyDescent="0.25">
      <c r="A260" s="61">
        <f>'A) Base RI'!A261</f>
        <v>5852</v>
      </c>
      <c r="B260" s="72" t="str">
        <f>'A) Base RI'!B261</f>
        <v>Bursinel</v>
      </c>
      <c r="C260" s="205">
        <v>527729.32981812384</v>
      </c>
      <c r="D260" s="206">
        <v>479577</v>
      </c>
      <c r="E260" s="207">
        <v>0</v>
      </c>
      <c r="F260" s="206">
        <v>0</v>
      </c>
      <c r="G260" s="206">
        <v>0</v>
      </c>
      <c r="H260" s="208">
        <f t="shared" si="54"/>
        <v>1007306.3298181238</v>
      </c>
      <c r="I260" s="272">
        <v>29914.872845528454</v>
      </c>
      <c r="J260" s="125">
        <f>'B) D RI'!U261</f>
        <v>31632.546141732284</v>
      </c>
      <c r="K260" s="86">
        <f t="shared" si="51"/>
        <v>33.672425586415009</v>
      </c>
      <c r="L260" s="43">
        <f>'B) D RI'!S261</f>
        <v>63.5</v>
      </c>
      <c r="M260" s="43">
        <f t="shared" si="46"/>
        <v>29.827574413584991</v>
      </c>
      <c r="N260" s="166">
        <f>'J) Plafonnement effort'!G259+'J) Plafonnement effort'!H259-'K) Plafonnement aide'!I259</f>
        <v>38.508129367518244</v>
      </c>
      <c r="O260" s="166">
        <f t="shared" si="47"/>
        <v>68.335703781103234</v>
      </c>
      <c r="P260" s="59">
        <f t="shared" si="48"/>
        <v>0</v>
      </c>
      <c r="Q260" s="74">
        <f t="shared" si="52"/>
        <v>0</v>
      </c>
      <c r="R260" s="197">
        <f t="shared" si="49"/>
        <v>68.335703781103234</v>
      </c>
      <c r="S260" s="166">
        <f t="shared" si="50"/>
        <v>4.8357037811032342</v>
      </c>
      <c r="T260" s="196"/>
    </row>
    <row r="261" spans="1:20" x14ac:dyDescent="0.25">
      <c r="A261" s="61">
        <f>'A) Base RI'!A262</f>
        <v>5853</v>
      </c>
      <c r="B261" s="72" t="str">
        <f>'A) Base RI'!B262</f>
        <v>Bursins</v>
      </c>
      <c r="C261" s="205">
        <v>605487.06191748718</v>
      </c>
      <c r="D261" s="206">
        <v>582022</v>
      </c>
      <c r="E261" s="207">
        <v>0</v>
      </c>
      <c r="F261" s="206">
        <v>0</v>
      </c>
      <c r="G261" s="206">
        <v>0</v>
      </c>
      <c r="H261" s="208">
        <f t="shared" si="54"/>
        <v>1187509.0619174871</v>
      </c>
      <c r="I261" s="272">
        <v>35670.275774647889</v>
      </c>
      <c r="J261" s="125">
        <f>'B) D RI'!U262</f>
        <v>37118.734366197183</v>
      </c>
      <c r="K261" s="86">
        <f t="shared" si="51"/>
        <v>33.291277853295746</v>
      </c>
      <c r="L261" s="43">
        <f>'B) D RI'!S262</f>
        <v>71</v>
      </c>
      <c r="M261" s="43">
        <f t="shared" si="46"/>
        <v>37.708722146704254</v>
      </c>
      <c r="N261" s="166">
        <f>'J) Plafonnement effort'!G260+'J) Plafonnement effort'!H260-'K) Plafonnement aide'!I260</f>
        <v>36.042467317185846</v>
      </c>
      <c r="O261" s="166">
        <f t="shared" si="47"/>
        <v>73.7511894638901</v>
      </c>
      <c r="P261" s="59">
        <f t="shared" si="48"/>
        <v>0</v>
      </c>
      <c r="Q261" s="74">
        <f t="shared" si="52"/>
        <v>0</v>
      </c>
      <c r="R261" s="197">
        <f t="shared" si="49"/>
        <v>73.7511894638901</v>
      </c>
      <c r="S261" s="166">
        <f t="shared" si="50"/>
        <v>2.7511894638900998</v>
      </c>
      <c r="T261" s="196"/>
    </row>
    <row r="262" spans="1:20" x14ac:dyDescent="0.25">
      <c r="A262" s="61">
        <f>'A) Base RI'!A263</f>
        <v>5854</v>
      </c>
      <c r="B262" s="72" t="str">
        <f>'A) Base RI'!B263</f>
        <v>Burtigny</v>
      </c>
      <c r="C262" s="205">
        <v>168799.9587263602</v>
      </c>
      <c r="D262" s="206">
        <v>40878.146642059321</v>
      </c>
      <c r="E262" s="207">
        <v>0</v>
      </c>
      <c r="F262" s="206">
        <v>0</v>
      </c>
      <c r="G262" s="206">
        <v>0</v>
      </c>
      <c r="H262" s="208">
        <f t="shared" si="54"/>
        <v>209678.10536841952</v>
      </c>
      <c r="I262" s="272">
        <v>10927.480438596491</v>
      </c>
      <c r="J262" s="125">
        <f>'B) D RI'!U263</f>
        <v>10244.164041666669</v>
      </c>
      <c r="K262" s="86">
        <f t="shared" si="51"/>
        <v>19.188147400184253</v>
      </c>
      <c r="L262" s="43">
        <f>'B) D RI'!S263</f>
        <v>80</v>
      </c>
      <c r="M262" s="43">
        <f t="shared" ref="M262:M291" si="55">L262-K262</f>
        <v>60.811852599815751</v>
      </c>
      <c r="N262" s="166">
        <f>'J) Plafonnement effort'!G261+'J) Plafonnement effort'!H261-'K) Plafonnement aide'!I261</f>
        <v>16.290775909370232</v>
      </c>
      <c r="O262" s="166">
        <f t="shared" ref="O262:O314" si="56">M262+N262</f>
        <v>77.10262850918599</v>
      </c>
      <c r="P262" s="59">
        <f t="shared" ref="P262:P314" si="57">IF(O262&gt;$P$5,$P$5-O262,0)</f>
        <v>0</v>
      </c>
      <c r="Q262" s="74">
        <f t="shared" si="52"/>
        <v>0</v>
      </c>
      <c r="R262" s="197">
        <f t="shared" ref="R262:R314" si="58">O262+P262</f>
        <v>77.10262850918599</v>
      </c>
      <c r="S262" s="166">
        <f t="shared" ref="S262:S314" si="59">R262-L262</f>
        <v>-2.8973714908140096</v>
      </c>
      <c r="T262" s="196"/>
    </row>
    <row r="263" spans="1:20" x14ac:dyDescent="0.25">
      <c r="A263" s="61">
        <f>'A) Base RI'!A264</f>
        <v>5855</v>
      </c>
      <c r="B263" s="72" t="str">
        <f>'A) Base RI'!B264</f>
        <v>Dully</v>
      </c>
      <c r="C263" s="205">
        <v>2212237.5719792247</v>
      </c>
      <c r="D263" s="206">
        <v>998434</v>
      </c>
      <c r="E263" s="207">
        <v>0</v>
      </c>
      <c r="F263" s="206">
        <v>0</v>
      </c>
      <c r="G263" s="206">
        <v>0</v>
      </c>
      <c r="H263" s="208">
        <f t="shared" si="54"/>
        <v>3210671.5719792247</v>
      </c>
      <c r="I263" s="272">
        <v>80286.552448979593</v>
      </c>
      <c r="J263" s="125">
        <f>'B) D RI'!U264</f>
        <v>65353.176326530607</v>
      </c>
      <c r="K263" s="86">
        <f t="shared" si="51"/>
        <v>39.990153693789985</v>
      </c>
      <c r="L263" s="43">
        <f>'B) D RI'!S264</f>
        <v>49</v>
      </c>
      <c r="M263" s="43">
        <f t="shared" si="55"/>
        <v>9.0098463062100151</v>
      </c>
      <c r="N263" s="166">
        <f>'J) Plafonnement effort'!G262+'J) Plafonnement effort'!H262-'K) Plafonnement aide'!I262</f>
        <v>45.898183372562499</v>
      </c>
      <c r="O263" s="166">
        <f t="shared" si="56"/>
        <v>54.908029678772515</v>
      </c>
      <c r="P263" s="59">
        <f t="shared" si="57"/>
        <v>0</v>
      </c>
      <c r="Q263" s="74">
        <f t="shared" si="52"/>
        <v>0</v>
      </c>
      <c r="R263" s="197">
        <f t="shared" si="58"/>
        <v>54.908029678772515</v>
      </c>
      <c r="S263" s="166">
        <f t="shared" si="59"/>
        <v>5.9080296787725146</v>
      </c>
      <c r="T263" s="196"/>
    </row>
    <row r="264" spans="1:20" x14ac:dyDescent="0.25">
      <c r="A264" s="61">
        <f>'A) Base RI'!A265</f>
        <v>5856</v>
      </c>
      <c r="B264" s="72" t="str">
        <f>'A) Base RI'!B265</f>
        <v>Essertines-sur-Rolle</v>
      </c>
      <c r="C264" s="205">
        <v>556198.42177669914</v>
      </c>
      <c r="D264" s="206">
        <v>620035</v>
      </c>
      <c r="E264" s="207">
        <v>0</v>
      </c>
      <c r="F264" s="206">
        <v>0</v>
      </c>
      <c r="G264" s="206">
        <v>0</v>
      </c>
      <c r="H264" s="208">
        <f t="shared" si="54"/>
        <v>1176233.4217766991</v>
      </c>
      <c r="I264" s="272">
        <v>37372.082975113124</v>
      </c>
      <c r="J264" s="125">
        <f>'B) D RI'!U265</f>
        <v>28766.256402714938</v>
      </c>
      <c r="K264" s="86">
        <f t="shared" si="51"/>
        <v>31.473584776100875</v>
      </c>
      <c r="L264" s="43">
        <f>'B) D RI'!S265</f>
        <v>68</v>
      </c>
      <c r="M264" s="43">
        <f t="shared" si="55"/>
        <v>36.526415223899122</v>
      </c>
      <c r="N264" s="166">
        <f>'J) Plafonnement effort'!G263+'J) Plafonnement effort'!H263-'K) Plafonnement aide'!I263</f>
        <v>29.023691160545997</v>
      </c>
      <c r="O264" s="166">
        <f t="shared" si="56"/>
        <v>65.550106384445115</v>
      </c>
      <c r="P264" s="59">
        <f t="shared" si="57"/>
        <v>0</v>
      </c>
      <c r="Q264" s="74">
        <f t="shared" si="52"/>
        <v>0</v>
      </c>
      <c r="R264" s="197">
        <f t="shared" si="58"/>
        <v>65.550106384445115</v>
      </c>
      <c r="S264" s="166">
        <f t="shared" si="59"/>
        <v>-2.4498936155548847</v>
      </c>
      <c r="T264" s="196"/>
    </row>
    <row r="265" spans="1:20" x14ac:dyDescent="0.25">
      <c r="A265" s="61">
        <f>'A) Base RI'!A266</f>
        <v>5857</v>
      </c>
      <c r="B265" s="72" t="str">
        <f>'A) Base RI'!B266</f>
        <v>Gilly</v>
      </c>
      <c r="C265" s="205">
        <v>1336553.3191209701</v>
      </c>
      <c r="D265" s="206">
        <v>1028306</v>
      </c>
      <c r="E265" s="207">
        <v>0</v>
      </c>
      <c r="F265" s="206">
        <v>0</v>
      </c>
      <c r="G265" s="206">
        <v>0</v>
      </c>
      <c r="H265" s="208">
        <f t="shared" si="54"/>
        <v>2364859.3191209701</v>
      </c>
      <c r="I265" s="272">
        <v>64256.086818181808</v>
      </c>
      <c r="J265" s="125">
        <f>'B) D RI'!U266</f>
        <v>55694.918787878785</v>
      </c>
      <c r="K265" s="86">
        <f t="shared" si="51"/>
        <v>36.803662286695818</v>
      </c>
      <c r="L265" s="43">
        <f>'B) D RI'!S266</f>
        <v>66</v>
      </c>
      <c r="M265" s="43">
        <f t="shared" si="55"/>
        <v>29.196337713304182</v>
      </c>
      <c r="N265" s="166">
        <f>'J) Plafonnement effort'!G264+'J) Plafonnement effort'!H264-'K) Plafonnement aide'!I264</f>
        <v>37.815619876589423</v>
      </c>
      <c r="O265" s="166">
        <f t="shared" si="56"/>
        <v>67.011957589893598</v>
      </c>
      <c r="P265" s="59">
        <f t="shared" si="57"/>
        <v>0</v>
      </c>
      <c r="Q265" s="74">
        <f t="shared" si="52"/>
        <v>0</v>
      </c>
      <c r="R265" s="197">
        <f t="shared" si="58"/>
        <v>67.011957589893598</v>
      </c>
      <c r="S265" s="166">
        <f t="shared" si="59"/>
        <v>1.0119575898935977</v>
      </c>
      <c r="T265" s="196"/>
    </row>
    <row r="266" spans="1:20" x14ac:dyDescent="0.25">
      <c r="A266" s="61">
        <f>'A) Base RI'!A267</f>
        <v>5858</v>
      </c>
      <c r="B266" s="72" t="str">
        <f>'A) Base RI'!B267</f>
        <v>Luins</v>
      </c>
      <c r="C266" s="205">
        <v>574868.66436550638</v>
      </c>
      <c r="D266" s="206">
        <v>583046</v>
      </c>
      <c r="E266" s="207">
        <v>0</v>
      </c>
      <c r="F266" s="206">
        <v>0</v>
      </c>
      <c r="G266" s="206">
        <v>0</v>
      </c>
      <c r="H266" s="208">
        <f t="shared" si="54"/>
        <v>1157914.6643655063</v>
      </c>
      <c r="I266" s="272">
        <v>35566.654611111124</v>
      </c>
      <c r="J266" s="125">
        <f>'B) D RI'!U267</f>
        <v>33594.571611111111</v>
      </c>
      <c r="K266" s="86">
        <f t="shared" ref="K266:K314" si="60">H266/I266</f>
        <v>32.556187165372883</v>
      </c>
      <c r="L266" s="43">
        <f>'B) D RI'!S267</f>
        <v>60</v>
      </c>
      <c r="M266" s="43">
        <f t="shared" si="55"/>
        <v>27.443812834627117</v>
      </c>
      <c r="N266" s="166">
        <f>'J) Plafonnement effort'!G265+'J) Plafonnement effort'!H265-'K) Plafonnement aide'!I265</f>
        <v>33.136083698691685</v>
      </c>
      <c r="O266" s="166">
        <f t="shared" si="56"/>
        <v>60.579896533318802</v>
      </c>
      <c r="P266" s="59">
        <f t="shared" si="57"/>
        <v>0</v>
      </c>
      <c r="Q266" s="74">
        <f t="shared" si="52"/>
        <v>0</v>
      </c>
      <c r="R266" s="197">
        <f t="shared" si="58"/>
        <v>60.579896533318802</v>
      </c>
      <c r="S266" s="166">
        <f t="shared" si="59"/>
        <v>0.5798965333188022</v>
      </c>
      <c r="T266" s="196"/>
    </row>
    <row r="267" spans="1:20" x14ac:dyDescent="0.25">
      <c r="A267" s="61">
        <f>'A) Base RI'!A268</f>
        <v>5859</v>
      </c>
      <c r="B267" s="72" t="str">
        <f>'A) Base RI'!B268</f>
        <v>Mont-sur-Rolle</v>
      </c>
      <c r="C267" s="205">
        <v>2251668.8622796126</v>
      </c>
      <c r="D267" s="206">
        <v>1848637</v>
      </c>
      <c r="E267" s="207">
        <v>0</v>
      </c>
      <c r="F267" s="206">
        <v>0</v>
      </c>
      <c r="G267" s="206">
        <v>0</v>
      </c>
      <c r="H267" s="208">
        <f t="shared" si="54"/>
        <v>4100305.8622796126</v>
      </c>
      <c r="I267" s="272">
        <v>135944.39825396828</v>
      </c>
      <c r="J267" s="125">
        <f>'B) D RI'!U268</f>
        <v>147627.58999999997</v>
      </c>
      <c r="K267" s="86">
        <f t="shared" si="60"/>
        <v>30.161638985811781</v>
      </c>
      <c r="L267" s="43">
        <f>'B) D RI'!S268</f>
        <v>63</v>
      </c>
      <c r="M267" s="43">
        <f t="shared" si="55"/>
        <v>32.838361014188223</v>
      </c>
      <c r="N267" s="166">
        <f>'J) Plafonnement effort'!G266+'J) Plafonnement effort'!H266-'K) Plafonnement aide'!I266</f>
        <v>32.25449806993656</v>
      </c>
      <c r="O267" s="166">
        <f t="shared" si="56"/>
        <v>65.092859084124782</v>
      </c>
      <c r="P267" s="59">
        <f t="shared" si="57"/>
        <v>0</v>
      </c>
      <c r="Q267" s="74">
        <f t="shared" ref="Q267:Q314" si="61">P267*J267</f>
        <v>0</v>
      </c>
      <c r="R267" s="197">
        <f t="shared" si="58"/>
        <v>65.092859084124782</v>
      </c>
      <c r="S267" s="166">
        <f t="shared" si="59"/>
        <v>2.0928590841247825</v>
      </c>
      <c r="T267" s="196"/>
    </row>
    <row r="268" spans="1:20" x14ac:dyDescent="0.25">
      <c r="A268" s="61">
        <f>'A) Base RI'!A269</f>
        <v>5860</v>
      </c>
      <c r="B268" s="72" t="str">
        <f>'A) Base RI'!B269</f>
        <v>Perroy</v>
      </c>
      <c r="C268" s="205">
        <v>1151676.0780039856</v>
      </c>
      <c r="D268" s="206">
        <v>1072194</v>
      </c>
      <c r="E268" s="207">
        <v>0</v>
      </c>
      <c r="F268" s="206">
        <v>0</v>
      </c>
      <c r="G268" s="206">
        <v>0</v>
      </c>
      <c r="H268" s="208">
        <f t="shared" si="54"/>
        <v>2223870.0780039858</v>
      </c>
      <c r="I268" s="272">
        <v>70993.86</v>
      </c>
      <c r="J268" s="125">
        <f>'B) D RI'!U269</f>
        <v>88241.731705128201</v>
      </c>
      <c r="K268" s="86">
        <f t="shared" si="60"/>
        <v>31.324822710076418</v>
      </c>
      <c r="L268" s="43">
        <f>'B) D RI'!S269</f>
        <v>60</v>
      </c>
      <c r="M268" s="43">
        <f t="shared" si="55"/>
        <v>28.675177289923582</v>
      </c>
      <c r="N268" s="166">
        <f>'J) Plafonnement effort'!G267+'J) Plafonnement effort'!H267-'K) Plafonnement aide'!I267</f>
        <v>36.763854399182556</v>
      </c>
      <c r="O268" s="166">
        <f t="shared" si="56"/>
        <v>65.439031689106145</v>
      </c>
      <c r="P268" s="59">
        <f t="shared" si="57"/>
        <v>0</v>
      </c>
      <c r="Q268" s="74">
        <f t="shared" si="61"/>
        <v>0</v>
      </c>
      <c r="R268" s="197">
        <f t="shared" si="58"/>
        <v>65.439031689106145</v>
      </c>
      <c r="S268" s="166">
        <f t="shared" si="59"/>
        <v>5.4390316891061445</v>
      </c>
      <c r="T268" s="196"/>
    </row>
    <row r="269" spans="1:20" x14ac:dyDescent="0.25">
      <c r="A269" s="61">
        <f>'A) Base RI'!A270</f>
        <v>5861</v>
      </c>
      <c r="B269" s="72" t="str">
        <f>'A) Base RI'!B270</f>
        <v>Rolle</v>
      </c>
      <c r="C269" s="205">
        <v>6597347.6801525</v>
      </c>
      <c r="D269" s="206">
        <v>4042438</v>
      </c>
      <c r="E269" s="207">
        <v>0</v>
      </c>
      <c r="F269" s="206">
        <v>0</v>
      </c>
      <c r="G269" s="206">
        <v>0</v>
      </c>
      <c r="H269" s="208">
        <f t="shared" si="54"/>
        <v>10639785.6801525</v>
      </c>
      <c r="I269" s="272">
        <v>356530.16436974786</v>
      </c>
      <c r="J269" s="125">
        <f>'B) D RI'!U270</f>
        <v>549155.69747899158</v>
      </c>
      <c r="K269" s="86">
        <f t="shared" si="60"/>
        <v>29.842596064657979</v>
      </c>
      <c r="L269" s="43">
        <f>'B) D RI'!S270</f>
        <v>59.5</v>
      </c>
      <c r="M269" s="43">
        <f t="shared" si="55"/>
        <v>29.657403935342021</v>
      </c>
      <c r="N269" s="166">
        <f>'J) Plafonnement effort'!G268+'J) Plafonnement effort'!H268-'K) Plafonnement aide'!I268</f>
        <v>38.272469231726305</v>
      </c>
      <c r="O269" s="166">
        <f t="shared" si="56"/>
        <v>67.929873167068322</v>
      </c>
      <c r="P269" s="59">
        <f t="shared" si="57"/>
        <v>0</v>
      </c>
      <c r="Q269" s="74">
        <f t="shared" si="61"/>
        <v>0</v>
      </c>
      <c r="R269" s="197">
        <f t="shared" si="58"/>
        <v>67.929873167068322</v>
      </c>
      <c r="S269" s="166">
        <f t="shared" si="59"/>
        <v>8.4298731670683225</v>
      </c>
      <c r="T269" s="196"/>
    </row>
    <row r="270" spans="1:20" x14ac:dyDescent="0.25">
      <c r="A270" s="61">
        <f>'A) Base RI'!A271</f>
        <v>5862</v>
      </c>
      <c r="B270" s="72" t="str">
        <f>'A) Base RI'!B271</f>
        <v>Tartegnin</v>
      </c>
      <c r="C270" s="205">
        <v>157256.72125612124</v>
      </c>
      <c r="D270" s="206">
        <v>55714.7510285998</v>
      </c>
      <c r="E270" s="207">
        <v>0</v>
      </c>
      <c r="F270" s="206">
        <v>0</v>
      </c>
      <c r="G270" s="206">
        <v>0</v>
      </c>
      <c r="H270" s="208">
        <f t="shared" si="54"/>
        <v>212971.47228472104</v>
      </c>
      <c r="I270" s="272">
        <v>7735.2980158730161</v>
      </c>
      <c r="J270" s="125">
        <f>'B) D RI'!U271</f>
        <v>9990.8663492063497</v>
      </c>
      <c r="K270" s="86">
        <f t="shared" si="60"/>
        <v>27.532419804343476</v>
      </c>
      <c r="L270" s="43">
        <f>'B) D RI'!S271</f>
        <v>84</v>
      </c>
      <c r="M270" s="43">
        <f t="shared" si="55"/>
        <v>56.467580195656524</v>
      </c>
      <c r="N270" s="166">
        <f>'J) Plafonnement effort'!G269+'J) Plafonnement effort'!H269-'K) Plafonnement aide'!I269</f>
        <v>32.883363467983891</v>
      </c>
      <c r="O270" s="166">
        <f t="shared" si="56"/>
        <v>89.350943663640408</v>
      </c>
      <c r="P270" s="59">
        <f t="shared" si="57"/>
        <v>0</v>
      </c>
      <c r="Q270" s="74">
        <f t="shared" si="61"/>
        <v>0</v>
      </c>
      <c r="R270" s="197">
        <f t="shared" si="58"/>
        <v>89.350943663640408</v>
      </c>
      <c r="S270" s="166">
        <f t="shared" si="59"/>
        <v>5.3509436636404075</v>
      </c>
      <c r="T270" s="196"/>
    </row>
    <row r="271" spans="1:20" x14ac:dyDescent="0.25">
      <c r="A271" s="61">
        <f>'A) Base RI'!A272</f>
        <v>5863</v>
      </c>
      <c r="B271" s="72" t="str">
        <f>'A) Base RI'!B272</f>
        <v>Vinzel</v>
      </c>
      <c r="C271" s="205">
        <v>325478.78163700167</v>
      </c>
      <c r="D271" s="206">
        <v>343687</v>
      </c>
      <c r="E271" s="207">
        <v>0</v>
      </c>
      <c r="F271" s="206">
        <v>0</v>
      </c>
      <c r="G271" s="206">
        <v>0</v>
      </c>
      <c r="H271" s="208">
        <f t="shared" si="54"/>
        <v>669165.78163700167</v>
      </c>
      <c r="I271" s="272">
        <v>21110.455753424656</v>
      </c>
      <c r="J271" s="125">
        <f>'B) D RI'!U272</f>
        <v>25660.793857142853</v>
      </c>
      <c r="K271" s="86">
        <f t="shared" si="60"/>
        <v>31.69831051745275</v>
      </c>
      <c r="L271" s="43">
        <f>'B) D RI'!S272</f>
        <v>70</v>
      </c>
      <c r="M271" s="43">
        <f t="shared" si="55"/>
        <v>38.301689482547246</v>
      </c>
      <c r="N271" s="166">
        <f>'J) Plafonnement effort'!G270+'J) Plafonnement effort'!H270-'K) Plafonnement aide'!I270</f>
        <v>38.625005921465856</v>
      </c>
      <c r="O271" s="166">
        <f t="shared" si="56"/>
        <v>76.926695404013103</v>
      </c>
      <c r="P271" s="59">
        <f t="shared" si="57"/>
        <v>0</v>
      </c>
      <c r="Q271" s="74">
        <f t="shared" si="61"/>
        <v>0</v>
      </c>
      <c r="R271" s="197">
        <f t="shared" si="58"/>
        <v>76.926695404013103</v>
      </c>
      <c r="S271" s="166">
        <f t="shared" si="59"/>
        <v>6.9266954040131026</v>
      </c>
      <c r="T271" s="196"/>
    </row>
    <row r="272" spans="1:20" x14ac:dyDescent="0.25">
      <c r="A272" s="61">
        <f>'A) Base RI'!A273</f>
        <v>5871</v>
      </c>
      <c r="B272" s="72" t="str">
        <f>'A) Base RI'!B273</f>
        <v>L'Abbaye</v>
      </c>
      <c r="C272" s="205">
        <v>1103208.511235964</v>
      </c>
      <c r="D272" s="206">
        <v>823285.67960793199</v>
      </c>
      <c r="E272" s="207">
        <v>0</v>
      </c>
      <c r="F272" s="206">
        <v>0</v>
      </c>
      <c r="G272" s="206">
        <v>0</v>
      </c>
      <c r="H272" s="208">
        <f t="shared" si="54"/>
        <v>1926494.190843896</v>
      </c>
      <c r="I272" s="272">
        <v>60910.131722525337</v>
      </c>
      <c r="J272" s="125">
        <f>'B) D RI'!U273</f>
        <v>49270.614706263776</v>
      </c>
      <c r="K272" s="86">
        <f t="shared" si="60"/>
        <v>31.62846863671211</v>
      </c>
      <c r="L272" s="43">
        <f>'B) D RI'!S273</f>
        <v>77.11</v>
      </c>
      <c r="M272" s="43">
        <f t="shared" si="55"/>
        <v>45.481531363287885</v>
      </c>
      <c r="N272" s="166">
        <f>'J) Plafonnement effort'!G271+'J) Plafonnement effort'!H271-'K) Plafonnement aide'!I271</f>
        <v>21.60975262250733</v>
      </c>
      <c r="O272" s="166">
        <f t="shared" si="56"/>
        <v>67.091283985795215</v>
      </c>
      <c r="P272" s="59">
        <f t="shared" si="57"/>
        <v>0</v>
      </c>
      <c r="Q272" s="74">
        <f t="shared" si="61"/>
        <v>0</v>
      </c>
      <c r="R272" s="197">
        <f t="shared" si="58"/>
        <v>67.091283985795215</v>
      </c>
      <c r="S272" s="166">
        <f t="shared" si="59"/>
        <v>-10.018716014204784</v>
      </c>
      <c r="T272" s="196"/>
    </row>
    <row r="273" spans="1:20" x14ac:dyDescent="0.25">
      <c r="A273" s="61">
        <f>'A) Base RI'!A274</f>
        <v>5872</v>
      </c>
      <c r="B273" s="72" t="str">
        <f>'A) Base RI'!B274</f>
        <v>Le Chenit</v>
      </c>
      <c r="C273" s="205">
        <v>10368188.442714408</v>
      </c>
      <c r="D273" s="206">
        <v>4405818</v>
      </c>
      <c r="E273" s="207">
        <v>0</v>
      </c>
      <c r="F273" s="206">
        <v>0</v>
      </c>
      <c r="G273" s="206">
        <v>0</v>
      </c>
      <c r="H273" s="208">
        <f t="shared" si="54"/>
        <v>14774006.442714408</v>
      </c>
      <c r="I273" s="272">
        <v>373754.29606892174</v>
      </c>
      <c r="J273" s="125">
        <f>'B) D RI'!U274</f>
        <v>312565.48082674423</v>
      </c>
      <c r="K273" s="86">
        <f t="shared" si="60"/>
        <v>39.528659865865528</v>
      </c>
      <c r="L273" s="43">
        <f>'B) D RI'!S274</f>
        <v>69.739999999999995</v>
      </c>
      <c r="M273" s="43">
        <f t="shared" si="55"/>
        <v>30.211340134134467</v>
      </c>
      <c r="N273" s="166">
        <f>'J) Plafonnement effort'!G272+'J) Plafonnement effort'!H272-'K) Plafonnement aide'!I272</f>
        <v>33.329141516233726</v>
      </c>
      <c r="O273" s="166">
        <f t="shared" si="56"/>
        <v>63.540481650368193</v>
      </c>
      <c r="P273" s="59">
        <f t="shared" si="57"/>
        <v>0</v>
      </c>
      <c r="Q273" s="74">
        <f t="shared" si="61"/>
        <v>0</v>
      </c>
      <c r="R273" s="197">
        <f t="shared" si="58"/>
        <v>63.540481650368193</v>
      </c>
      <c r="S273" s="166">
        <f t="shared" si="59"/>
        <v>-6.199518349631802</v>
      </c>
      <c r="T273" s="196"/>
    </row>
    <row r="274" spans="1:20" x14ac:dyDescent="0.25">
      <c r="A274" s="61">
        <f>'A) Base RI'!A275</f>
        <v>5873</v>
      </c>
      <c r="B274" s="72" t="str">
        <f>'A) Base RI'!B275</f>
        <v>Le Lieu</v>
      </c>
      <c r="C274" s="205">
        <v>878984.79205586412</v>
      </c>
      <c r="D274" s="206">
        <v>641113</v>
      </c>
      <c r="E274" s="207">
        <v>0</v>
      </c>
      <c r="F274" s="206">
        <v>0</v>
      </c>
      <c r="G274" s="206">
        <v>0</v>
      </c>
      <c r="H274" s="208">
        <f t="shared" si="54"/>
        <v>1520097.7920558641</v>
      </c>
      <c r="I274" s="272">
        <v>39370.007846153843</v>
      </c>
      <c r="J274" s="125">
        <f>'B) D RI'!U275</f>
        <v>35906.558461538458</v>
      </c>
      <c r="K274" s="86">
        <f t="shared" si="60"/>
        <v>38.610553444539541</v>
      </c>
      <c r="L274" s="43">
        <f>'B) D RI'!S275</f>
        <v>65</v>
      </c>
      <c r="M274" s="43">
        <f t="shared" si="55"/>
        <v>26.389446555460459</v>
      </c>
      <c r="N274" s="166">
        <f>'J) Plafonnement effort'!G273+'J) Plafonnement effort'!H273-'K) Plafonnement aide'!I273</f>
        <v>19.423718318419279</v>
      </c>
      <c r="O274" s="166">
        <f t="shared" si="56"/>
        <v>45.813164873879742</v>
      </c>
      <c r="P274" s="59">
        <f t="shared" si="57"/>
        <v>0</v>
      </c>
      <c r="Q274" s="74">
        <f t="shared" si="61"/>
        <v>0</v>
      </c>
      <c r="R274" s="197">
        <f t="shared" si="58"/>
        <v>45.813164873879742</v>
      </c>
      <c r="S274" s="166">
        <f t="shared" si="59"/>
        <v>-19.186835126120258</v>
      </c>
      <c r="T274" s="196"/>
    </row>
    <row r="275" spans="1:20" x14ac:dyDescent="0.25">
      <c r="A275" s="61">
        <f>'A) Base RI'!A276</f>
        <v>5881</v>
      </c>
      <c r="B275" s="72" t="str">
        <f>'A) Base RI'!B276</f>
        <v>Blonay</v>
      </c>
      <c r="C275" s="205">
        <v>5263693.8270304538</v>
      </c>
      <c r="D275" s="206">
        <v>3660164</v>
      </c>
      <c r="E275" s="207">
        <v>0</v>
      </c>
      <c r="F275" s="206">
        <v>0</v>
      </c>
      <c r="G275" s="206">
        <v>0</v>
      </c>
      <c r="H275" s="208">
        <f t="shared" si="54"/>
        <v>8923857.8270304538</v>
      </c>
      <c r="I275" s="272">
        <v>331887.5422222222</v>
      </c>
      <c r="J275" s="125">
        <f>'B) D RI'!U276</f>
        <v>350302.66257142869</v>
      </c>
      <c r="K275" s="86">
        <f t="shared" si="60"/>
        <v>26.888197632483894</v>
      </c>
      <c r="L275" s="43">
        <f>'B) D RI'!S276</f>
        <v>70</v>
      </c>
      <c r="M275" s="43">
        <f t="shared" si="55"/>
        <v>43.111802367516106</v>
      </c>
      <c r="N275" s="166">
        <f>'J) Plafonnement effort'!G274+'J) Plafonnement effort'!H274-'K) Plafonnement aide'!I274</f>
        <v>28.403145770109465</v>
      </c>
      <c r="O275" s="166">
        <f t="shared" si="56"/>
        <v>71.514948137625566</v>
      </c>
      <c r="P275" s="59">
        <f t="shared" si="57"/>
        <v>0</v>
      </c>
      <c r="Q275" s="74">
        <f t="shared" si="61"/>
        <v>0</v>
      </c>
      <c r="R275" s="197">
        <f t="shared" si="58"/>
        <v>71.514948137625566</v>
      </c>
      <c r="S275" s="166">
        <f t="shared" si="59"/>
        <v>1.5149481376255665</v>
      </c>
      <c r="T275" s="196"/>
    </row>
    <row r="276" spans="1:20" x14ac:dyDescent="0.25">
      <c r="A276" s="61">
        <f>'A) Base RI'!A277</f>
        <v>5882</v>
      </c>
      <c r="B276" s="72" t="str">
        <f>'A) Base RI'!B277</f>
        <v>Chardonne</v>
      </c>
      <c r="C276" s="205">
        <v>3787810.1357245212</v>
      </c>
      <c r="D276" s="206">
        <v>2205362</v>
      </c>
      <c r="E276" s="207">
        <v>0</v>
      </c>
      <c r="F276" s="206">
        <v>0</v>
      </c>
      <c r="G276" s="206">
        <v>0</v>
      </c>
      <c r="H276" s="208">
        <f t="shared" si="54"/>
        <v>5993172.1357245212</v>
      </c>
      <c r="I276" s="272">
        <v>161225.34606060604</v>
      </c>
      <c r="J276" s="125">
        <f>'B) D RI'!U277</f>
        <v>162874.24803030302</v>
      </c>
      <c r="K276" s="86">
        <f t="shared" si="60"/>
        <v>37.172642404945648</v>
      </c>
      <c r="L276" s="43">
        <f>'B) D RI'!S277</f>
        <v>66</v>
      </c>
      <c r="M276" s="43">
        <f t="shared" si="55"/>
        <v>28.827357595054352</v>
      </c>
      <c r="N276" s="166">
        <f>'J) Plafonnement effort'!G275+'J) Plafonnement effort'!H275-'K) Plafonnement aide'!I275</f>
        <v>32.648448644201096</v>
      </c>
      <c r="O276" s="166">
        <f t="shared" si="56"/>
        <v>61.475806239255448</v>
      </c>
      <c r="P276" s="59">
        <f t="shared" si="57"/>
        <v>0</v>
      </c>
      <c r="Q276" s="74">
        <f t="shared" si="61"/>
        <v>0</v>
      </c>
      <c r="R276" s="197">
        <f t="shared" si="58"/>
        <v>61.475806239255448</v>
      </c>
      <c r="S276" s="166">
        <f t="shared" si="59"/>
        <v>-4.5241937607445522</v>
      </c>
      <c r="T276" s="196"/>
    </row>
    <row r="277" spans="1:20" x14ac:dyDescent="0.25">
      <c r="A277" s="61">
        <f>'A) Base RI'!A278</f>
        <v>5883</v>
      </c>
      <c r="B277" s="72" t="str">
        <f>'A) Base RI'!B278</f>
        <v>Corseaux</v>
      </c>
      <c r="C277" s="205">
        <v>3355150.007777025</v>
      </c>
      <c r="D277" s="206">
        <v>2153289</v>
      </c>
      <c r="E277" s="207">
        <v>0</v>
      </c>
      <c r="F277" s="206">
        <v>0</v>
      </c>
      <c r="G277" s="206">
        <v>0</v>
      </c>
      <c r="H277" s="208">
        <f t="shared" si="54"/>
        <v>5508439.007777025</v>
      </c>
      <c r="I277" s="272">
        <v>159212.38328124999</v>
      </c>
      <c r="J277" s="125">
        <f>'B) D RI'!U278</f>
        <v>144418.05406250001</v>
      </c>
      <c r="K277" s="86">
        <f t="shared" si="60"/>
        <v>34.598056346197154</v>
      </c>
      <c r="L277" s="43">
        <f>'B) D RI'!S278</f>
        <v>64</v>
      </c>
      <c r="M277" s="43">
        <f t="shared" si="55"/>
        <v>29.401943653802846</v>
      </c>
      <c r="N277" s="166">
        <f>'J) Plafonnement effort'!G276+'J) Plafonnement effort'!H276-'K) Plafonnement aide'!I276</f>
        <v>37.218324757662806</v>
      </c>
      <c r="O277" s="166">
        <f t="shared" si="56"/>
        <v>66.620268411465645</v>
      </c>
      <c r="P277" s="59">
        <f t="shared" si="57"/>
        <v>0</v>
      </c>
      <c r="Q277" s="74">
        <f t="shared" si="61"/>
        <v>0</v>
      </c>
      <c r="R277" s="197">
        <f t="shared" si="58"/>
        <v>66.620268411465645</v>
      </c>
      <c r="S277" s="166">
        <f t="shared" si="59"/>
        <v>2.6202684114656449</v>
      </c>
      <c r="T277" s="196"/>
    </row>
    <row r="278" spans="1:20" x14ac:dyDescent="0.25">
      <c r="A278" s="61">
        <f>'A) Base RI'!A279</f>
        <v>5884</v>
      </c>
      <c r="B278" s="72" t="str">
        <f>'A) Base RI'!B279</f>
        <v>Corsier-sur-Vevey</v>
      </c>
      <c r="C278" s="205">
        <v>2556832.156379119</v>
      </c>
      <c r="D278" s="206">
        <v>2110986</v>
      </c>
      <c r="E278" s="207">
        <v>0</v>
      </c>
      <c r="F278" s="206">
        <v>0</v>
      </c>
      <c r="G278" s="206">
        <v>0</v>
      </c>
      <c r="H278" s="208">
        <f t="shared" si="54"/>
        <v>4667818.1563791186</v>
      </c>
      <c r="I278" s="272">
        <v>168349.34338383839</v>
      </c>
      <c r="J278" s="125">
        <f>'B) D RI'!U279</f>
        <v>132379.93277777778</v>
      </c>
      <c r="K278" s="86">
        <f t="shared" si="60"/>
        <v>27.726975719391081</v>
      </c>
      <c r="L278" s="43">
        <f>'B) D RI'!S279</f>
        <v>66</v>
      </c>
      <c r="M278" s="43">
        <f t="shared" si="55"/>
        <v>38.273024280608922</v>
      </c>
      <c r="N278" s="166">
        <f>'J) Plafonnement effort'!G277+'J) Plafonnement effort'!H277-'K) Plafonnement aide'!I277</f>
        <v>21.508614067200146</v>
      </c>
      <c r="O278" s="166">
        <f t="shared" si="56"/>
        <v>59.781638347809064</v>
      </c>
      <c r="P278" s="59">
        <f t="shared" si="57"/>
        <v>0</v>
      </c>
      <c r="Q278" s="74">
        <f t="shared" si="61"/>
        <v>0</v>
      </c>
      <c r="R278" s="197">
        <f t="shared" si="58"/>
        <v>59.781638347809064</v>
      </c>
      <c r="S278" s="166">
        <f t="shared" si="59"/>
        <v>-6.2183616521909357</v>
      </c>
      <c r="T278" s="196"/>
    </row>
    <row r="279" spans="1:20" x14ac:dyDescent="0.25">
      <c r="A279" s="61">
        <f>'A) Base RI'!A280</f>
        <v>5885</v>
      </c>
      <c r="B279" s="72" t="str">
        <f>'A) Base RI'!B280</f>
        <v>Jongny</v>
      </c>
      <c r="C279" s="205">
        <v>1231493.4184448835</v>
      </c>
      <c r="D279" s="206">
        <v>1140285</v>
      </c>
      <c r="E279" s="207">
        <v>0</v>
      </c>
      <c r="F279" s="206">
        <v>0</v>
      </c>
      <c r="G279" s="206">
        <v>0</v>
      </c>
      <c r="H279" s="208">
        <f t="shared" si="54"/>
        <v>2371778.4184448835</v>
      </c>
      <c r="I279" s="272">
        <v>76199.638309178743</v>
      </c>
      <c r="J279" s="125">
        <f>'B) D RI'!U280</f>
        <v>138055.78997584543</v>
      </c>
      <c r="K279" s="86">
        <f t="shared" si="60"/>
        <v>31.125848771373857</v>
      </c>
      <c r="L279" s="43">
        <f>'B) D RI'!S280</f>
        <v>69</v>
      </c>
      <c r="M279" s="43">
        <f t="shared" si="55"/>
        <v>37.874151228626147</v>
      </c>
      <c r="N279" s="166">
        <f>'J) Plafonnement effort'!G278+'J) Plafonnement effort'!H278-'K) Plafonnement aide'!I278</f>
        <v>41.774546528941663</v>
      </c>
      <c r="O279" s="166">
        <f t="shared" si="56"/>
        <v>79.648697757567817</v>
      </c>
      <c r="P279" s="59">
        <f t="shared" si="57"/>
        <v>0</v>
      </c>
      <c r="Q279" s="74">
        <f t="shared" si="61"/>
        <v>0</v>
      </c>
      <c r="R279" s="197">
        <f t="shared" si="58"/>
        <v>79.648697757567817</v>
      </c>
      <c r="S279" s="166">
        <f t="shared" si="59"/>
        <v>10.648697757567817</v>
      </c>
      <c r="T279" s="196"/>
    </row>
    <row r="280" spans="1:20" x14ac:dyDescent="0.25">
      <c r="A280" s="61">
        <f>'A) Base RI'!A281</f>
        <v>5886</v>
      </c>
      <c r="B280" s="72" t="str">
        <f>'A) Base RI'!B281</f>
        <v>Montreux</v>
      </c>
      <c r="C280" s="205">
        <v>20417745.730272055</v>
      </c>
      <c r="D280" s="206">
        <v>-1164447.8400961682</v>
      </c>
      <c r="E280" s="207">
        <v>0</v>
      </c>
      <c r="F280" s="206">
        <v>0</v>
      </c>
      <c r="G280" s="206">
        <v>0</v>
      </c>
      <c r="H280" s="208">
        <f t="shared" si="54"/>
        <v>19253297.890175886</v>
      </c>
      <c r="I280" s="272">
        <v>1119854.9833838383</v>
      </c>
      <c r="J280" s="125">
        <f>'B) D RI'!U281</f>
        <v>1113145.3400000003</v>
      </c>
      <c r="K280" s="86">
        <f t="shared" si="60"/>
        <v>17.192670636691432</v>
      </c>
      <c r="L280" s="43">
        <f>'B) D RI'!S281</f>
        <v>65</v>
      </c>
      <c r="M280" s="43">
        <f t="shared" si="55"/>
        <v>47.807329363308568</v>
      </c>
      <c r="N280" s="166">
        <f>'J) Plafonnement effort'!G279+'J) Plafonnement effort'!H279-'K) Plafonnement aide'!I279</f>
        <v>16.352724431557846</v>
      </c>
      <c r="O280" s="166">
        <f t="shared" si="56"/>
        <v>64.160053794866414</v>
      </c>
      <c r="P280" s="59">
        <f t="shared" si="57"/>
        <v>0</v>
      </c>
      <c r="Q280" s="74">
        <f t="shared" si="61"/>
        <v>0</v>
      </c>
      <c r="R280" s="197">
        <f t="shared" si="58"/>
        <v>64.160053794866414</v>
      </c>
      <c r="S280" s="166">
        <f t="shared" si="59"/>
        <v>-0.83994620513358598</v>
      </c>
      <c r="T280" s="196"/>
    </row>
    <row r="281" spans="1:20" x14ac:dyDescent="0.25">
      <c r="A281" s="61">
        <f>'A) Base RI'!A282</f>
        <v>5888</v>
      </c>
      <c r="B281" s="72" t="str">
        <f>'A) Base RI'!B282</f>
        <v>Saint-Légier-La Chiésaz</v>
      </c>
      <c r="C281" s="205">
        <v>6910413.5461720824</v>
      </c>
      <c r="D281" s="206">
        <v>4233095</v>
      </c>
      <c r="E281" s="207">
        <v>0</v>
      </c>
      <c r="F281" s="206">
        <v>0</v>
      </c>
      <c r="G281" s="206">
        <v>0</v>
      </c>
      <c r="H281" s="208">
        <f t="shared" si="54"/>
        <v>11143508.546172082</v>
      </c>
      <c r="I281" s="272">
        <v>357526.04545454547</v>
      </c>
      <c r="J281" s="125">
        <f>'B) D RI'!U282</f>
        <v>313348.84833333333</v>
      </c>
      <c r="K281" s="86">
        <f t="shared" si="60"/>
        <v>31.168382521627578</v>
      </c>
      <c r="L281" s="43">
        <f>'B) D RI'!S282</f>
        <v>66</v>
      </c>
      <c r="M281" s="43">
        <f t="shared" si="55"/>
        <v>34.831617478372422</v>
      </c>
      <c r="N281" s="166">
        <f>'J) Plafonnement effort'!G280+'J) Plafonnement effort'!H280-'K) Plafonnement aide'!I280</f>
        <v>26.765805615104181</v>
      </c>
      <c r="O281" s="166">
        <f t="shared" si="56"/>
        <v>61.597423093476607</v>
      </c>
      <c r="P281" s="59">
        <f t="shared" si="57"/>
        <v>0</v>
      </c>
      <c r="Q281" s="74">
        <f t="shared" si="61"/>
        <v>0</v>
      </c>
      <c r="R281" s="197">
        <f t="shared" si="58"/>
        <v>61.597423093476607</v>
      </c>
      <c r="S281" s="166">
        <f t="shared" si="59"/>
        <v>-4.4025769065233931</v>
      </c>
      <c r="T281" s="196"/>
    </row>
    <row r="282" spans="1:20" x14ac:dyDescent="0.25">
      <c r="A282" s="61">
        <f>'A) Base RI'!A283</f>
        <v>5889</v>
      </c>
      <c r="B282" s="72" t="str">
        <f>'A) Base RI'!B283</f>
        <v>La Tour-de-Peilz</v>
      </c>
      <c r="C282" s="205">
        <v>9451756.8594415411</v>
      </c>
      <c r="D282" s="206">
        <v>4870509</v>
      </c>
      <c r="E282" s="207">
        <v>0</v>
      </c>
      <c r="F282" s="206">
        <v>0</v>
      </c>
      <c r="G282" s="206">
        <v>0</v>
      </c>
      <c r="H282" s="208">
        <f t="shared" si="54"/>
        <v>14322265.859441541</v>
      </c>
      <c r="I282" s="272">
        <v>593029.02942708356</v>
      </c>
      <c r="J282" s="125">
        <f>'B) D RI'!U283</f>
        <v>590141.45856770838</v>
      </c>
      <c r="K282" s="86">
        <f t="shared" si="60"/>
        <v>24.151036709413816</v>
      </c>
      <c r="L282" s="43">
        <f>'B) D RI'!S283</f>
        <v>64</v>
      </c>
      <c r="M282" s="43">
        <f t="shared" si="55"/>
        <v>39.848963290586184</v>
      </c>
      <c r="N282" s="166">
        <f>'J) Plafonnement effort'!G281+'J) Plafonnement effort'!H281-'K) Plafonnement aide'!I281</f>
        <v>25.444641233148342</v>
      </c>
      <c r="O282" s="166">
        <f t="shared" si="56"/>
        <v>65.29360452373453</v>
      </c>
      <c r="P282" s="59">
        <f t="shared" si="57"/>
        <v>0</v>
      </c>
      <c r="Q282" s="74">
        <f t="shared" si="61"/>
        <v>0</v>
      </c>
      <c r="R282" s="197">
        <f t="shared" si="58"/>
        <v>65.29360452373453</v>
      </c>
      <c r="S282" s="166">
        <f t="shared" si="59"/>
        <v>1.2936045237345297</v>
      </c>
      <c r="T282" s="196"/>
    </row>
    <row r="283" spans="1:20" x14ac:dyDescent="0.25">
      <c r="A283" s="61">
        <f>'A) Base RI'!A284</f>
        <v>5890</v>
      </c>
      <c r="B283" s="72" t="str">
        <f>'A) Base RI'!B284</f>
        <v>Vevey</v>
      </c>
      <c r="C283" s="205">
        <v>14675123.468409808</v>
      </c>
      <c r="D283" s="206">
        <v>3202896</v>
      </c>
      <c r="E283" s="207">
        <v>0</v>
      </c>
      <c r="F283" s="206">
        <v>0</v>
      </c>
      <c r="G283" s="206">
        <v>0</v>
      </c>
      <c r="H283" s="208">
        <f t="shared" si="54"/>
        <v>17878019.468409806</v>
      </c>
      <c r="I283" s="272">
        <v>920050.18059360737</v>
      </c>
      <c r="J283" s="125">
        <f>'B) D RI'!U284</f>
        <v>922155.6933561645</v>
      </c>
      <c r="K283" s="86">
        <f t="shared" si="60"/>
        <v>19.431569979014714</v>
      </c>
      <c r="L283" s="43">
        <f>'B) D RI'!S284</f>
        <v>73</v>
      </c>
      <c r="M283" s="43">
        <f t="shared" si="55"/>
        <v>53.568430020985289</v>
      </c>
      <c r="N283" s="166">
        <f>'J) Plafonnement effort'!G282+'J) Plafonnement effort'!H282-'K) Plafonnement aide'!I282</f>
        <v>20.403134824297709</v>
      </c>
      <c r="O283" s="166">
        <f t="shared" si="56"/>
        <v>73.971564845282998</v>
      </c>
      <c r="P283" s="59">
        <f t="shared" si="57"/>
        <v>0</v>
      </c>
      <c r="Q283" s="74">
        <f t="shared" si="61"/>
        <v>0</v>
      </c>
      <c r="R283" s="197">
        <f t="shared" si="58"/>
        <v>73.971564845282998</v>
      </c>
      <c r="S283" s="166">
        <f t="shared" si="59"/>
        <v>0.97156484528299814</v>
      </c>
      <c r="T283" s="196"/>
    </row>
    <row r="284" spans="1:20" x14ac:dyDescent="0.25">
      <c r="A284" s="61">
        <f>'A) Base RI'!A285</f>
        <v>5891</v>
      </c>
      <c r="B284" s="72" t="str">
        <f>'A) Base RI'!B285</f>
        <v>Veytaux</v>
      </c>
      <c r="C284" s="205">
        <v>811705.10172576539</v>
      </c>
      <c r="D284" s="206">
        <v>610235</v>
      </c>
      <c r="E284" s="207">
        <v>0</v>
      </c>
      <c r="F284" s="206">
        <v>0</v>
      </c>
      <c r="G284" s="206">
        <v>0</v>
      </c>
      <c r="H284" s="208">
        <f t="shared" si="54"/>
        <v>1421940.1017257655</v>
      </c>
      <c r="I284" s="272">
        <v>37637.543719806752</v>
      </c>
      <c r="J284" s="125">
        <f>'B) D RI'!U285</f>
        <v>37259.444879227056</v>
      </c>
      <c r="K284" s="86">
        <f t="shared" si="60"/>
        <v>37.779832613717289</v>
      </c>
      <c r="L284" s="43">
        <f>'B) D RI'!S285</f>
        <v>69</v>
      </c>
      <c r="M284" s="43">
        <f t="shared" si="55"/>
        <v>31.220167386282711</v>
      </c>
      <c r="N284" s="166">
        <f>'J) Plafonnement effort'!G283+'J) Plafonnement effort'!H283-'K) Plafonnement aide'!I283</f>
        <v>25.789984951890339</v>
      </c>
      <c r="O284" s="166">
        <f t="shared" si="56"/>
        <v>57.01015233817305</v>
      </c>
      <c r="P284" s="59">
        <f t="shared" si="57"/>
        <v>0</v>
      </c>
      <c r="Q284" s="74">
        <f t="shared" si="61"/>
        <v>0</v>
      </c>
      <c r="R284" s="197">
        <f t="shared" si="58"/>
        <v>57.01015233817305</v>
      </c>
      <c r="S284" s="166">
        <f t="shared" si="59"/>
        <v>-11.98984766182695</v>
      </c>
      <c r="T284" s="196"/>
    </row>
    <row r="285" spans="1:20" x14ac:dyDescent="0.25">
      <c r="A285" s="61">
        <f>'A) Base RI'!A286</f>
        <v>5902</v>
      </c>
      <c r="B285" s="72" t="str">
        <f>'A) Base RI'!B286</f>
        <v>Belmont-sur-Yverdon</v>
      </c>
      <c r="C285" s="205">
        <v>164268.1694031099</v>
      </c>
      <c r="D285" s="206">
        <v>-31349.893119599961</v>
      </c>
      <c r="E285" s="207">
        <v>0</v>
      </c>
      <c r="F285" s="206">
        <v>0</v>
      </c>
      <c r="G285" s="206">
        <v>0</v>
      </c>
      <c r="H285" s="208">
        <f t="shared" si="54"/>
        <v>132918.27628350994</v>
      </c>
      <c r="I285" s="272">
        <v>8809.0856578947369</v>
      </c>
      <c r="J285" s="125">
        <f>'B) D RI'!U286</f>
        <v>8642.2247368421067</v>
      </c>
      <c r="K285" s="86">
        <f t="shared" si="60"/>
        <v>15.088771008190625</v>
      </c>
      <c r="L285" s="43">
        <f>'B) D RI'!S286</f>
        <v>76</v>
      </c>
      <c r="M285" s="43">
        <f t="shared" si="55"/>
        <v>60.911228991809374</v>
      </c>
      <c r="N285" s="166">
        <f>'J) Plafonnement effort'!G284+'J) Plafonnement effort'!H284-'K) Plafonnement aide'!I284</f>
        <v>-1.8973812350562866</v>
      </c>
      <c r="O285" s="166">
        <f t="shared" si="56"/>
        <v>59.013847756753087</v>
      </c>
      <c r="P285" s="59">
        <f t="shared" si="57"/>
        <v>0</v>
      </c>
      <c r="Q285" s="74">
        <f t="shared" si="61"/>
        <v>0</v>
      </c>
      <c r="R285" s="197">
        <f t="shared" si="58"/>
        <v>59.013847756753087</v>
      </c>
      <c r="S285" s="166">
        <f t="shared" si="59"/>
        <v>-16.986152243246913</v>
      </c>
      <c r="T285" s="196"/>
    </row>
    <row r="286" spans="1:20" x14ac:dyDescent="0.25">
      <c r="A286" s="61">
        <f>'A) Base RI'!A287</f>
        <v>5903</v>
      </c>
      <c r="B286" s="72" t="str">
        <f>'A) Base RI'!B287</f>
        <v>Bioley-Magnoux</v>
      </c>
      <c r="C286" s="205">
        <v>90370.890803925824</v>
      </c>
      <c r="D286" s="206">
        <v>37700.135616093467</v>
      </c>
      <c r="E286" s="207">
        <v>0</v>
      </c>
      <c r="F286" s="206">
        <v>0</v>
      </c>
      <c r="G286" s="206">
        <v>0</v>
      </c>
      <c r="H286" s="208">
        <f t="shared" si="54"/>
        <v>128071.02642001929</v>
      </c>
      <c r="I286" s="272">
        <v>6088.8460038610028</v>
      </c>
      <c r="J286" s="125">
        <f>'B) D RI'!U287</f>
        <v>6046.5271621621623</v>
      </c>
      <c r="K286" s="86">
        <f t="shared" si="60"/>
        <v>21.033710877037795</v>
      </c>
      <c r="L286" s="43">
        <f>'B) D RI'!S287</f>
        <v>74</v>
      </c>
      <c r="M286" s="43">
        <f t="shared" si="55"/>
        <v>52.966289122962209</v>
      </c>
      <c r="N286" s="166">
        <f>'J) Plafonnement effort'!G285+'J) Plafonnement effort'!H285-'K) Plafonnement aide'!I285</f>
        <v>1.0495238610739612</v>
      </c>
      <c r="O286" s="166">
        <f t="shared" si="56"/>
        <v>54.015812984036174</v>
      </c>
      <c r="P286" s="59">
        <f t="shared" si="57"/>
        <v>0</v>
      </c>
      <c r="Q286" s="74">
        <f t="shared" si="61"/>
        <v>0</v>
      </c>
      <c r="R286" s="197">
        <f t="shared" si="58"/>
        <v>54.015812984036174</v>
      </c>
      <c r="S286" s="166">
        <f t="shared" si="59"/>
        <v>-19.984187015963826</v>
      </c>
      <c r="T286" s="196"/>
    </row>
    <row r="287" spans="1:20" x14ac:dyDescent="0.25">
      <c r="A287" s="61">
        <f>'A) Base RI'!A288</f>
        <v>5904</v>
      </c>
      <c r="B287" s="72" t="str">
        <f>'A) Base RI'!B288</f>
        <v>Chamblon</v>
      </c>
      <c r="C287" s="205">
        <v>321844.65655669023</v>
      </c>
      <c r="D287" s="206">
        <v>265255.34306888317</v>
      </c>
      <c r="E287" s="207">
        <v>0</v>
      </c>
      <c r="F287" s="206">
        <v>0</v>
      </c>
      <c r="G287" s="206">
        <v>0</v>
      </c>
      <c r="H287" s="208">
        <f t="shared" si="54"/>
        <v>587099.9996255734</v>
      </c>
      <c r="I287" s="272">
        <v>21622.015909090911</v>
      </c>
      <c r="J287" s="125">
        <f>'B) D RI'!U288</f>
        <v>20170.434545454544</v>
      </c>
      <c r="K287" s="86">
        <f t="shared" si="60"/>
        <v>27.152879828320216</v>
      </c>
      <c r="L287" s="43">
        <f>'B) D RI'!S288</f>
        <v>66</v>
      </c>
      <c r="M287" s="43">
        <f t="shared" si="55"/>
        <v>38.847120171679784</v>
      </c>
      <c r="N287" s="166">
        <f>'J) Plafonnement effort'!G286+'J) Plafonnement effort'!H286-'K) Plafonnement aide'!I286</f>
        <v>30.890047068538756</v>
      </c>
      <c r="O287" s="166">
        <f t="shared" si="56"/>
        <v>69.73716724021854</v>
      </c>
      <c r="P287" s="59">
        <f t="shared" si="57"/>
        <v>0</v>
      </c>
      <c r="Q287" s="74">
        <f t="shared" si="61"/>
        <v>0</v>
      </c>
      <c r="R287" s="197">
        <f t="shared" si="58"/>
        <v>69.73716724021854</v>
      </c>
      <c r="S287" s="166">
        <f t="shared" si="59"/>
        <v>3.7371672402185396</v>
      </c>
      <c r="T287" s="196"/>
    </row>
    <row r="288" spans="1:20" x14ac:dyDescent="0.25">
      <c r="A288" s="61">
        <f>'A) Base RI'!A289</f>
        <v>5905</v>
      </c>
      <c r="B288" s="72" t="str">
        <f>'A) Base RI'!B289</f>
        <v>Champvent</v>
      </c>
      <c r="C288" s="205">
        <v>335632.31313241948</v>
      </c>
      <c r="D288" s="206">
        <v>193363.26171668686</v>
      </c>
      <c r="E288" s="207">
        <v>0</v>
      </c>
      <c r="F288" s="206">
        <v>0</v>
      </c>
      <c r="G288" s="206">
        <v>0</v>
      </c>
      <c r="H288" s="208">
        <f t="shared" si="54"/>
        <v>528995.57484910637</v>
      </c>
      <c r="I288" s="272">
        <v>20315.716338028171</v>
      </c>
      <c r="J288" s="125">
        <f>'B) D RI'!U289</f>
        <v>18220.765633802814</v>
      </c>
      <c r="K288" s="86">
        <f t="shared" si="60"/>
        <v>26.038736023248212</v>
      </c>
      <c r="L288" s="43">
        <f>'B) D RI'!S289</f>
        <v>71</v>
      </c>
      <c r="M288" s="43">
        <f t="shared" si="55"/>
        <v>44.961263976751788</v>
      </c>
      <c r="N288" s="166">
        <f>'J) Plafonnement effort'!G287+'J) Plafonnement effort'!H287-'K) Plafonnement aide'!I287</f>
        <v>18.525484726492568</v>
      </c>
      <c r="O288" s="166">
        <f t="shared" si="56"/>
        <v>63.486748703244359</v>
      </c>
      <c r="P288" s="59">
        <f t="shared" si="57"/>
        <v>0</v>
      </c>
      <c r="Q288" s="74">
        <f t="shared" si="61"/>
        <v>0</v>
      </c>
      <c r="R288" s="197">
        <f t="shared" si="58"/>
        <v>63.486748703244359</v>
      </c>
      <c r="S288" s="166">
        <f t="shared" si="59"/>
        <v>-7.5132512967556409</v>
      </c>
      <c r="T288" s="196"/>
    </row>
    <row r="289" spans="1:20" x14ac:dyDescent="0.25">
      <c r="A289" s="61">
        <f>'A) Base RI'!A290</f>
        <v>5907</v>
      </c>
      <c r="B289" s="72" t="str">
        <f>'A) Base RI'!B290</f>
        <v>Chavannes-le-Chêne</v>
      </c>
      <c r="C289" s="205">
        <v>102470.04505988491</v>
      </c>
      <c r="D289" s="206">
        <v>-30132.899610656663</v>
      </c>
      <c r="E289" s="207">
        <v>0</v>
      </c>
      <c r="F289" s="206">
        <v>0</v>
      </c>
      <c r="G289" s="206">
        <v>0</v>
      </c>
      <c r="H289" s="208">
        <f t="shared" si="54"/>
        <v>72337.14544922825</v>
      </c>
      <c r="I289" s="272">
        <v>6770.541794871795</v>
      </c>
      <c r="J289" s="125">
        <f>'B) D RI'!U290</f>
        <v>6951.74782051282</v>
      </c>
      <c r="K289" s="86">
        <f t="shared" si="60"/>
        <v>10.684099979121095</v>
      </c>
      <c r="L289" s="43">
        <f>'B) D RI'!S290</f>
        <v>78</v>
      </c>
      <c r="M289" s="43">
        <f t="shared" si="55"/>
        <v>67.3159000208789</v>
      </c>
      <c r="N289" s="166">
        <f>'J) Plafonnement effort'!G288+'J) Plafonnement effort'!H288-'K) Plafonnement aide'!I288</f>
        <v>1.8221379105110529</v>
      </c>
      <c r="O289" s="166">
        <f t="shared" si="56"/>
        <v>69.13803793138996</v>
      </c>
      <c r="P289" s="59">
        <f t="shared" si="57"/>
        <v>0</v>
      </c>
      <c r="Q289" s="74">
        <f t="shared" si="61"/>
        <v>0</v>
      </c>
      <c r="R289" s="197">
        <f t="shared" si="58"/>
        <v>69.13803793138996</v>
      </c>
      <c r="S289" s="166">
        <f t="shared" si="59"/>
        <v>-8.8619620686100404</v>
      </c>
      <c r="T289" s="196"/>
    </row>
    <row r="290" spans="1:20" x14ac:dyDescent="0.25">
      <c r="A290" s="61">
        <f>'A) Base RI'!A291</f>
        <v>5908</v>
      </c>
      <c r="B290" s="72" t="str">
        <f>'A) Base RI'!B291</f>
        <v>Chêne-Pâquier</v>
      </c>
      <c r="C290" s="205">
        <v>62826.423339407003</v>
      </c>
      <c r="D290" s="206">
        <v>-13298.488002948841</v>
      </c>
      <c r="E290" s="207">
        <v>0</v>
      </c>
      <c r="F290" s="206">
        <v>0</v>
      </c>
      <c r="G290" s="206">
        <v>0</v>
      </c>
      <c r="H290" s="208">
        <f t="shared" si="54"/>
        <v>49527.935336458162</v>
      </c>
      <c r="I290" s="272">
        <v>3326.5444303797472</v>
      </c>
      <c r="J290" s="125">
        <f>'B) D RI'!U291</f>
        <v>2899.0017721518989</v>
      </c>
      <c r="K290" s="86">
        <f t="shared" si="60"/>
        <v>14.888703990887089</v>
      </c>
      <c r="L290" s="43">
        <f>'B) D RI'!S291</f>
        <v>79</v>
      </c>
      <c r="M290" s="43">
        <f t="shared" si="55"/>
        <v>64.111296009112905</v>
      </c>
      <c r="N290" s="166">
        <f>'J) Plafonnement effort'!G289+'J) Plafonnement effort'!H289-'K) Plafonnement aide'!I289</f>
        <v>-0.55782749520777131</v>
      </c>
      <c r="O290" s="166">
        <f t="shared" si="56"/>
        <v>63.553468513905131</v>
      </c>
      <c r="P290" s="59">
        <f t="shared" si="57"/>
        <v>0</v>
      </c>
      <c r="Q290" s="74">
        <f t="shared" si="61"/>
        <v>0</v>
      </c>
      <c r="R290" s="197">
        <f t="shared" si="58"/>
        <v>63.553468513905131</v>
      </c>
      <c r="S290" s="166">
        <f t="shared" si="59"/>
        <v>-15.446531486094869</v>
      </c>
      <c r="T290" s="196"/>
    </row>
    <row r="291" spans="1:20" x14ac:dyDescent="0.25">
      <c r="A291" s="61">
        <f>'A) Base RI'!A292</f>
        <v>5909</v>
      </c>
      <c r="B291" s="72" t="str">
        <f>'A) Base RI'!B292</f>
        <v>Cheseaux-Noréaz</v>
      </c>
      <c r="C291" s="205">
        <v>582574.92751118075</v>
      </c>
      <c r="D291" s="206">
        <v>499848</v>
      </c>
      <c r="E291" s="207">
        <v>0</v>
      </c>
      <c r="F291" s="206">
        <v>0</v>
      </c>
      <c r="G291" s="206">
        <v>0</v>
      </c>
      <c r="H291" s="208">
        <f t="shared" si="54"/>
        <v>1082422.9275111808</v>
      </c>
      <c r="I291" s="272">
        <v>30671.321093750001</v>
      </c>
      <c r="J291" s="125">
        <f>'B) D RI'!U292</f>
        <v>22661.846714285719</v>
      </c>
      <c r="K291" s="86">
        <f t="shared" si="60"/>
        <v>35.291043519209538</v>
      </c>
      <c r="L291" s="43">
        <f>'B) D RI'!S292</f>
        <v>70</v>
      </c>
      <c r="M291" s="43">
        <f t="shared" si="55"/>
        <v>34.708956480790462</v>
      </c>
      <c r="N291" s="166">
        <f>'J) Plafonnement effort'!G290+'J) Plafonnement effort'!H290-'K) Plafonnement aide'!I290</f>
        <v>22.198937377497021</v>
      </c>
      <c r="O291" s="166">
        <f t="shared" si="56"/>
        <v>56.90789385828748</v>
      </c>
      <c r="P291" s="59">
        <f t="shared" si="57"/>
        <v>0</v>
      </c>
      <c r="Q291" s="74">
        <f t="shared" si="61"/>
        <v>0</v>
      </c>
      <c r="R291" s="197">
        <f t="shared" si="58"/>
        <v>56.90789385828748</v>
      </c>
      <c r="S291" s="166">
        <f t="shared" si="59"/>
        <v>-13.09210614171252</v>
      </c>
      <c r="T291" s="196"/>
    </row>
    <row r="292" spans="1:20" x14ac:dyDescent="0.25">
      <c r="A292" s="61">
        <f>'A) Base RI'!A293</f>
        <v>5910</v>
      </c>
      <c r="B292" s="72" t="str">
        <f>'A) Base RI'!B293</f>
        <v>Cronay</v>
      </c>
      <c r="C292" s="205">
        <v>147676.84264089272</v>
      </c>
      <c r="D292" s="206">
        <v>-25072.466210337006</v>
      </c>
      <c r="E292" s="207">
        <v>0</v>
      </c>
      <c r="F292" s="206">
        <v>0</v>
      </c>
      <c r="G292" s="206">
        <v>0</v>
      </c>
      <c r="H292" s="208">
        <f t="shared" si="54"/>
        <v>122604.37643055571</v>
      </c>
      <c r="I292" s="272">
        <v>9292.7018518518507</v>
      </c>
      <c r="J292" s="125">
        <f>'B) D RI'!U293</f>
        <v>10409.753209876544</v>
      </c>
      <c r="K292" s="86">
        <f t="shared" si="60"/>
        <v>13.193619938007922</v>
      </c>
      <c r="L292" s="43">
        <f>'B) D RI'!S293</f>
        <v>81</v>
      </c>
      <c r="M292" s="43">
        <f t="shared" ref="M292:M314" si="62">L292-K292</f>
        <v>67.806380061992073</v>
      </c>
      <c r="N292" s="166">
        <f>'J) Plafonnement effort'!G291+'J) Plafonnement effort'!H291-'K) Plafonnement aide'!I291</f>
        <v>12.019600097521003</v>
      </c>
      <c r="O292" s="166">
        <f t="shared" si="56"/>
        <v>79.82598015951308</v>
      </c>
      <c r="P292" s="59">
        <f t="shared" si="57"/>
        <v>0</v>
      </c>
      <c r="Q292" s="74">
        <f t="shared" si="61"/>
        <v>0</v>
      </c>
      <c r="R292" s="197">
        <f t="shared" si="58"/>
        <v>79.82598015951308</v>
      </c>
      <c r="S292" s="166">
        <f t="shared" si="59"/>
        <v>-1.1740198404869204</v>
      </c>
      <c r="T292" s="196"/>
    </row>
    <row r="293" spans="1:20" x14ac:dyDescent="0.25">
      <c r="A293" s="61">
        <f>'A) Base RI'!A294</f>
        <v>5911</v>
      </c>
      <c r="B293" s="72" t="str">
        <f>'A) Base RI'!B294</f>
        <v>Cuarny</v>
      </c>
      <c r="C293" s="205">
        <v>103402.46687573487</v>
      </c>
      <c r="D293" s="206">
        <v>49175.40567315543</v>
      </c>
      <c r="E293" s="207">
        <v>0</v>
      </c>
      <c r="F293" s="206">
        <v>0</v>
      </c>
      <c r="G293" s="206">
        <v>0</v>
      </c>
      <c r="H293" s="208">
        <f>SUM(C293:G293)</f>
        <v>152577.8725488903</v>
      </c>
      <c r="I293" s="272">
        <v>6815.3613580246902</v>
      </c>
      <c r="J293" s="125">
        <f>'B) D RI'!U294</f>
        <v>6783.6280246913584</v>
      </c>
      <c r="K293" s="86">
        <f t="shared" si="60"/>
        <v>22.387348892254813</v>
      </c>
      <c r="L293" s="43">
        <f>'B) D RI'!S294</f>
        <v>81</v>
      </c>
      <c r="M293" s="43">
        <f t="shared" si="62"/>
        <v>58.612651107745187</v>
      </c>
      <c r="N293" s="166">
        <f>'J) Plafonnement effort'!G292+'J) Plafonnement effort'!H292-'K) Plafonnement aide'!I292</f>
        <v>19.562863471059533</v>
      </c>
      <c r="O293" s="166">
        <f t="shared" si="56"/>
        <v>78.175514578804723</v>
      </c>
      <c r="P293" s="59">
        <f t="shared" si="57"/>
        <v>0</v>
      </c>
      <c r="Q293" s="74">
        <f t="shared" si="61"/>
        <v>0</v>
      </c>
      <c r="R293" s="197">
        <f t="shared" si="58"/>
        <v>78.175514578804723</v>
      </c>
      <c r="S293" s="166">
        <f t="shared" si="59"/>
        <v>-2.824485421195277</v>
      </c>
      <c r="T293" s="196"/>
    </row>
    <row r="294" spans="1:20" x14ac:dyDescent="0.25">
      <c r="A294" s="61">
        <f>'A) Base RI'!A295</f>
        <v>5912</v>
      </c>
      <c r="B294" s="72" t="str">
        <f>'A) Base RI'!B295</f>
        <v>Démoret</v>
      </c>
      <c r="C294" s="205">
        <v>42399.818312341005</v>
      </c>
      <c r="D294" s="206">
        <v>-16867.302825252467</v>
      </c>
      <c r="E294" s="207">
        <v>0</v>
      </c>
      <c r="F294" s="206">
        <v>0</v>
      </c>
      <c r="G294" s="206">
        <v>0</v>
      </c>
      <c r="H294" s="208">
        <f t="shared" si="54"/>
        <v>25532.515487088538</v>
      </c>
      <c r="I294" s="272">
        <v>3149.2327160493824</v>
      </c>
      <c r="J294" s="125">
        <f>'B) D RI'!U295</f>
        <v>3146.6025925925924</v>
      </c>
      <c r="K294" s="86">
        <f t="shared" si="60"/>
        <v>8.1075353234353251</v>
      </c>
      <c r="L294" s="43">
        <f>'B) D RI'!S295</f>
        <v>81</v>
      </c>
      <c r="M294" s="43">
        <f t="shared" si="62"/>
        <v>72.892464676564671</v>
      </c>
      <c r="N294" s="166">
        <f>'J) Plafonnement effort'!G293+'J) Plafonnement effort'!H293-'K) Plafonnement aide'!I293</f>
        <v>18.64084517349248</v>
      </c>
      <c r="O294" s="166">
        <f t="shared" si="56"/>
        <v>91.533309850057151</v>
      </c>
      <c r="P294" s="59">
        <f t="shared" si="57"/>
        <v>-1.5934858439727577</v>
      </c>
      <c r="Q294" s="74">
        <f t="shared" si="61"/>
        <v>-5014.0666879042747</v>
      </c>
      <c r="R294" s="197">
        <f t="shared" si="58"/>
        <v>89.939824006084393</v>
      </c>
      <c r="S294" s="166">
        <f t="shared" si="59"/>
        <v>8.9398240060843932</v>
      </c>
      <c r="T294" s="196"/>
    </row>
    <row r="295" spans="1:20" x14ac:dyDescent="0.25">
      <c r="A295" s="61">
        <f>'A) Base RI'!A296</f>
        <v>5913</v>
      </c>
      <c r="B295" s="72" t="str">
        <f>'A) Base RI'!B296</f>
        <v>Donneloye</v>
      </c>
      <c r="C295" s="205">
        <v>356578.99265041261</v>
      </c>
      <c r="D295" s="206">
        <v>166623.1555400131</v>
      </c>
      <c r="E295" s="207">
        <v>0</v>
      </c>
      <c r="F295" s="206">
        <v>0</v>
      </c>
      <c r="G295" s="206">
        <v>0</v>
      </c>
      <c r="H295" s="208">
        <f t="shared" si="54"/>
        <v>523202.14819042571</v>
      </c>
      <c r="I295" s="272">
        <v>23147.804931506846</v>
      </c>
      <c r="J295" s="125">
        <f>'B) D RI'!U296</f>
        <v>23116.238767123283</v>
      </c>
      <c r="K295" s="86">
        <f t="shared" si="60"/>
        <v>22.602667930654924</v>
      </c>
      <c r="L295" s="43">
        <f>'B) D RI'!S296</f>
        <v>73</v>
      </c>
      <c r="M295" s="43">
        <f t="shared" si="62"/>
        <v>50.397332069345076</v>
      </c>
      <c r="N295" s="166">
        <f>'J) Plafonnement effort'!G294+'J) Plafonnement effort'!H294-'K) Plafonnement aide'!I294</f>
        <v>22.684985610662906</v>
      </c>
      <c r="O295" s="166">
        <f t="shared" si="56"/>
        <v>73.082317680007975</v>
      </c>
      <c r="P295" s="59">
        <f t="shared" si="57"/>
        <v>0</v>
      </c>
      <c r="Q295" s="74">
        <f t="shared" si="61"/>
        <v>0</v>
      </c>
      <c r="R295" s="197">
        <f t="shared" si="58"/>
        <v>73.082317680007975</v>
      </c>
      <c r="S295" s="166">
        <f t="shared" si="59"/>
        <v>8.2317680007975014E-2</v>
      </c>
      <c r="T295" s="196"/>
    </row>
    <row r="296" spans="1:20" x14ac:dyDescent="0.25">
      <c r="A296" s="61">
        <f>'A) Base RI'!A297</f>
        <v>5914</v>
      </c>
      <c r="B296" s="72" t="str">
        <f>'A) Base RI'!B297</f>
        <v>Ependes</v>
      </c>
      <c r="C296" s="205">
        <v>122891.93859809692</v>
      </c>
      <c r="D296" s="206">
        <v>-16839.499025009834</v>
      </c>
      <c r="E296" s="207">
        <v>0</v>
      </c>
      <c r="F296" s="206">
        <v>0</v>
      </c>
      <c r="G296" s="206">
        <v>0</v>
      </c>
      <c r="H296" s="208">
        <f t="shared" si="54"/>
        <v>106052.43957308709</v>
      </c>
      <c r="I296" s="272">
        <v>8718.0938666666661</v>
      </c>
      <c r="J296" s="125">
        <f>'B) D RI'!U297</f>
        <v>8750.2923999999985</v>
      </c>
      <c r="K296" s="86">
        <f t="shared" si="60"/>
        <v>12.164636122877154</v>
      </c>
      <c r="L296" s="43">
        <f>'B) D RI'!S297</f>
        <v>75</v>
      </c>
      <c r="M296" s="43">
        <f t="shared" si="62"/>
        <v>62.835363877122845</v>
      </c>
      <c r="N296" s="166">
        <f>'J) Plafonnement effort'!G295+'J) Plafonnement effort'!H295-'K) Plafonnement aide'!I295</f>
        <v>11.230851497578954</v>
      </c>
      <c r="O296" s="166">
        <f t="shared" si="56"/>
        <v>74.066215374701798</v>
      </c>
      <c r="P296" s="59">
        <f t="shared" si="57"/>
        <v>0</v>
      </c>
      <c r="Q296" s="74">
        <f t="shared" si="61"/>
        <v>0</v>
      </c>
      <c r="R296" s="197">
        <f t="shared" si="58"/>
        <v>74.066215374701798</v>
      </c>
      <c r="S296" s="166">
        <f t="shared" si="59"/>
        <v>-0.93378462529820183</v>
      </c>
      <c r="T296" s="196"/>
    </row>
    <row r="297" spans="1:20" x14ac:dyDescent="0.25">
      <c r="A297" s="61">
        <f>'A) Base RI'!A298</f>
        <v>5919</v>
      </c>
      <c r="B297" s="72" t="str">
        <f>'A) Base RI'!B298</f>
        <v>Mathod</v>
      </c>
      <c r="C297" s="205">
        <v>256368.24575871215</v>
      </c>
      <c r="D297" s="206">
        <v>7318.7601395815727</v>
      </c>
      <c r="E297" s="207">
        <v>0</v>
      </c>
      <c r="F297" s="206">
        <v>0</v>
      </c>
      <c r="G297" s="206">
        <v>0</v>
      </c>
      <c r="H297" s="208">
        <f>SUM(C297:G297)</f>
        <v>263687.00589829369</v>
      </c>
      <c r="I297" s="272">
        <v>14691.435202702703</v>
      </c>
      <c r="J297" s="125">
        <f>'B) D RI'!U298</f>
        <v>16260.723851351351</v>
      </c>
      <c r="K297" s="86">
        <f t="shared" si="60"/>
        <v>17.948348970683586</v>
      </c>
      <c r="L297" s="43">
        <f>'B) D RI'!S298</f>
        <v>74</v>
      </c>
      <c r="M297" s="43">
        <f t="shared" si="62"/>
        <v>56.051651029316417</v>
      </c>
      <c r="N297" s="166">
        <f>'J) Plafonnement effort'!G296+'J) Plafonnement effort'!H296-'K) Plafonnement aide'!I296</f>
        <v>13.734936387654029</v>
      </c>
      <c r="O297" s="166">
        <f t="shared" si="56"/>
        <v>69.786587416970448</v>
      </c>
      <c r="P297" s="59">
        <f t="shared" si="57"/>
        <v>0</v>
      </c>
      <c r="Q297" s="74">
        <f t="shared" si="61"/>
        <v>0</v>
      </c>
      <c r="R297" s="197">
        <f t="shared" si="58"/>
        <v>69.786587416970448</v>
      </c>
      <c r="S297" s="166">
        <f t="shared" si="59"/>
        <v>-4.2134125830295517</v>
      </c>
      <c r="T297" s="196"/>
    </row>
    <row r="298" spans="1:20" x14ac:dyDescent="0.25">
      <c r="A298" s="61">
        <f>'A) Base RI'!A299</f>
        <v>5921</v>
      </c>
      <c r="B298" s="72" t="str">
        <f>'A) Base RI'!B299</f>
        <v>Molondin</v>
      </c>
      <c r="C298" s="205">
        <v>64180.782910431873</v>
      </c>
      <c r="D298" s="206">
        <v>-76701.980265719583</v>
      </c>
      <c r="E298" s="207">
        <v>0</v>
      </c>
      <c r="F298" s="206">
        <v>0</v>
      </c>
      <c r="G298" s="206">
        <v>0</v>
      </c>
      <c r="H298" s="208">
        <f t="shared" si="54"/>
        <v>-12521.19735528771</v>
      </c>
      <c r="I298" s="272">
        <v>4662.1348148148145</v>
      </c>
      <c r="J298" s="125">
        <f>'B) D RI'!U299</f>
        <v>4932.1140740740739</v>
      </c>
      <c r="K298" s="86">
        <f t="shared" si="60"/>
        <v>-2.68572185332334</v>
      </c>
      <c r="L298" s="43">
        <f>'B) D RI'!S299</f>
        <v>81</v>
      </c>
      <c r="M298" s="43">
        <f t="shared" si="62"/>
        <v>83.685721853323344</v>
      </c>
      <c r="N298" s="166">
        <f>'J) Plafonnement effort'!G297+'J) Plafonnement effort'!H297-'K) Plafonnement aide'!I297</f>
        <v>-1.2082079223249131</v>
      </c>
      <c r="O298" s="166">
        <f t="shared" si="56"/>
        <v>82.477513930998427</v>
      </c>
      <c r="P298" s="59">
        <f t="shared" si="57"/>
        <v>0</v>
      </c>
      <c r="Q298" s="74">
        <f t="shared" si="61"/>
        <v>0</v>
      </c>
      <c r="R298" s="197">
        <f t="shared" si="58"/>
        <v>82.477513930998427</v>
      </c>
      <c r="S298" s="166">
        <f t="shared" si="59"/>
        <v>1.4775139309984269</v>
      </c>
      <c r="T298" s="196"/>
    </row>
    <row r="299" spans="1:20" x14ac:dyDescent="0.25">
      <c r="A299" s="61">
        <f>'A) Base RI'!A300</f>
        <v>5922</v>
      </c>
      <c r="B299" s="72" t="str">
        <f>'A) Base RI'!B300</f>
        <v>Montagny-près-Yverdon</v>
      </c>
      <c r="C299" s="205">
        <v>831723.84693089523</v>
      </c>
      <c r="D299" s="206">
        <v>734583</v>
      </c>
      <c r="E299" s="207">
        <v>0</v>
      </c>
      <c r="F299" s="206">
        <v>0</v>
      </c>
      <c r="G299" s="206">
        <v>0</v>
      </c>
      <c r="H299" s="208">
        <f t="shared" si="54"/>
        <v>1566306.8469308952</v>
      </c>
      <c r="I299" s="272">
        <v>45740.98344262295</v>
      </c>
      <c r="J299" s="125">
        <f>'B) D RI'!U300</f>
        <v>54274.18045081968</v>
      </c>
      <c r="K299" s="86">
        <f t="shared" si="60"/>
        <v>34.242963947105672</v>
      </c>
      <c r="L299" s="43">
        <f>'B) D RI'!S300</f>
        <v>61</v>
      </c>
      <c r="M299" s="43">
        <f t="shared" si="62"/>
        <v>26.757036052894328</v>
      </c>
      <c r="N299" s="166">
        <f>'J) Plafonnement effort'!G298+'J) Plafonnement effort'!H298-'K) Plafonnement aide'!I298</f>
        <v>37.878964193981318</v>
      </c>
      <c r="O299" s="166">
        <f t="shared" si="56"/>
        <v>64.636000246875653</v>
      </c>
      <c r="P299" s="59">
        <f t="shared" si="57"/>
        <v>0</v>
      </c>
      <c r="Q299" s="74">
        <f t="shared" si="61"/>
        <v>0</v>
      </c>
      <c r="R299" s="197">
        <f t="shared" si="58"/>
        <v>64.636000246875653</v>
      </c>
      <c r="S299" s="166">
        <f t="shared" si="59"/>
        <v>3.6360002468756534</v>
      </c>
      <c r="T299" s="196"/>
    </row>
    <row r="300" spans="1:20" x14ac:dyDescent="0.25">
      <c r="A300" s="61">
        <f>'A) Base RI'!A301</f>
        <v>5923</v>
      </c>
      <c r="B300" s="72" t="str">
        <f>'A) Base RI'!B301</f>
        <v>Oppens</v>
      </c>
      <c r="C300" s="205">
        <v>69242.687673665612</v>
      </c>
      <c r="D300" s="206">
        <v>-20354.942901774397</v>
      </c>
      <c r="E300" s="207">
        <v>0</v>
      </c>
      <c r="F300" s="206">
        <v>0</v>
      </c>
      <c r="G300" s="206">
        <v>0</v>
      </c>
      <c r="H300" s="208">
        <f t="shared" si="54"/>
        <v>48887.744771891215</v>
      </c>
      <c r="I300" s="272">
        <v>4470.86061728395</v>
      </c>
      <c r="J300" s="125">
        <f>'B) D RI'!U301</f>
        <v>4902.1274074074072</v>
      </c>
      <c r="K300" s="86">
        <f t="shared" si="60"/>
        <v>10.93475036615893</v>
      </c>
      <c r="L300" s="43">
        <f>'B) D RI'!S301</f>
        <v>81</v>
      </c>
      <c r="M300" s="43">
        <f t="shared" si="62"/>
        <v>70.065249633841063</v>
      </c>
      <c r="N300" s="166">
        <f>'J) Plafonnement effort'!G299+'J) Plafonnement effort'!H299-'K) Plafonnement aide'!I299</f>
        <v>12.384577562003352</v>
      </c>
      <c r="O300" s="166">
        <f t="shared" si="56"/>
        <v>82.449827195844421</v>
      </c>
      <c r="P300" s="59">
        <f t="shared" si="57"/>
        <v>0</v>
      </c>
      <c r="Q300" s="74">
        <f t="shared" si="61"/>
        <v>0</v>
      </c>
      <c r="R300" s="197">
        <f t="shared" si="58"/>
        <v>82.449827195844421</v>
      </c>
      <c r="S300" s="166">
        <f t="shared" si="59"/>
        <v>1.4498271958444207</v>
      </c>
      <c r="T300" s="196"/>
    </row>
    <row r="301" spans="1:20" x14ac:dyDescent="0.25">
      <c r="A301" s="61">
        <f>'A) Base RI'!A302</f>
        <v>5924</v>
      </c>
      <c r="B301" s="72" t="str">
        <f>'A) Base RI'!B302</f>
        <v>Orges</v>
      </c>
      <c r="C301" s="205">
        <v>124340.70098328973</v>
      </c>
      <c r="D301" s="206">
        <v>23508.499422081179</v>
      </c>
      <c r="E301" s="207">
        <v>0</v>
      </c>
      <c r="F301" s="206">
        <v>0</v>
      </c>
      <c r="G301" s="206">
        <v>0</v>
      </c>
      <c r="H301" s="208">
        <f t="shared" si="54"/>
        <v>147849.20040537091</v>
      </c>
      <c r="I301" s="272">
        <v>7786.4310810810803</v>
      </c>
      <c r="J301" s="125">
        <f>'B) D RI'!U302</f>
        <v>9002.8555405405405</v>
      </c>
      <c r="K301" s="86">
        <f t="shared" si="60"/>
        <v>18.988057412413813</v>
      </c>
      <c r="L301" s="43">
        <f>'B) D RI'!S302</f>
        <v>74</v>
      </c>
      <c r="M301" s="43">
        <f t="shared" si="62"/>
        <v>55.011942587586191</v>
      </c>
      <c r="N301" s="166">
        <f>'J) Plafonnement effort'!G300+'J) Plafonnement effort'!H300-'K) Plafonnement aide'!I300</f>
        <v>28.506403064267268</v>
      </c>
      <c r="O301" s="166">
        <f t="shared" si="56"/>
        <v>83.518345651853451</v>
      </c>
      <c r="P301" s="59">
        <f t="shared" si="57"/>
        <v>0</v>
      </c>
      <c r="Q301" s="74">
        <f t="shared" si="61"/>
        <v>0</v>
      </c>
      <c r="R301" s="197">
        <f t="shared" si="58"/>
        <v>83.518345651853451</v>
      </c>
      <c r="S301" s="166">
        <f t="shared" si="59"/>
        <v>9.5183456518534513</v>
      </c>
      <c r="T301" s="196"/>
    </row>
    <row r="302" spans="1:20" x14ac:dyDescent="0.25">
      <c r="A302" s="61">
        <f>'A) Base RI'!A303</f>
        <v>5925</v>
      </c>
      <c r="B302" s="72" t="str">
        <f>'A) Base RI'!B303</f>
        <v>Orzens</v>
      </c>
      <c r="C302" s="205">
        <v>68674.339418947464</v>
      </c>
      <c r="D302" s="206">
        <v>-15285.330922519672</v>
      </c>
      <c r="E302" s="207">
        <v>0</v>
      </c>
      <c r="F302" s="206">
        <v>0</v>
      </c>
      <c r="G302" s="206">
        <v>0</v>
      </c>
      <c r="H302" s="208">
        <f t="shared" si="54"/>
        <v>53389.008496427792</v>
      </c>
      <c r="I302" s="272">
        <v>5069.9973417721512</v>
      </c>
      <c r="J302" s="125">
        <f>'B) D RI'!U303</f>
        <v>5053.7527848101263</v>
      </c>
      <c r="K302" s="86">
        <f t="shared" si="60"/>
        <v>10.530381950410719</v>
      </c>
      <c r="L302" s="43">
        <f>'B) D RI'!S303</f>
        <v>79</v>
      </c>
      <c r="M302" s="43">
        <f t="shared" si="62"/>
        <v>68.469618049589286</v>
      </c>
      <c r="N302" s="166">
        <f>'J) Plafonnement effort'!G301+'J) Plafonnement effort'!H301-'K) Plafonnement aide'!I301</f>
        <v>7.8254827664414188</v>
      </c>
      <c r="O302" s="166">
        <f t="shared" si="56"/>
        <v>76.295100816030711</v>
      </c>
      <c r="P302" s="59">
        <f t="shared" si="57"/>
        <v>0</v>
      </c>
      <c r="Q302" s="74">
        <f t="shared" si="61"/>
        <v>0</v>
      </c>
      <c r="R302" s="197">
        <f t="shared" si="58"/>
        <v>76.295100816030711</v>
      </c>
      <c r="S302" s="166">
        <f t="shared" si="59"/>
        <v>-2.7048991839692889</v>
      </c>
      <c r="T302" s="196"/>
    </row>
    <row r="303" spans="1:20" x14ac:dyDescent="0.25">
      <c r="A303" s="61">
        <f>'A) Base RI'!A304</f>
        <v>5926</v>
      </c>
      <c r="B303" s="72" t="str">
        <f>'A) Base RI'!B304</f>
        <v>Pomy</v>
      </c>
      <c r="C303" s="205">
        <v>346578.57479017967</v>
      </c>
      <c r="D303" s="206">
        <v>130204.74748899206</v>
      </c>
      <c r="E303" s="207">
        <v>0</v>
      </c>
      <c r="F303" s="206">
        <v>0</v>
      </c>
      <c r="G303" s="206">
        <v>0</v>
      </c>
      <c r="H303" s="208">
        <f t="shared" si="54"/>
        <v>476783.32227917173</v>
      </c>
      <c r="I303" s="272">
        <v>22116.912816901407</v>
      </c>
      <c r="J303" s="125">
        <f>'B) D RI'!U304</f>
        <v>21029.126197183101</v>
      </c>
      <c r="K303" s="86">
        <f t="shared" si="60"/>
        <v>21.557408406241091</v>
      </c>
      <c r="L303" s="43">
        <f>'B) D RI'!S304</f>
        <v>71</v>
      </c>
      <c r="M303" s="43">
        <f t="shared" si="62"/>
        <v>49.442591593758905</v>
      </c>
      <c r="N303" s="166">
        <f>'J) Plafonnement effort'!G302+'J) Plafonnement effort'!H302-'K) Plafonnement aide'!I302</f>
        <v>9.2122845974195311</v>
      </c>
      <c r="O303" s="166">
        <f t="shared" si="56"/>
        <v>58.654876191178438</v>
      </c>
      <c r="P303" s="59">
        <f t="shared" si="57"/>
        <v>0</v>
      </c>
      <c r="Q303" s="74">
        <f t="shared" si="61"/>
        <v>0</v>
      </c>
      <c r="R303" s="197">
        <f t="shared" si="58"/>
        <v>58.654876191178438</v>
      </c>
      <c r="S303" s="166">
        <f t="shared" si="59"/>
        <v>-12.345123808821562</v>
      </c>
      <c r="T303" s="196"/>
    </row>
    <row r="304" spans="1:20" x14ac:dyDescent="0.25">
      <c r="A304" s="61">
        <f>'A) Base RI'!A305</f>
        <v>5928</v>
      </c>
      <c r="B304" s="72" t="str">
        <f>'A) Base RI'!B305</f>
        <v>Rovray</v>
      </c>
      <c r="C304" s="205">
        <v>64657.383615896033</v>
      </c>
      <c r="D304" s="206">
        <v>-11074.377997387084</v>
      </c>
      <c r="E304" s="207">
        <v>0</v>
      </c>
      <c r="F304" s="206">
        <v>0</v>
      </c>
      <c r="G304" s="206">
        <v>0</v>
      </c>
      <c r="H304" s="208">
        <f t="shared" si="54"/>
        <v>53583.005618508949</v>
      </c>
      <c r="I304" s="272">
        <v>4108.2366666666667</v>
      </c>
      <c r="J304" s="125">
        <f>'B) D RI'!U305</f>
        <v>4897.1457333333328</v>
      </c>
      <c r="K304" s="86">
        <f t="shared" si="60"/>
        <v>13.042823470534142</v>
      </c>
      <c r="L304" s="43">
        <f>'B) D RI'!S305</f>
        <v>75</v>
      </c>
      <c r="M304" s="43">
        <f t="shared" si="62"/>
        <v>61.957176529465855</v>
      </c>
      <c r="N304" s="166">
        <f>'J) Plafonnement effort'!G303+'J) Plafonnement effort'!H303-'K) Plafonnement aide'!I303</f>
        <v>18.956122063268698</v>
      </c>
      <c r="O304" s="166">
        <f t="shared" si="56"/>
        <v>80.913298592734549</v>
      </c>
      <c r="P304" s="59">
        <f t="shared" si="57"/>
        <v>0</v>
      </c>
      <c r="Q304" s="74">
        <f t="shared" si="61"/>
        <v>0</v>
      </c>
      <c r="R304" s="197">
        <f t="shared" si="58"/>
        <v>80.913298592734549</v>
      </c>
      <c r="S304" s="166">
        <f t="shared" si="59"/>
        <v>5.9132985927345487</v>
      </c>
      <c r="T304" s="196"/>
    </row>
    <row r="305" spans="1:20" x14ac:dyDescent="0.25">
      <c r="A305" s="61">
        <f>'A) Base RI'!A306</f>
        <v>5929</v>
      </c>
      <c r="B305" s="72" t="str">
        <f>'A) Base RI'!B306</f>
        <v>Suchy</v>
      </c>
      <c r="C305" s="205">
        <v>230371.46505807759</v>
      </c>
      <c r="D305" s="206">
        <v>118843.92474261287</v>
      </c>
      <c r="E305" s="207">
        <v>0</v>
      </c>
      <c r="F305" s="206">
        <v>0</v>
      </c>
      <c r="G305" s="206">
        <v>0</v>
      </c>
      <c r="H305" s="208">
        <f t="shared" si="54"/>
        <v>349215.38980069046</v>
      </c>
      <c r="I305" s="272">
        <v>16171.057696078431</v>
      </c>
      <c r="J305" s="125">
        <f>'B) D RI'!U306</f>
        <v>16083.913284313729</v>
      </c>
      <c r="K305" s="86">
        <f t="shared" si="60"/>
        <v>21.595086503548689</v>
      </c>
      <c r="L305" s="43">
        <f>'B) D RI'!S306</f>
        <v>68</v>
      </c>
      <c r="M305" s="43">
        <f t="shared" si="62"/>
        <v>46.404913496451314</v>
      </c>
      <c r="N305" s="166">
        <f>'J) Plafonnement effort'!G304+'J) Plafonnement effort'!H304-'K) Plafonnement aide'!I304</f>
        <v>22.000714469075916</v>
      </c>
      <c r="O305" s="166">
        <f t="shared" si="56"/>
        <v>68.405627965527231</v>
      </c>
      <c r="P305" s="59">
        <f t="shared" si="57"/>
        <v>0</v>
      </c>
      <c r="Q305" s="74">
        <f t="shared" si="61"/>
        <v>0</v>
      </c>
      <c r="R305" s="197">
        <f t="shared" si="58"/>
        <v>68.405627965527231</v>
      </c>
      <c r="S305" s="166">
        <f t="shared" si="59"/>
        <v>0.40562796552723057</v>
      </c>
      <c r="T305" s="196"/>
    </row>
    <row r="306" spans="1:20" x14ac:dyDescent="0.25">
      <c r="A306" s="61">
        <f>'A) Base RI'!A307</f>
        <v>5930</v>
      </c>
      <c r="B306" s="72" t="str">
        <f>'A) Base RI'!B307</f>
        <v>Suscévaz</v>
      </c>
      <c r="C306" s="205">
        <v>139941.72880702355</v>
      </c>
      <c r="D306" s="206">
        <v>6469.2336140214175</v>
      </c>
      <c r="E306" s="207">
        <v>0</v>
      </c>
      <c r="F306" s="206">
        <v>0</v>
      </c>
      <c r="G306" s="206">
        <v>0</v>
      </c>
      <c r="H306" s="208">
        <f t="shared" si="54"/>
        <v>146410.96242104497</v>
      </c>
      <c r="I306" s="272">
        <v>4973.4774242424237</v>
      </c>
      <c r="J306" s="125">
        <f>'B) D RI'!U307</f>
        <v>5208.083787878787</v>
      </c>
      <c r="K306" s="86">
        <f t="shared" si="60"/>
        <v>29.438348650662018</v>
      </c>
      <c r="L306" s="43">
        <f>'B) D RI'!S307</f>
        <v>66</v>
      </c>
      <c r="M306" s="43">
        <f t="shared" si="62"/>
        <v>36.561651349337978</v>
      </c>
      <c r="N306" s="166">
        <f>'J) Plafonnement effort'!G305+'J) Plafonnement effort'!H305-'K) Plafonnement aide'!I305</f>
        <v>19.376079117025313</v>
      </c>
      <c r="O306" s="166">
        <f t="shared" si="56"/>
        <v>55.937730466363291</v>
      </c>
      <c r="P306" s="59">
        <f t="shared" si="57"/>
        <v>0</v>
      </c>
      <c r="Q306" s="74">
        <f t="shared" si="61"/>
        <v>0</v>
      </c>
      <c r="R306" s="197">
        <f t="shared" si="58"/>
        <v>55.937730466363291</v>
      </c>
      <c r="S306" s="166">
        <f t="shared" si="59"/>
        <v>-10.062269533636709</v>
      </c>
      <c r="T306" s="196"/>
    </row>
    <row r="307" spans="1:20" x14ac:dyDescent="0.25">
      <c r="A307" s="61">
        <f>'A) Base RI'!A308</f>
        <v>5931</v>
      </c>
      <c r="B307" s="72" t="str">
        <f>'A) Base RI'!B308</f>
        <v>Treycovagnes</v>
      </c>
      <c r="C307" s="205">
        <v>165957.1586277202</v>
      </c>
      <c r="D307" s="206">
        <v>-53085.847958510392</v>
      </c>
      <c r="E307" s="207">
        <v>0</v>
      </c>
      <c r="F307" s="206">
        <v>0</v>
      </c>
      <c r="G307" s="206">
        <v>0</v>
      </c>
      <c r="H307" s="208">
        <f t="shared" si="54"/>
        <v>112871.31066920981</v>
      </c>
      <c r="I307" s="272">
        <v>11474.723896103897</v>
      </c>
      <c r="J307" s="125">
        <f>'B) D RI'!U308</f>
        <v>13922.074155844155</v>
      </c>
      <c r="K307" s="86">
        <f t="shared" si="60"/>
        <v>9.836516476665194</v>
      </c>
      <c r="L307" s="43">
        <f>'B) D RI'!S308</f>
        <v>77</v>
      </c>
      <c r="M307" s="43">
        <f t="shared" si="62"/>
        <v>67.163483523334804</v>
      </c>
      <c r="N307" s="166">
        <f>'J) Plafonnement effort'!G306+'J) Plafonnement effort'!H306-'K) Plafonnement aide'!I306</f>
        <v>22.893451405700951</v>
      </c>
      <c r="O307" s="166">
        <f t="shared" si="56"/>
        <v>90.056934929035748</v>
      </c>
      <c r="P307" s="59">
        <f t="shared" si="57"/>
        <v>-0.11711092295135472</v>
      </c>
      <c r="Q307" s="74">
        <f t="shared" si="61"/>
        <v>-1630.4269537881116</v>
      </c>
      <c r="R307" s="197">
        <f t="shared" si="58"/>
        <v>89.939824006084393</v>
      </c>
      <c r="S307" s="166">
        <f t="shared" si="59"/>
        <v>12.939824006084393</v>
      </c>
      <c r="T307" s="196"/>
    </row>
    <row r="308" spans="1:20" x14ac:dyDescent="0.25">
      <c r="A308" s="61">
        <f>'A) Base RI'!A309</f>
        <v>5932</v>
      </c>
      <c r="B308" s="72" t="str">
        <f>'A) Base RI'!B309</f>
        <v>Ursins</v>
      </c>
      <c r="C308" s="205">
        <v>69827.379342125583</v>
      </c>
      <c r="D308" s="206">
        <v>-17853.157440887939</v>
      </c>
      <c r="E308" s="207">
        <v>0</v>
      </c>
      <c r="F308" s="206">
        <v>0</v>
      </c>
      <c r="G308" s="206">
        <v>0</v>
      </c>
      <c r="H308" s="208">
        <f t="shared" si="54"/>
        <v>51974.221901237644</v>
      </c>
      <c r="I308" s="272">
        <v>5257.3797435897432</v>
      </c>
      <c r="J308" s="125">
        <f>'B) D RI'!U309</f>
        <v>5429.3069230769233</v>
      </c>
      <c r="K308" s="86">
        <f t="shared" si="60"/>
        <v>9.885955444745866</v>
      </c>
      <c r="L308" s="43">
        <f>'B) D RI'!S309</f>
        <v>78</v>
      </c>
      <c r="M308" s="43">
        <f t="shared" si="62"/>
        <v>68.114044555254139</v>
      </c>
      <c r="N308" s="166">
        <f>'J) Plafonnement effort'!G307+'J) Plafonnement effort'!H307-'K) Plafonnement aide'!I307</f>
        <v>10.757018102912236</v>
      </c>
      <c r="O308" s="166">
        <f t="shared" si="56"/>
        <v>78.87106265816638</v>
      </c>
      <c r="P308" s="59">
        <f t="shared" si="57"/>
        <v>0</v>
      </c>
      <c r="Q308" s="74">
        <f t="shared" si="61"/>
        <v>0</v>
      </c>
      <c r="R308" s="197">
        <f t="shared" si="58"/>
        <v>78.87106265816638</v>
      </c>
      <c r="S308" s="166">
        <f t="shared" si="59"/>
        <v>0.87106265816638029</v>
      </c>
      <c r="T308" s="196"/>
    </row>
    <row r="309" spans="1:20" x14ac:dyDescent="0.25">
      <c r="A309" s="61">
        <f>'A) Base RI'!A310</f>
        <v>5933</v>
      </c>
      <c r="B309" s="72" t="str">
        <f>'A) Base RI'!B310</f>
        <v>Valeyres-sous-Montagny</v>
      </c>
      <c r="C309" s="205">
        <v>277971.59021087375</v>
      </c>
      <c r="D309" s="206">
        <v>124052.31633690943</v>
      </c>
      <c r="E309" s="207">
        <v>0</v>
      </c>
      <c r="F309" s="206">
        <v>0</v>
      </c>
      <c r="G309" s="206">
        <v>0</v>
      </c>
      <c r="H309" s="208">
        <f t="shared" si="54"/>
        <v>402023.90654778318</v>
      </c>
      <c r="I309" s="272">
        <v>19712.293888888889</v>
      </c>
      <c r="J309" s="125">
        <f>'B) D RI'!U310</f>
        <v>17165.971111111114</v>
      </c>
      <c r="K309" s="86">
        <f t="shared" si="60"/>
        <v>20.394577557226334</v>
      </c>
      <c r="L309" s="43">
        <f>'B) D RI'!S310</f>
        <v>72</v>
      </c>
      <c r="M309" s="43">
        <f t="shared" si="62"/>
        <v>51.605422442773666</v>
      </c>
      <c r="N309" s="166">
        <f>'J) Plafonnement effort'!G308+'J) Plafonnement effort'!H308-'K) Plafonnement aide'!I308</f>
        <v>9.3883862489269134</v>
      </c>
      <c r="O309" s="166">
        <f t="shared" si="56"/>
        <v>60.993808691700579</v>
      </c>
      <c r="P309" s="59">
        <f t="shared" si="57"/>
        <v>0</v>
      </c>
      <c r="Q309" s="74">
        <f t="shared" si="61"/>
        <v>0</v>
      </c>
      <c r="R309" s="197">
        <f t="shared" si="58"/>
        <v>60.993808691700579</v>
      </c>
      <c r="S309" s="166">
        <f t="shared" si="59"/>
        <v>-11.006191308299421</v>
      </c>
      <c r="T309" s="196"/>
    </row>
    <row r="310" spans="1:20" x14ac:dyDescent="0.25">
      <c r="A310" s="61">
        <f>'A) Base RI'!A311</f>
        <v>5934</v>
      </c>
      <c r="B310" s="72" t="str">
        <f>'A) Base RI'!B311</f>
        <v>Valeyres-sous-Ursins</v>
      </c>
      <c r="C310" s="205">
        <v>83285.284437469178</v>
      </c>
      <c r="D310" s="206">
        <v>-26933.205618532666</v>
      </c>
      <c r="E310" s="207">
        <v>0</v>
      </c>
      <c r="F310" s="206">
        <v>0</v>
      </c>
      <c r="G310" s="206">
        <v>0</v>
      </c>
      <c r="H310" s="208">
        <f t="shared" si="54"/>
        <v>56352.078818936512</v>
      </c>
      <c r="I310" s="272">
        <v>5945.0260256410256</v>
      </c>
      <c r="J310" s="125">
        <f>'B) D RI'!U311</f>
        <v>6602.430506329114</v>
      </c>
      <c r="K310" s="86">
        <f t="shared" si="60"/>
        <v>9.4788615854478646</v>
      </c>
      <c r="L310" s="43">
        <f>'B) D RI'!S311</f>
        <v>79</v>
      </c>
      <c r="M310" s="43">
        <f t="shared" si="62"/>
        <v>69.521138414552141</v>
      </c>
      <c r="N310" s="166">
        <f>'J) Plafonnement effort'!G309+'J) Plafonnement effort'!H309-'K) Plafonnement aide'!I309</f>
        <v>16.95514967655528</v>
      </c>
      <c r="O310" s="166">
        <f t="shared" si="56"/>
        <v>86.476288091107421</v>
      </c>
      <c r="P310" s="59">
        <f t="shared" si="57"/>
        <v>0</v>
      </c>
      <c r="Q310" s="74">
        <f t="shared" si="61"/>
        <v>0</v>
      </c>
      <c r="R310" s="197">
        <f t="shared" si="58"/>
        <v>86.476288091107421</v>
      </c>
      <c r="S310" s="166">
        <f t="shared" si="59"/>
        <v>7.4762880911074205</v>
      </c>
      <c r="T310" s="196"/>
    </row>
    <row r="311" spans="1:20" x14ac:dyDescent="0.25">
      <c r="A311" s="61">
        <f>'A) Base RI'!A312</f>
        <v>5935</v>
      </c>
      <c r="B311" s="72" t="str">
        <f>'A) Base RI'!B312</f>
        <v>Villars-Epeney</v>
      </c>
      <c r="C311" s="205">
        <v>69234.212910749033</v>
      </c>
      <c r="D311" s="206">
        <v>64586</v>
      </c>
      <c r="E311" s="207">
        <v>0</v>
      </c>
      <c r="F311" s="206">
        <v>0</v>
      </c>
      <c r="G311" s="206">
        <v>0</v>
      </c>
      <c r="H311" s="208">
        <f t="shared" si="54"/>
        <v>133820.21291074902</v>
      </c>
      <c r="I311" s="272">
        <v>3981.1370000000011</v>
      </c>
      <c r="J311" s="125">
        <f>'B) D RI'!U312</f>
        <v>6478.5808333333343</v>
      </c>
      <c r="K311" s="86">
        <f t="shared" si="60"/>
        <v>33.613566403454335</v>
      </c>
      <c r="L311" s="43">
        <f>'B) D RI'!S312</f>
        <v>60</v>
      </c>
      <c r="M311" s="43">
        <f t="shared" si="62"/>
        <v>26.386433596545665</v>
      </c>
      <c r="N311" s="166">
        <f>'J) Plafonnement effort'!G310+'J) Plafonnement effort'!H310-'K) Plafonnement aide'!I310</f>
        <v>29.539619639088272</v>
      </c>
      <c r="O311" s="166">
        <f t="shared" si="56"/>
        <v>55.926053235633937</v>
      </c>
      <c r="P311" s="59">
        <f t="shared" si="57"/>
        <v>0</v>
      </c>
      <c r="Q311" s="74">
        <f t="shared" si="61"/>
        <v>0</v>
      </c>
      <c r="R311" s="197">
        <f t="shared" si="58"/>
        <v>55.926053235633937</v>
      </c>
      <c r="S311" s="166">
        <f t="shared" si="59"/>
        <v>-4.0739467643660632</v>
      </c>
      <c r="T311" s="196"/>
    </row>
    <row r="312" spans="1:20" x14ac:dyDescent="0.25">
      <c r="A312" s="61">
        <f>'A) Base RI'!A313</f>
        <v>5937</v>
      </c>
      <c r="B312" s="72" t="str">
        <f>'A) Base RI'!B313</f>
        <v>Vugelles-La Mothe</v>
      </c>
      <c r="C312" s="205">
        <v>40273.095327004979</v>
      </c>
      <c r="D312" s="206">
        <v>-52227.567491424634</v>
      </c>
      <c r="E312" s="207">
        <v>522.34232768495599</v>
      </c>
      <c r="F312" s="206">
        <v>0</v>
      </c>
      <c r="G312" s="206">
        <v>0</v>
      </c>
      <c r="H312" s="208">
        <f t="shared" si="54"/>
        <v>-11432.129836734699</v>
      </c>
      <c r="I312" s="272">
        <v>2078.5690612244898</v>
      </c>
      <c r="J312" s="125">
        <f>'B) D RI'!U313</f>
        <v>2128.9780612244899</v>
      </c>
      <c r="K312" s="86">
        <f t="shared" si="60"/>
        <v>-5.5000000000000027</v>
      </c>
      <c r="L312" s="43">
        <f>'B) D RI'!S313</f>
        <v>70</v>
      </c>
      <c r="M312" s="43">
        <f t="shared" si="62"/>
        <v>75.5</v>
      </c>
      <c r="N312" s="166">
        <f>'J) Plafonnement effort'!G311+'J) Plafonnement effort'!H311-'K) Plafonnement aide'!I311</f>
        <v>-26.47804241436398</v>
      </c>
      <c r="O312" s="166">
        <f t="shared" si="56"/>
        <v>49.021957585636017</v>
      </c>
      <c r="P312" s="59">
        <f t="shared" si="57"/>
        <v>0</v>
      </c>
      <c r="Q312" s="74">
        <f t="shared" si="61"/>
        <v>0</v>
      </c>
      <c r="R312" s="197">
        <f t="shared" si="58"/>
        <v>49.021957585636017</v>
      </c>
      <c r="S312" s="166">
        <f t="shared" si="59"/>
        <v>-20.978042414363983</v>
      </c>
      <c r="T312" s="196"/>
    </row>
    <row r="313" spans="1:20" x14ac:dyDescent="0.25">
      <c r="A313" s="61">
        <f>'A) Base RI'!A314</f>
        <v>5938</v>
      </c>
      <c r="B313" s="72" t="str">
        <f>'A) Base RI'!B314</f>
        <v>Yverdon-les-Bains</v>
      </c>
      <c r="C313" s="205">
        <v>13419919.619328186</v>
      </c>
      <c r="D313" s="206">
        <v>-22483775.204558812</v>
      </c>
      <c r="E313" s="207">
        <v>4900888.1635312801</v>
      </c>
      <c r="F313" s="206">
        <v>0</v>
      </c>
      <c r="G313" s="206">
        <v>0</v>
      </c>
      <c r="H313" s="208">
        <f t="shared" si="54"/>
        <v>-4162967.421699346</v>
      </c>
      <c r="I313" s="272">
        <v>756903.16758169921</v>
      </c>
      <c r="J313" s="125">
        <f>'B) D RI'!U314</f>
        <v>771340.02758169943</v>
      </c>
      <c r="K313" s="86">
        <f t="shared" si="60"/>
        <v>-5.5000000000000009</v>
      </c>
      <c r="L313" s="43">
        <f>'B) D RI'!S314</f>
        <v>76.5</v>
      </c>
      <c r="M313" s="43">
        <f t="shared" si="62"/>
        <v>82</v>
      </c>
      <c r="N313" s="166">
        <f>'J) Plafonnement effort'!G312+'J) Plafonnement effort'!H312-'K) Plafonnement aide'!I312</f>
        <v>-15.448236080499667</v>
      </c>
      <c r="O313" s="166">
        <f t="shared" si="56"/>
        <v>66.551763919500331</v>
      </c>
      <c r="P313" s="59">
        <f t="shared" si="57"/>
        <v>0</v>
      </c>
      <c r="Q313" s="74">
        <f t="shared" si="61"/>
        <v>0</v>
      </c>
      <c r="R313" s="197">
        <f t="shared" si="58"/>
        <v>66.551763919500331</v>
      </c>
      <c r="S313" s="166">
        <f t="shared" si="59"/>
        <v>-9.9482360804996688</v>
      </c>
      <c r="T313" s="196"/>
    </row>
    <row r="314" spans="1:20" x14ac:dyDescent="0.25">
      <c r="A314" s="63">
        <f>'A) Base RI'!A315</f>
        <v>5939</v>
      </c>
      <c r="B314" s="73" t="str">
        <f>'A) Base RI'!B315</f>
        <v>Yvonand</v>
      </c>
      <c r="C314" s="209">
        <v>1519997.0301190517</v>
      </c>
      <c r="D314" s="206">
        <v>-506415.82994649513</v>
      </c>
      <c r="E314" s="207">
        <v>0</v>
      </c>
      <c r="F314" s="206">
        <v>0</v>
      </c>
      <c r="G314" s="206">
        <v>0</v>
      </c>
      <c r="H314" s="208">
        <f t="shared" si="54"/>
        <v>1013581.2001725566</v>
      </c>
      <c r="I314" s="273">
        <v>81342.881095890421</v>
      </c>
      <c r="J314" s="126">
        <f>'B) D RI'!U315</f>
        <v>88221.551917808203</v>
      </c>
      <c r="K314" s="86">
        <f t="shared" si="60"/>
        <v>12.460601180055379</v>
      </c>
      <c r="L314" s="118">
        <f>'B) D RI'!S315</f>
        <v>73</v>
      </c>
      <c r="M314" s="118">
        <f t="shared" si="62"/>
        <v>60.539398819944623</v>
      </c>
      <c r="N314" s="168">
        <f>'J) Plafonnement effort'!G313+'J) Plafonnement effort'!H313-'K) Plafonnement aide'!I313</f>
        <v>12.655469269554601</v>
      </c>
      <c r="O314" s="168">
        <f t="shared" si="56"/>
        <v>73.194868089499224</v>
      </c>
      <c r="P314" s="59">
        <f t="shared" si="57"/>
        <v>0</v>
      </c>
      <c r="Q314" s="74">
        <f t="shared" si="61"/>
        <v>0</v>
      </c>
      <c r="R314" s="198">
        <f t="shared" si="58"/>
        <v>73.194868089499224</v>
      </c>
      <c r="S314" s="168">
        <f t="shared" si="59"/>
        <v>0.19486808949922363</v>
      </c>
      <c r="T314" s="196"/>
    </row>
    <row r="315" spans="1:20" x14ac:dyDescent="0.25">
      <c r="A315" s="40"/>
      <c r="B315" s="158">
        <f>COUNTA(B6:B314)</f>
        <v>309</v>
      </c>
      <c r="C315" s="210">
        <f t="shared" ref="C315:J315" si="63">SUM(C6:C314)</f>
        <v>664703001.86198962</v>
      </c>
      <c r="D315" s="210">
        <f t="shared" si="63"/>
        <v>124623051.5896931</v>
      </c>
      <c r="E315" s="210">
        <f t="shared" si="63"/>
        <v>8746336.502417773</v>
      </c>
      <c r="F315" s="210">
        <f t="shared" si="63"/>
        <v>-2063.6437409959162</v>
      </c>
      <c r="G315" s="210">
        <f t="shared" si="63"/>
        <v>-62535.001289786436</v>
      </c>
      <c r="H315" s="210">
        <f t="shared" si="63"/>
        <v>798007790.30906916</v>
      </c>
      <c r="I315" s="210">
        <f t="shared" si="63"/>
        <v>34849855.469405167</v>
      </c>
      <c r="J315" s="126">
        <f t="shared" si="63"/>
        <v>34873950.283385321</v>
      </c>
      <c r="K315" s="81">
        <f>H315/I315</f>
        <v>22.898453366891104</v>
      </c>
      <c r="L315" s="26">
        <f>'B) D RI'!S316</f>
        <v>67.899312514951305</v>
      </c>
      <c r="M315" s="26"/>
      <c r="N315" s="127"/>
      <c r="O315" s="127"/>
      <c r="P315" s="154"/>
      <c r="Q315" s="47">
        <f>SUM(Q6:Q314)</f>
        <v>-17756.864338403269</v>
      </c>
      <c r="R315" s="157"/>
      <c r="S315" s="127"/>
      <c r="T315" s="200"/>
    </row>
    <row r="316" spans="1:20" x14ac:dyDescent="0.25">
      <c r="T316" s="31"/>
    </row>
    <row r="317" spans="1:20" s="8" customFormat="1" x14ac:dyDescent="0.25">
      <c r="K317" s="373"/>
    </row>
    <row r="320" spans="1:20" s="8" customFormat="1" x14ac:dyDescent="0.25">
      <c r="K320" s="373"/>
      <c r="M320" s="373"/>
      <c r="N320" s="373"/>
      <c r="O320" s="373"/>
      <c r="P320" s="373"/>
    </row>
  </sheetData>
  <sheetProtection password="CBF3" sheet="1" objects="1" scenarios="1"/>
  <mergeCells count="17">
    <mergeCell ref="C3:I3"/>
    <mergeCell ref="C4:C5"/>
    <mergeCell ref="B4:B5"/>
    <mergeCell ref="A4:A5"/>
    <mergeCell ref="K4:K5"/>
    <mergeCell ref="E4:E5"/>
    <mergeCell ref="D4:D5"/>
    <mergeCell ref="S4:S5"/>
    <mergeCell ref="R4:R5"/>
    <mergeCell ref="Q4:Q5"/>
    <mergeCell ref="O4:O5"/>
    <mergeCell ref="N4:N5"/>
    <mergeCell ref="M4:M5"/>
    <mergeCell ref="L4:L5"/>
    <mergeCell ref="H4:H5"/>
    <mergeCell ref="G4:G5"/>
    <mergeCell ref="F4:F5"/>
  </mergeCells>
  <phoneticPr fontId="0" type="noConversion"/>
  <printOptions horizontalCentered="1"/>
  <pageMargins left="0" right="0" top="0" bottom="0" header="0.51181102362204722" footer="0.51181102362204722"/>
  <pageSetup paperSize="9" scale="63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tabColor rgb="FF00B050"/>
    <pageSetUpPr fitToPage="1"/>
  </sheetPr>
  <dimension ref="A1:V317"/>
  <sheetViews>
    <sheetView workbookViewId="0"/>
  </sheetViews>
  <sheetFormatPr baseColWidth="10" defaultColWidth="9.375" defaultRowHeight="15" x14ac:dyDescent="0.25"/>
  <cols>
    <col min="1" max="1" width="8.125" style="285" customWidth="1"/>
    <col min="2" max="2" width="17.875" style="285" bestFit="1" customWidth="1"/>
    <col min="3" max="3" width="9.875" style="285" customWidth="1"/>
    <col min="4" max="4" width="10.5" style="285" customWidth="1"/>
    <col min="5" max="5" width="5.625" style="285" bestFit="1" customWidth="1"/>
    <col min="6" max="6" width="12" style="285" bestFit="1" customWidth="1"/>
    <col min="7" max="7" width="10.875" style="285" bestFit="1" customWidth="1"/>
    <col min="8" max="8" width="12" style="285" bestFit="1" customWidth="1"/>
    <col min="9" max="9" width="9.875" style="285" bestFit="1" customWidth="1"/>
    <col min="10" max="10" width="11.375" style="285" bestFit="1" customWidth="1"/>
    <col min="11" max="11" width="11.75" style="285" customWidth="1"/>
    <col min="12" max="12" width="11.375" style="285" bestFit="1" customWidth="1"/>
    <col min="13" max="13" width="9.75" style="285" bestFit="1" customWidth="1"/>
    <col min="14" max="14" width="11.375" style="285" bestFit="1" customWidth="1"/>
    <col min="15" max="15" width="10.75" style="285" bestFit="1" customWidth="1"/>
    <col min="16" max="16" width="13.125" style="287" customWidth="1"/>
    <col min="17" max="17" width="9.375" style="286"/>
    <col min="18" max="18" width="9.875" style="287" customWidth="1"/>
    <col min="19" max="19" width="11.75" style="287" bestFit="1" customWidth="1"/>
    <col min="20" max="22" width="9.375" style="286"/>
    <col min="23" max="249" width="9.375" style="285"/>
    <col min="250" max="250" width="5" style="285" customWidth="1"/>
    <col min="251" max="251" width="17.875" style="285" bestFit="1" customWidth="1"/>
    <col min="252" max="252" width="9.875" style="285" customWidth="1"/>
    <col min="253" max="253" width="8.875" style="285" customWidth="1"/>
    <col min="254" max="254" width="7.375" style="285" bestFit="1" customWidth="1"/>
    <col min="255" max="255" width="10.125" style="285" bestFit="1" customWidth="1"/>
    <col min="256" max="256" width="9.375" style="285"/>
    <col min="257" max="257" width="10.125" style="285" bestFit="1" customWidth="1"/>
    <col min="258" max="258" width="10.75" style="285" customWidth="1"/>
    <col min="259" max="261" width="9.375" style="285"/>
    <col min="262" max="263" width="10.75" style="285" customWidth="1"/>
    <col min="264" max="268" width="9.375" style="285"/>
    <col min="269" max="269" width="1.625" style="285" bestFit="1" customWidth="1"/>
    <col min="270" max="270" width="9.375" style="285"/>
    <col min="271" max="271" width="8.875" style="285" customWidth="1"/>
    <col min="272" max="272" width="13.125" style="285" customWidth="1"/>
    <col min="273" max="273" width="9.375" style="285"/>
    <col min="274" max="274" width="9.875" style="285" customWidth="1"/>
    <col min="275" max="275" width="11.75" style="285" bestFit="1" customWidth="1"/>
    <col min="276" max="505" width="9.375" style="285"/>
    <col min="506" max="506" width="5" style="285" customWidth="1"/>
    <col min="507" max="507" width="17.875" style="285" bestFit="1" customWidth="1"/>
    <col min="508" max="508" width="9.875" style="285" customWidth="1"/>
    <col min="509" max="509" width="8.875" style="285" customWidth="1"/>
    <col min="510" max="510" width="7.375" style="285" bestFit="1" customWidth="1"/>
    <col min="511" max="511" width="10.125" style="285" bestFit="1" customWidth="1"/>
    <col min="512" max="512" width="9.375" style="285"/>
    <col min="513" max="513" width="10.125" style="285" bestFit="1" customWidth="1"/>
    <col min="514" max="514" width="10.75" style="285" customWidth="1"/>
    <col min="515" max="517" width="9.375" style="285"/>
    <col min="518" max="519" width="10.75" style="285" customWidth="1"/>
    <col min="520" max="524" width="9.375" style="285"/>
    <col min="525" max="525" width="1.625" style="285" bestFit="1" customWidth="1"/>
    <col min="526" max="526" width="9.375" style="285"/>
    <col min="527" max="527" width="8.875" style="285" customWidth="1"/>
    <col min="528" max="528" width="13.125" style="285" customWidth="1"/>
    <col min="529" max="529" width="9.375" style="285"/>
    <col min="530" max="530" width="9.875" style="285" customWidth="1"/>
    <col min="531" max="531" width="11.75" style="285" bestFit="1" customWidth="1"/>
    <col min="532" max="761" width="9.375" style="285"/>
    <col min="762" max="762" width="5" style="285" customWidth="1"/>
    <col min="763" max="763" width="17.875" style="285" bestFit="1" customWidth="1"/>
    <col min="764" max="764" width="9.875" style="285" customWidth="1"/>
    <col min="765" max="765" width="8.875" style="285" customWidth="1"/>
    <col min="766" max="766" width="7.375" style="285" bestFit="1" customWidth="1"/>
    <col min="767" max="767" width="10.125" style="285" bestFit="1" customWidth="1"/>
    <col min="768" max="768" width="9.375" style="285"/>
    <col min="769" max="769" width="10.125" style="285" bestFit="1" customWidth="1"/>
    <col min="770" max="770" width="10.75" style="285" customWidth="1"/>
    <col min="771" max="773" width="9.375" style="285"/>
    <col min="774" max="775" width="10.75" style="285" customWidth="1"/>
    <col min="776" max="780" width="9.375" style="285"/>
    <col min="781" max="781" width="1.625" style="285" bestFit="1" customWidth="1"/>
    <col min="782" max="782" width="9.375" style="285"/>
    <col min="783" max="783" width="8.875" style="285" customWidth="1"/>
    <col min="784" max="784" width="13.125" style="285" customWidth="1"/>
    <col min="785" max="785" width="9.375" style="285"/>
    <col min="786" max="786" width="9.875" style="285" customWidth="1"/>
    <col min="787" max="787" width="11.75" style="285" bestFit="1" customWidth="1"/>
    <col min="788" max="1017" width="9.375" style="285"/>
    <col min="1018" max="1018" width="5" style="285" customWidth="1"/>
    <col min="1019" max="1019" width="17.875" style="285" bestFit="1" customWidth="1"/>
    <col min="1020" max="1020" width="9.875" style="285" customWidth="1"/>
    <col min="1021" max="1021" width="8.875" style="285" customWidth="1"/>
    <col min="1022" max="1022" width="7.375" style="285" bestFit="1" customWidth="1"/>
    <col min="1023" max="1023" width="10.125" style="285" bestFit="1" customWidth="1"/>
    <col min="1024" max="1024" width="9.375" style="285"/>
    <col min="1025" max="1025" width="10.125" style="285" bestFit="1" customWidth="1"/>
    <col min="1026" max="1026" width="10.75" style="285" customWidth="1"/>
    <col min="1027" max="1029" width="9.375" style="285"/>
    <col min="1030" max="1031" width="10.75" style="285" customWidth="1"/>
    <col min="1032" max="1036" width="9.375" style="285"/>
    <col min="1037" max="1037" width="1.625" style="285" bestFit="1" customWidth="1"/>
    <col min="1038" max="1038" width="9.375" style="285"/>
    <col min="1039" max="1039" width="8.875" style="285" customWidth="1"/>
    <col min="1040" max="1040" width="13.125" style="285" customWidth="1"/>
    <col min="1041" max="1041" width="9.375" style="285"/>
    <col min="1042" max="1042" width="9.875" style="285" customWidth="1"/>
    <col min="1043" max="1043" width="11.75" style="285" bestFit="1" customWidth="1"/>
    <col min="1044" max="1273" width="9.375" style="285"/>
    <col min="1274" max="1274" width="5" style="285" customWidth="1"/>
    <col min="1275" max="1275" width="17.875" style="285" bestFit="1" customWidth="1"/>
    <col min="1276" max="1276" width="9.875" style="285" customWidth="1"/>
    <col min="1277" max="1277" width="8.875" style="285" customWidth="1"/>
    <col min="1278" max="1278" width="7.375" style="285" bestFit="1" customWidth="1"/>
    <col min="1279" max="1279" width="10.125" style="285" bestFit="1" customWidth="1"/>
    <col min="1280" max="1280" width="9.375" style="285"/>
    <col min="1281" max="1281" width="10.125" style="285" bestFit="1" customWidth="1"/>
    <col min="1282" max="1282" width="10.75" style="285" customWidth="1"/>
    <col min="1283" max="1285" width="9.375" style="285"/>
    <col min="1286" max="1287" width="10.75" style="285" customWidth="1"/>
    <col min="1288" max="1292" width="9.375" style="285"/>
    <col min="1293" max="1293" width="1.625" style="285" bestFit="1" customWidth="1"/>
    <col min="1294" max="1294" width="9.375" style="285"/>
    <col min="1295" max="1295" width="8.875" style="285" customWidth="1"/>
    <col min="1296" max="1296" width="13.125" style="285" customWidth="1"/>
    <col min="1297" max="1297" width="9.375" style="285"/>
    <col min="1298" max="1298" width="9.875" style="285" customWidth="1"/>
    <col min="1299" max="1299" width="11.75" style="285" bestFit="1" customWidth="1"/>
    <col min="1300" max="1529" width="9.375" style="285"/>
    <col min="1530" max="1530" width="5" style="285" customWidth="1"/>
    <col min="1531" max="1531" width="17.875" style="285" bestFit="1" customWidth="1"/>
    <col min="1532" max="1532" width="9.875" style="285" customWidth="1"/>
    <col min="1533" max="1533" width="8.875" style="285" customWidth="1"/>
    <col min="1534" max="1534" width="7.375" style="285" bestFit="1" customWidth="1"/>
    <col min="1535" max="1535" width="10.125" style="285" bestFit="1" customWidth="1"/>
    <col min="1536" max="1536" width="9.375" style="285"/>
    <col min="1537" max="1537" width="10.125" style="285" bestFit="1" customWidth="1"/>
    <col min="1538" max="1538" width="10.75" style="285" customWidth="1"/>
    <col min="1539" max="1541" width="9.375" style="285"/>
    <col min="1542" max="1543" width="10.75" style="285" customWidth="1"/>
    <col min="1544" max="1548" width="9.375" style="285"/>
    <col min="1549" max="1549" width="1.625" style="285" bestFit="1" customWidth="1"/>
    <col min="1550" max="1550" width="9.375" style="285"/>
    <col min="1551" max="1551" width="8.875" style="285" customWidth="1"/>
    <col min="1552" max="1552" width="13.125" style="285" customWidth="1"/>
    <col min="1553" max="1553" width="9.375" style="285"/>
    <col min="1554" max="1554" width="9.875" style="285" customWidth="1"/>
    <col min="1555" max="1555" width="11.75" style="285" bestFit="1" customWidth="1"/>
    <col min="1556" max="1785" width="9.375" style="285"/>
    <col min="1786" max="1786" width="5" style="285" customWidth="1"/>
    <col min="1787" max="1787" width="17.875" style="285" bestFit="1" customWidth="1"/>
    <col min="1788" max="1788" width="9.875" style="285" customWidth="1"/>
    <col min="1789" max="1789" width="8.875" style="285" customWidth="1"/>
    <col min="1790" max="1790" width="7.375" style="285" bestFit="1" customWidth="1"/>
    <col min="1791" max="1791" width="10.125" style="285" bestFit="1" customWidth="1"/>
    <col min="1792" max="1792" width="9.375" style="285"/>
    <col min="1793" max="1793" width="10.125" style="285" bestFit="1" customWidth="1"/>
    <col min="1794" max="1794" width="10.75" style="285" customWidth="1"/>
    <col min="1795" max="1797" width="9.375" style="285"/>
    <col min="1798" max="1799" width="10.75" style="285" customWidth="1"/>
    <col min="1800" max="1804" width="9.375" style="285"/>
    <col min="1805" max="1805" width="1.625" style="285" bestFit="1" customWidth="1"/>
    <col min="1806" max="1806" width="9.375" style="285"/>
    <col min="1807" max="1807" width="8.875" style="285" customWidth="1"/>
    <col min="1808" max="1808" width="13.125" style="285" customWidth="1"/>
    <col min="1809" max="1809" width="9.375" style="285"/>
    <col min="1810" max="1810" width="9.875" style="285" customWidth="1"/>
    <col min="1811" max="1811" width="11.75" style="285" bestFit="1" customWidth="1"/>
    <col min="1812" max="2041" width="9.375" style="285"/>
    <col min="2042" max="2042" width="5" style="285" customWidth="1"/>
    <col min="2043" max="2043" width="17.875" style="285" bestFit="1" customWidth="1"/>
    <col min="2044" max="2044" width="9.875" style="285" customWidth="1"/>
    <col min="2045" max="2045" width="8.875" style="285" customWidth="1"/>
    <col min="2046" max="2046" width="7.375" style="285" bestFit="1" customWidth="1"/>
    <col min="2047" max="2047" width="10.125" style="285" bestFit="1" customWidth="1"/>
    <col min="2048" max="2048" width="9.375" style="285"/>
    <col min="2049" max="2049" width="10.125" style="285" bestFit="1" customWidth="1"/>
    <col min="2050" max="2050" width="10.75" style="285" customWidth="1"/>
    <col min="2051" max="2053" width="9.375" style="285"/>
    <col min="2054" max="2055" width="10.75" style="285" customWidth="1"/>
    <col min="2056" max="2060" width="9.375" style="285"/>
    <col min="2061" max="2061" width="1.625" style="285" bestFit="1" customWidth="1"/>
    <col min="2062" max="2062" width="9.375" style="285"/>
    <col min="2063" max="2063" width="8.875" style="285" customWidth="1"/>
    <col min="2064" max="2064" width="13.125" style="285" customWidth="1"/>
    <col min="2065" max="2065" width="9.375" style="285"/>
    <col min="2066" max="2066" width="9.875" style="285" customWidth="1"/>
    <col min="2067" max="2067" width="11.75" style="285" bestFit="1" customWidth="1"/>
    <col min="2068" max="2297" width="9.375" style="285"/>
    <col min="2298" max="2298" width="5" style="285" customWidth="1"/>
    <col min="2299" max="2299" width="17.875" style="285" bestFit="1" customWidth="1"/>
    <col min="2300" max="2300" width="9.875" style="285" customWidth="1"/>
    <col min="2301" max="2301" width="8.875" style="285" customWidth="1"/>
    <col min="2302" max="2302" width="7.375" style="285" bestFit="1" customWidth="1"/>
    <col min="2303" max="2303" width="10.125" style="285" bestFit="1" customWidth="1"/>
    <col min="2304" max="2304" width="9.375" style="285"/>
    <col min="2305" max="2305" width="10.125" style="285" bestFit="1" customWidth="1"/>
    <col min="2306" max="2306" width="10.75" style="285" customWidth="1"/>
    <col min="2307" max="2309" width="9.375" style="285"/>
    <col min="2310" max="2311" width="10.75" style="285" customWidth="1"/>
    <col min="2312" max="2316" width="9.375" style="285"/>
    <col min="2317" max="2317" width="1.625" style="285" bestFit="1" customWidth="1"/>
    <col min="2318" max="2318" width="9.375" style="285"/>
    <col min="2319" max="2319" width="8.875" style="285" customWidth="1"/>
    <col min="2320" max="2320" width="13.125" style="285" customWidth="1"/>
    <col min="2321" max="2321" width="9.375" style="285"/>
    <col min="2322" max="2322" width="9.875" style="285" customWidth="1"/>
    <col min="2323" max="2323" width="11.75" style="285" bestFit="1" customWidth="1"/>
    <col min="2324" max="2553" width="9.375" style="285"/>
    <col min="2554" max="2554" width="5" style="285" customWidth="1"/>
    <col min="2555" max="2555" width="17.875" style="285" bestFit="1" customWidth="1"/>
    <col min="2556" max="2556" width="9.875" style="285" customWidth="1"/>
    <col min="2557" max="2557" width="8.875" style="285" customWidth="1"/>
    <col min="2558" max="2558" width="7.375" style="285" bestFit="1" customWidth="1"/>
    <col min="2559" max="2559" width="10.125" style="285" bestFit="1" customWidth="1"/>
    <col min="2560" max="2560" width="9.375" style="285"/>
    <col min="2561" max="2561" width="10.125" style="285" bestFit="1" customWidth="1"/>
    <col min="2562" max="2562" width="10.75" style="285" customWidth="1"/>
    <col min="2563" max="2565" width="9.375" style="285"/>
    <col min="2566" max="2567" width="10.75" style="285" customWidth="1"/>
    <col min="2568" max="2572" width="9.375" style="285"/>
    <col min="2573" max="2573" width="1.625" style="285" bestFit="1" customWidth="1"/>
    <col min="2574" max="2574" width="9.375" style="285"/>
    <col min="2575" max="2575" width="8.875" style="285" customWidth="1"/>
    <col min="2576" max="2576" width="13.125" style="285" customWidth="1"/>
    <col min="2577" max="2577" width="9.375" style="285"/>
    <col min="2578" max="2578" width="9.875" style="285" customWidth="1"/>
    <col min="2579" max="2579" width="11.75" style="285" bestFit="1" customWidth="1"/>
    <col min="2580" max="2809" width="9.375" style="285"/>
    <col min="2810" max="2810" width="5" style="285" customWidth="1"/>
    <col min="2811" max="2811" width="17.875" style="285" bestFit="1" customWidth="1"/>
    <col min="2812" max="2812" width="9.875" style="285" customWidth="1"/>
    <col min="2813" max="2813" width="8.875" style="285" customWidth="1"/>
    <col min="2814" max="2814" width="7.375" style="285" bestFit="1" customWidth="1"/>
    <col min="2815" max="2815" width="10.125" style="285" bestFit="1" customWidth="1"/>
    <col min="2816" max="2816" width="9.375" style="285"/>
    <col min="2817" max="2817" width="10.125" style="285" bestFit="1" customWidth="1"/>
    <col min="2818" max="2818" width="10.75" style="285" customWidth="1"/>
    <col min="2819" max="2821" width="9.375" style="285"/>
    <col min="2822" max="2823" width="10.75" style="285" customWidth="1"/>
    <col min="2824" max="2828" width="9.375" style="285"/>
    <col min="2829" max="2829" width="1.625" style="285" bestFit="1" customWidth="1"/>
    <col min="2830" max="2830" width="9.375" style="285"/>
    <col min="2831" max="2831" width="8.875" style="285" customWidth="1"/>
    <col min="2832" max="2832" width="13.125" style="285" customWidth="1"/>
    <col min="2833" max="2833" width="9.375" style="285"/>
    <col min="2834" max="2834" width="9.875" style="285" customWidth="1"/>
    <col min="2835" max="2835" width="11.75" style="285" bestFit="1" customWidth="1"/>
    <col min="2836" max="3065" width="9.375" style="285"/>
    <col min="3066" max="3066" width="5" style="285" customWidth="1"/>
    <col min="3067" max="3067" width="17.875" style="285" bestFit="1" customWidth="1"/>
    <col min="3068" max="3068" width="9.875" style="285" customWidth="1"/>
    <col min="3069" max="3069" width="8.875" style="285" customWidth="1"/>
    <col min="3070" max="3070" width="7.375" style="285" bestFit="1" customWidth="1"/>
    <col min="3071" max="3071" width="10.125" style="285" bestFit="1" customWidth="1"/>
    <col min="3072" max="3072" width="9.375" style="285"/>
    <col min="3073" max="3073" width="10.125" style="285" bestFit="1" customWidth="1"/>
    <col min="3074" max="3074" width="10.75" style="285" customWidth="1"/>
    <col min="3075" max="3077" width="9.375" style="285"/>
    <col min="3078" max="3079" width="10.75" style="285" customWidth="1"/>
    <col min="3080" max="3084" width="9.375" style="285"/>
    <col min="3085" max="3085" width="1.625" style="285" bestFit="1" customWidth="1"/>
    <col min="3086" max="3086" width="9.375" style="285"/>
    <col min="3087" max="3087" width="8.875" style="285" customWidth="1"/>
    <col min="3088" max="3088" width="13.125" style="285" customWidth="1"/>
    <col min="3089" max="3089" width="9.375" style="285"/>
    <col min="3090" max="3090" width="9.875" style="285" customWidth="1"/>
    <col min="3091" max="3091" width="11.75" style="285" bestFit="1" customWidth="1"/>
    <col min="3092" max="3321" width="9.375" style="285"/>
    <col min="3322" max="3322" width="5" style="285" customWidth="1"/>
    <col min="3323" max="3323" width="17.875" style="285" bestFit="1" customWidth="1"/>
    <col min="3324" max="3324" width="9.875" style="285" customWidth="1"/>
    <col min="3325" max="3325" width="8.875" style="285" customWidth="1"/>
    <col min="3326" max="3326" width="7.375" style="285" bestFit="1" customWidth="1"/>
    <col min="3327" max="3327" width="10.125" style="285" bestFit="1" customWidth="1"/>
    <col min="3328" max="3328" width="9.375" style="285"/>
    <col min="3329" max="3329" width="10.125" style="285" bestFit="1" customWidth="1"/>
    <col min="3330" max="3330" width="10.75" style="285" customWidth="1"/>
    <col min="3331" max="3333" width="9.375" style="285"/>
    <col min="3334" max="3335" width="10.75" style="285" customWidth="1"/>
    <col min="3336" max="3340" width="9.375" style="285"/>
    <col min="3341" max="3341" width="1.625" style="285" bestFit="1" customWidth="1"/>
    <col min="3342" max="3342" width="9.375" style="285"/>
    <col min="3343" max="3343" width="8.875" style="285" customWidth="1"/>
    <col min="3344" max="3344" width="13.125" style="285" customWidth="1"/>
    <col min="3345" max="3345" width="9.375" style="285"/>
    <col min="3346" max="3346" width="9.875" style="285" customWidth="1"/>
    <col min="3347" max="3347" width="11.75" style="285" bestFit="1" customWidth="1"/>
    <col min="3348" max="3577" width="9.375" style="285"/>
    <col min="3578" max="3578" width="5" style="285" customWidth="1"/>
    <col min="3579" max="3579" width="17.875" style="285" bestFit="1" customWidth="1"/>
    <col min="3580" max="3580" width="9.875" style="285" customWidth="1"/>
    <col min="3581" max="3581" width="8.875" style="285" customWidth="1"/>
    <col min="3582" max="3582" width="7.375" style="285" bestFit="1" customWidth="1"/>
    <col min="3583" max="3583" width="10.125" style="285" bestFit="1" customWidth="1"/>
    <col min="3584" max="3584" width="9.375" style="285"/>
    <col min="3585" max="3585" width="10.125" style="285" bestFit="1" customWidth="1"/>
    <col min="3586" max="3586" width="10.75" style="285" customWidth="1"/>
    <col min="3587" max="3589" width="9.375" style="285"/>
    <col min="3590" max="3591" width="10.75" style="285" customWidth="1"/>
    <col min="3592" max="3596" width="9.375" style="285"/>
    <col min="3597" max="3597" width="1.625" style="285" bestFit="1" customWidth="1"/>
    <col min="3598" max="3598" width="9.375" style="285"/>
    <col min="3599" max="3599" width="8.875" style="285" customWidth="1"/>
    <col min="3600" max="3600" width="13.125" style="285" customWidth="1"/>
    <col min="3601" max="3601" width="9.375" style="285"/>
    <col min="3602" max="3602" width="9.875" style="285" customWidth="1"/>
    <col min="3603" max="3603" width="11.75" style="285" bestFit="1" customWidth="1"/>
    <col min="3604" max="3833" width="9.375" style="285"/>
    <col min="3834" max="3834" width="5" style="285" customWidth="1"/>
    <col min="3835" max="3835" width="17.875" style="285" bestFit="1" customWidth="1"/>
    <col min="3836" max="3836" width="9.875" style="285" customWidth="1"/>
    <col min="3837" max="3837" width="8.875" style="285" customWidth="1"/>
    <col min="3838" max="3838" width="7.375" style="285" bestFit="1" customWidth="1"/>
    <col min="3839" max="3839" width="10.125" style="285" bestFit="1" customWidth="1"/>
    <col min="3840" max="3840" width="9.375" style="285"/>
    <col min="3841" max="3841" width="10.125" style="285" bestFit="1" customWidth="1"/>
    <col min="3842" max="3842" width="10.75" style="285" customWidth="1"/>
    <col min="3843" max="3845" width="9.375" style="285"/>
    <col min="3846" max="3847" width="10.75" style="285" customWidth="1"/>
    <col min="3848" max="3852" width="9.375" style="285"/>
    <col min="3853" max="3853" width="1.625" style="285" bestFit="1" customWidth="1"/>
    <col min="3854" max="3854" width="9.375" style="285"/>
    <col min="3855" max="3855" width="8.875" style="285" customWidth="1"/>
    <col min="3856" max="3856" width="13.125" style="285" customWidth="1"/>
    <col min="3857" max="3857" width="9.375" style="285"/>
    <col min="3858" max="3858" width="9.875" style="285" customWidth="1"/>
    <col min="3859" max="3859" width="11.75" style="285" bestFit="1" customWidth="1"/>
    <col min="3860" max="4089" width="9.375" style="285"/>
    <col min="4090" max="4090" width="5" style="285" customWidth="1"/>
    <col min="4091" max="4091" width="17.875" style="285" bestFit="1" customWidth="1"/>
    <col min="4092" max="4092" width="9.875" style="285" customWidth="1"/>
    <col min="4093" max="4093" width="8.875" style="285" customWidth="1"/>
    <col min="4094" max="4094" width="7.375" style="285" bestFit="1" customWidth="1"/>
    <col min="4095" max="4095" width="10.125" style="285" bestFit="1" customWidth="1"/>
    <col min="4096" max="4096" width="9.375" style="285"/>
    <col min="4097" max="4097" width="10.125" style="285" bestFit="1" customWidth="1"/>
    <col min="4098" max="4098" width="10.75" style="285" customWidth="1"/>
    <col min="4099" max="4101" width="9.375" style="285"/>
    <col min="4102" max="4103" width="10.75" style="285" customWidth="1"/>
    <col min="4104" max="4108" width="9.375" style="285"/>
    <col min="4109" max="4109" width="1.625" style="285" bestFit="1" customWidth="1"/>
    <col min="4110" max="4110" width="9.375" style="285"/>
    <col min="4111" max="4111" width="8.875" style="285" customWidth="1"/>
    <col min="4112" max="4112" width="13.125" style="285" customWidth="1"/>
    <col min="4113" max="4113" width="9.375" style="285"/>
    <col min="4114" max="4114" width="9.875" style="285" customWidth="1"/>
    <col min="4115" max="4115" width="11.75" style="285" bestFit="1" customWidth="1"/>
    <col min="4116" max="4345" width="9.375" style="285"/>
    <col min="4346" max="4346" width="5" style="285" customWidth="1"/>
    <col min="4347" max="4347" width="17.875" style="285" bestFit="1" customWidth="1"/>
    <col min="4348" max="4348" width="9.875" style="285" customWidth="1"/>
    <col min="4349" max="4349" width="8.875" style="285" customWidth="1"/>
    <col min="4350" max="4350" width="7.375" style="285" bestFit="1" customWidth="1"/>
    <col min="4351" max="4351" width="10.125" style="285" bestFit="1" customWidth="1"/>
    <col min="4352" max="4352" width="9.375" style="285"/>
    <col min="4353" max="4353" width="10.125" style="285" bestFit="1" customWidth="1"/>
    <col min="4354" max="4354" width="10.75" style="285" customWidth="1"/>
    <col min="4355" max="4357" width="9.375" style="285"/>
    <col min="4358" max="4359" width="10.75" style="285" customWidth="1"/>
    <col min="4360" max="4364" width="9.375" style="285"/>
    <col min="4365" max="4365" width="1.625" style="285" bestFit="1" customWidth="1"/>
    <col min="4366" max="4366" width="9.375" style="285"/>
    <col min="4367" max="4367" width="8.875" style="285" customWidth="1"/>
    <col min="4368" max="4368" width="13.125" style="285" customWidth="1"/>
    <col min="4369" max="4369" width="9.375" style="285"/>
    <col min="4370" max="4370" width="9.875" style="285" customWidth="1"/>
    <col min="4371" max="4371" width="11.75" style="285" bestFit="1" customWidth="1"/>
    <col min="4372" max="4601" width="9.375" style="285"/>
    <col min="4602" max="4602" width="5" style="285" customWidth="1"/>
    <col min="4603" max="4603" width="17.875" style="285" bestFit="1" customWidth="1"/>
    <col min="4604" max="4604" width="9.875" style="285" customWidth="1"/>
    <col min="4605" max="4605" width="8.875" style="285" customWidth="1"/>
    <col min="4606" max="4606" width="7.375" style="285" bestFit="1" customWidth="1"/>
    <col min="4607" max="4607" width="10.125" style="285" bestFit="1" customWidth="1"/>
    <col min="4608" max="4608" width="9.375" style="285"/>
    <col min="4609" max="4609" width="10.125" style="285" bestFit="1" customWidth="1"/>
    <col min="4610" max="4610" width="10.75" style="285" customWidth="1"/>
    <col min="4611" max="4613" width="9.375" style="285"/>
    <col min="4614" max="4615" width="10.75" style="285" customWidth="1"/>
    <col min="4616" max="4620" width="9.375" style="285"/>
    <col min="4621" max="4621" width="1.625" style="285" bestFit="1" customWidth="1"/>
    <col min="4622" max="4622" width="9.375" style="285"/>
    <col min="4623" max="4623" width="8.875" style="285" customWidth="1"/>
    <col min="4624" max="4624" width="13.125" style="285" customWidth="1"/>
    <col min="4625" max="4625" width="9.375" style="285"/>
    <col min="4626" max="4626" width="9.875" style="285" customWidth="1"/>
    <col min="4627" max="4627" width="11.75" style="285" bestFit="1" customWidth="1"/>
    <col min="4628" max="4857" width="9.375" style="285"/>
    <col min="4858" max="4858" width="5" style="285" customWidth="1"/>
    <col min="4859" max="4859" width="17.875" style="285" bestFit="1" customWidth="1"/>
    <col min="4860" max="4860" width="9.875" style="285" customWidth="1"/>
    <col min="4861" max="4861" width="8.875" style="285" customWidth="1"/>
    <col min="4862" max="4862" width="7.375" style="285" bestFit="1" customWidth="1"/>
    <col min="4863" max="4863" width="10.125" style="285" bestFit="1" customWidth="1"/>
    <col min="4864" max="4864" width="9.375" style="285"/>
    <col min="4865" max="4865" width="10.125" style="285" bestFit="1" customWidth="1"/>
    <col min="4866" max="4866" width="10.75" style="285" customWidth="1"/>
    <col min="4867" max="4869" width="9.375" style="285"/>
    <col min="4870" max="4871" width="10.75" style="285" customWidth="1"/>
    <col min="4872" max="4876" width="9.375" style="285"/>
    <col min="4877" max="4877" width="1.625" style="285" bestFit="1" customWidth="1"/>
    <col min="4878" max="4878" width="9.375" style="285"/>
    <col min="4879" max="4879" width="8.875" style="285" customWidth="1"/>
    <col min="4880" max="4880" width="13.125" style="285" customWidth="1"/>
    <col min="4881" max="4881" width="9.375" style="285"/>
    <col min="4882" max="4882" width="9.875" style="285" customWidth="1"/>
    <col min="4883" max="4883" width="11.75" style="285" bestFit="1" customWidth="1"/>
    <col min="4884" max="5113" width="9.375" style="285"/>
    <col min="5114" max="5114" width="5" style="285" customWidth="1"/>
    <col min="5115" max="5115" width="17.875" style="285" bestFit="1" customWidth="1"/>
    <col min="5116" max="5116" width="9.875" style="285" customWidth="1"/>
    <col min="5117" max="5117" width="8.875" style="285" customWidth="1"/>
    <col min="5118" max="5118" width="7.375" style="285" bestFit="1" customWidth="1"/>
    <col min="5119" max="5119" width="10.125" style="285" bestFit="1" customWidth="1"/>
    <col min="5120" max="5120" width="9.375" style="285"/>
    <col min="5121" max="5121" width="10.125" style="285" bestFit="1" customWidth="1"/>
    <col min="5122" max="5122" width="10.75" style="285" customWidth="1"/>
    <col min="5123" max="5125" width="9.375" style="285"/>
    <col min="5126" max="5127" width="10.75" style="285" customWidth="1"/>
    <col min="5128" max="5132" width="9.375" style="285"/>
    <col min="5133" max="5133" width="1.625" style="285" bestFit="1" customWidth="1"/>
    <col min="5134" max="5134" width="9.375" style="285"/>
    <col min="5135" max="5135" width="8.875" style="285" customWidth="1"/>
    <col min="5136" max="5136" width="13.125" style="285" customWidth="1"/>
    <col min="5137" max="5137" width="9.375" style="285"/>
    <col min="5138" max="5138" width="9.875" style="285" customWidth="1"/>
    <col min="5139" max="5139" width="11.75" style="285" bestFit="1" customWidth="1"/>
    <col min="5140" max="5369" width="9.375" style="285"/>
    <col min="5370" max="5370" width="5" style="285" customWidth="1"/>
    <col min="5371" max="5371" width="17.875" style="285" bestFit="1" customWidth="1"/>
    <col min="5372" max="5372" width="9.875" style="285" customWidth="1"/>
    <col min="5373" max="5373" width="8.875" style="285" customWidth="1"/>
    <col min="5374" max="5374" width="7.375" style="285" bestFit="1" customWidth="1"/>
    <col min="5375" max="5375" width="10.125" style="285" bestFit="1" customWidth="1"/>
    <col min="5376" max="5376" width="9.375" style="285"/>
    <col min="5377" max="5377" width="10.125" style="285" bestFit="1" customWidth="1"/>
    <col min="5378" max="5378" width="10.75" style="285" customWidth="1"/>
    <col min="5379" max="5381" width="9.375" style="285"/>
    <col min="5382" max="5383" width="10.75" style="285" customWidth="1"/>
    <col min="5384" max="5388" width="9.375" style="285"/>
    <col min="5389" max="5389" width="1.625" style="285" bestFit="1" customWidth="1"/>
    <col min="5390" max="5390" width="9.375" style="285"/>
    <col min="5391" max="5391" width="8.875" style="285" customWidth="1"/>
    <col min="5392" max="5392" width="13.125" style="285" customWidth="1"/>
    <col min="5393" max="5393" width="9.375" style="285"/>
    <col min="5394" max="5394" width="9.875" style="285" customWidth="1"/>
    <col min="5395" max="5395" width="11.75" style="285" bestFit="1" customWidth="1"/>
    <col min="5396" max="5625" width="9.375" style="285"/>
    <col min="5626" max="5626" width="5" style="285" customWidth="1"/>
    <col min="5627" max="5627" width="17.875" style="285" bestFit="1" customWidth="1"/>
    <col min="5628" max="5628" width="9.875" style="285" customWidth="1"/>
    <col min="5629" max="5629" width="8.875" style="285" customWidth="1"/>
    <col min="5630" max="5630" width="7.375" style="285" bestFit="1" customWidth="1"/>
    <col min="5631" max="5631" width="10.125" style="285" bestFit="1" customWidth="1"/>
    <col min="5632" max="5632" width="9.375" style="285"/>
    <col min="5633" max="5633" width="10.125" style="285" bestFit="1" customWidth="1"/>
    <col min="5634" max="5634" width="10.75" style="285" customWidth="1"/>
    <col min="5635" max="5637" width="9.375" style="285"/>
    <col min="5638" max="5639" width="10.75" style="285" customWidth="1"/>
    <col min="5640" max="5644" width="9.375" style="285"/>
    <col min="5645" max="5645" width="1.625" style="285" bestFit="1" customWidth="1"/>
    <col min="5646" max="5646" width="9.375" style="285"/>
    <col min="5647" max="5647" width="8.875" style="285" customWidth="1"/>
    <col min="5648" max="5648" width="13.125" style="285" customWidth="1"/>
    <col min="5649" max="5649" width="9.375" style="285"/>
    <col min="5650" max="5650" width="9.875" style="285" customWidth="1"/>
    <col min="5651" max="5651" width="11.75" style="285" bestFit="1" customWidth="1"/>
    <col min="5652" max="5881" width="9.375" style="285"/>
    <col min="5882" max="5882" width="5" style="285" customWidth="1"/>
    <col min="5883" max="5883" width="17.875" style="285" bestFit="1" customWidth="1"/>
    <col min="5884" max="5884" width="9.875" style="285" customWidth="1"/>
    <col min="5885" max="5885" width="8.875" style="285" customWidth="1"/>
    <col min="5886" max="5886" width="7.375" style="285" bestFit="1" customWidth="1"/>
    <col min="5887" max="5887" width="10.125" style="285" bestFit="1" customWidth="1"/>
    <col min="5888" max="5888" width="9.375" style="285"/>
    <col min="5889" max="5889" width="10.125" style="285" bestFit="1" customWidth="1"/>
    <col min="5890" max="5890" width="10.75" style="285" customWidth="1"/>
    <col min="5891" max="5893" width="9.375" style="285"/>
    <col min="5894" max="5895" width="10.75" style="285" customWidth="1"/>
    <col min="5896" max="5900" width="9.375" style="285"/>
    <col min="5901" max="5901" width="1.625" style="285" bestFit="1" customWidth="1"/>
    <col min="5902" max="5902" width="9.375" style="285"/>
    <col min="5903" max="5903" width="8.875" style="285" customWidth="1"/>
    <col min="5904" max="5904" width="13.125" style="285" customWidth="1"/>
    <col min="5905" max="5905" width="9.375" style="285"/>
    <col min="5906" max="5906" width="9.875" style="285" customWidth="1"/>
    <col min="5907" max="5907" width="11.75" style="285" bestFit="1" customWidth="1"/>
    <col min="5908" max="6137" width="9.375" style="285"/>
    <col min="6138" max="6138" width="5" style="285" customWidth="1"/>
    <col min="6139" max="6139" width="17.875" style="285" bestFit="1" customWidth="1"/>
    <col min="6140" max="6140" width="9.875" style="285" customWidth="1"/>
    <col min="6141" max="6141" width="8.875" style="285" customWidth="1"/>
    <col min="6142" max="6142" width="7.375" style="285" bestFit="1" customWidth="1"/>
    <col min="6143" max="6143" width="10.125" style="285" bestFit="1" customWidth="1"/>
    <col min="6144" max="6144" width="9.375" style="285"/>
    <col min="6145" max="6145" width="10.125" style="285" bestFit="1" customWidth="1"/>
    <col min="6146" max="6146" width="10.75" style="285" customWidth="1"/>
    <col min="6147" max="6149" width="9.375" style="285"/>
    <col min="6150" max="6151" width="10.75" style="285" customWidth="1"/>
    <col min="6152" max="6156" width="9.375" style="285"/>
    <col min="6157" max="6157" width="1.625" style="285" bestFit="1" customWidth="1"/>
    <col min="6158" max="6158" width="9.375" style="285"/>
    <col min="6159" max="6159" width="8.875" style="285" customWidth="1"/>
    <col min="6160" max="6160" width="13.125" style="285" customWidth="1"/>
    <col min="6161" max="6161" width="9.375" style="285"/>
    <col min="6162" max="6162" width="9.875" style="285" customWidth="1"/>
    <col min="6163" max="6163" width="11.75" style="285" bestFit="1" customWidth="1"/>
    <col min="6164" max="6393" width="9.375" style="285"/>
    <col min="6394" max="6394" width="5" style="285" customWidth="1"/>
    <col min="6395" max="6395" width="17.875" style="285" bestFit="1" customWidth="1"/>
    <col min="6396" max="6396" width="9.875" style="285" customWidth="1"/>
    <col min="6397" max="6397" width="8.875" style="285" customWidth="1"/>
    <col min="6398" max="6398" width="7.375" style="285" bestFit="1" customWidth="1"/>
    <col min="6399" max="6399" width="10.125" style="285" bestFit="1" customWidth="1"/>
    <col min="6400" max="6400" width="9.375" style="285"/>
    <col min="6401" max="6401" width="10.125" style="285" bestFit="1" customWidth="1"/>
    <col min="6402" max="6402" width="10.75" style="285" customWidth="1"/>
    <col min="6403" max="6405" width="9.375" style="285"/>
    <col min="6406" max="6407" width="10.75" style="285" customWidth="1"/>
    <col min="6408" max="6412" width="9.375" style="285"/>
    <col min="6413" max="6413" width="1.625" style="285" bestFit="1" customWidth="1"/>
    <col min="6414" max="6414" width="9.375" style="285"/>
    <col min="6415" max="6415" width="8.875" style="285" customWidth="1"/>
    <col min="6416" max="6416" width="13.125" style="285" customWidth="1"/>
    <col min="6417" max="6417" width="9.375" style="285"/>
    <col min="6418" max="6418" width="9.875" style="285" customWidth="1"/>
    <col min="6419" max="6419" width="11.75" style="285" bestFit="1" customWidth="1"/>
    <col min="6420" max="6649" width="9.375" style="285"/>
    <col min="6650" max="6650" width="5" style="285" customWidth="1"/>
    <col min="6651" max="6651" width="17.875" style="285" bestFit="1" customWidth="1"/>
    <col min="6652" max="6652" width="9.875" style="285" customWidth="1"/>
    <col min="6653" max="6653" width="8.875" style="285" customWidth="1"/>
    <col min="6654" max="6654" width="7.375" style="285" bestFit="1" customWidth="1"/>
    <col min="6655" max="6655" width="10.125" style="285" bestFit="1" customWidth="1"/>
    <col min="6656" max="6656" width="9.375" style="285"/>
    <col min="6657" max="6657" width="10.125" style="285" bestFit="1" customWidth="1"/>
    <col min="6658" max="6658" width="10.75" style="285" customWidth="1"/>
    <col min="6659" max="6661" width="9.375" style="285"/>
    <col min="6662" max="6663" width="10.75" style="285" customWidth="1"/>
    <col min="6664" max="6668" width="9.375" style="285"/>
    <col min="6669" max="6669" width="1.625" style="285" bestFit="1" customWidth="1"/>
    <col min="6670" max="6670" width="9.375" style="285"/>
    <col min="6671" max="6671" width="8.875" style="285" customWidth="1"/>
    <col min="6672" max="6672" width="13.125" style="285" customWidth="1"/>
    <col min="6673" max="6673" width="9.375" style="285"/>
    <col min="6674" max="6674" width="9.875" style="285" customWidth="1"/>
    <col min="6675" max="6675" width="11.75" style="285" bestFit="1" customWidth="1"/>
    <col min="6676" max="6905" width="9.375" style="285"/>
    <col min="6906" max="6906" width="5" style="285" customWidth="1"/>
    <col min="6907" max="6907" width="17.875" style="285" bestFit="1" customWidth="1"/>
    <col min="6908" max="6908" width="9.875" style="285" customWidth="1"/>
    <col min="6909" max="6909" width="8.875" style="285" customWidth="1"/>
    <col min="6910" max="6910" width="7.375" style="285" bestFit="1" customWidth="1"/>
    <col min="6911" max="6911" width="10.125" style="285" bestFit="1" customWidth="1"/>
    <col min="6912" max="6912" width="9.375" style="285"/>
    <col min="6913" max="6913" width="10.125" style="285" bestFit="1" customWidth="1"/>
    <col min="6914" max="6914" width="10.75" style="285" customWidth="1"/>
    <col min="6915" max="6917" width="9.375" style="285"/>
    <col min="6918" max="6919" width="10.75" style="285" customWidth="1"/>
    <col min="6920" max="6924" width="9.375" style="285"/>
    <col min="6925" max="6925" width="1.625" style="285" bestFit="1" customWidth="1"/>
    <col min="6926" max="6926" width="9.375" style="285"/>
    <col min="6927" max="6927" width="8.875" style="285" customWidth="1"/>
    <col min="6928" max="6928" width="13.125" style="285" customWidth="1"/>
    <col min="6929" max="6929" width="9.375" style="285"/>
    <col min="6930" max="6930" width="9.875" style="285" customWidth="1"/>
    <col min="6931" max="6931" width="11.75" style="285" bestFit="1" customWidth="1"/>
    <col min="6932" max="7161" width="9.375" style="285"/>
    <col min="7162" max="7162" width="5" style="285" customWidth="1"/>
    <col min="7163" max="7163" width="17.875" style="285" bestFit="1" customWidth="1"/>
    <col min="7164" max="7164" width="9.875" style="285" customWidth="1"/>
    <col min="7165" max="7165" width="8.875" style="285" customWidth="1"/>
    <col min="7166" max="7166" width="7.375" style="285" bestFit="1" customWidth="1"/>
    <col min="7167" max="7167" width="10.125" style="285" bestFit="1" customWidth="1"/>
    <col min="7168" max="7168" width="9.375" style="285"/>
    <col min="7169" max="7169" width="10.125" style="285" bestFit="1" customWidth="1"/>
    <col min="7170" max="7170" width="10.75" style="285" customWidth="1"/>
    <col min="7171" max="7173" width="9.375" style="285"/>
    <col min="7174" max="7175" width="10.75" style="285" customWidth="1"/>
    <col min="7176" max="7180" width="9.375" style="285"/>
    <col min="7181" max="7181" width="1.625" style="285" bestFit="1" customWidth="1"/>
    <col min="7182" max="7182" width="9.375" style="285"/>
    <col min="7183" max="7183" width="8.875" style="285" customWidth="1"/>
    <col min="7184" max="7184" width="13.125" style="285" customWidth="1"/>
    <col min="7185" max="7185" width="9.375" style="285"/>
    <col min="7186" max="7186" width="9.875" style="285" customWidth="1"/>
    <col min="7187" max="7187" width="11.75" style="285" bestFit="1" customWidth="1"/>
    <col min="7188" max="7417" width="9.375" style="285"/>
    <col min="7418" max="7418" width="5" style="285" customWidth="1"/>
    <col min="7419" max="7419" width="17.875" style="285" bestFit="1" customWidth="1"/>
    <col min="7420" max="7420" width="9.875" style="285" customWidth="1"/>
    <col min="7421" max="7421" width="8.875" style="285" customWidth="1"/>
    <col min="7422" max="7422" width="7.375" style="285" bestFit="1" customWidth="1"/>
    <col min="7423" max="7423" width="10.125" style="285" bestFit="1" customWidth="1"/>
    <col min="7424" max="7424" width="9.375" style="285"/>
    <col min="7425" max="7425" width="10.125" style="285" bestFit="1" customWidth="1"/>
    <col min="7426" max="7426" width="10.75" style="285" customWidth="1"/>
    <col min="7427" max="7429" width="9.375" style="285"/>
    <col min="7430" max="7431" width="10.75" style="285" customWidth="1"/>
    <col min="7432" max="7436" width="9.375" style="285"/>
    <col min="7437" max="7437" width="1.625" style="285" bestFit="1" customWidth="1"/>
    <col min="7438" max="7438" width="9.375" style="285"/>
    <col min="7439" max="7439" width="8.875" style="285" customWidth="1"/>
    <col min="7440" max="7440" width="13.125" style="285" customWidth="1"/>
    <col min="7441" max="7441" width="9.375" style="285"/>
    <col min="7442" max="7442" width="9.875" style="285" customWidth="1"/>
    <col min="7443" max="7443" width="11.75" style="285" bestFit="1" customWidth="1"/>
    <col min="7444" max="7673" width="9.375" style="285"/>
    <col min="7674" max="7674" width="5" style="285" customWidth="1"/>
    <col min="7675" max="7675" width="17.875" style="285" bestFit="1" customWidth="1"/>
    <col min="7676" max="7676" width="9.875" style="285" customWidth="1"/>
    <col min="7677" max="7677" width="8.875" style="285" customWidth="1"/>
    <col min="7678" max="7678" width="7.375" style="285" bestFit="1" customWidth="1"/>
    <col min="7679" max="7679" width="10.125" style="285" bestFit="1" customWidth="1"/>
    <col min="7680" max="7680" width="9.375" style="285"/>
    <col min="7681" max="7681" width="10.125" style="285" bestFit="1" customWidth="1"/>
    <col min="7682" max="7682" width="10.75" style="285" customWidth="1"/>
    <col min="7683" max="7685" width="9.375" style="285"/>
    <col min="7686" max="7687" width="10.75" style="285" customWidth="1"/>
    <col min="7688" max="7692" width="9.375" style="285"/>
    <col min="7693" max="7693" width="1.625" style="285" bestFit="1" customWidth="1"/>
    <col min="7694" max="7694" width="9.375" style="285"/>
    <col min="7695" max="7695" width="8.875" style="285" customWidth="1"/>
    <col min="7696" max="7696" width="13.125" style="285" customWidth="1"/>
    <col min="7697" max="7697" width="9.375" style="285"/>
    <col min="7698" max="7698" width="9.875" style="285" customWidth="1"/>
    <col min="7699" max="7699" width="11.75" style="285" bestFit="1" customWidth="1"/>
    <col min="7700" max="7929" width="9.375" style="285"/>
    <col min="7930" max="7930" width="5" style="285" customWidth="1"/>
    <col min="7931" max="7931" width="17.875" style="285" bestFit="1" customWidth="1"/>
    <col min="7932" max="7932" width="9.875" style="285" customWidth="1"/>
    <col min="7933" max="7933" width="8.875" style="285" customWidth="1"/>
    <col min="7934" max="7934" width="7.375" style="285" bestFit="1" customWidth="1"/>
    <col min="7935" max="7935" width="10.125" style="285" bestFit="1" customWidth="1"/>
    <col min="7936" max="7936" width="9.375" style="285"/>
    <col min="7937" max="7937" width="10.125" style="285" bestFit="1" customWidth="1"/>
    <col min="7938" max="7938" width="10.75" style="285" customWidth="1"/>
    <col min="7939" max="7941" width="9.375" style="285"/>
    <col min="7942" max="7943" width="10.75" style="285" customWidth="1"/>
    <col min="7944" max="7948" width="9.375" style="285"/>
    <col min="7949" max="7949" width="1.625" style="285" bestFit="1" customWidth="1"/>
    <col min="7950" max="7950" width="9.375" style="285"/>
    <col min="7951" max="7951" width="8.875" style="285" customWidth="1"/>
    <col min="7952" max="7952" width="13.125" style="285" customWidth="1"/>
    <col min="7953" max="7953" width="9.375" style="285"/>
    <col min="7954" max="7954" width="9.875" style="285" customWidth="1"/>
    <col min="7955" max="7955" width="11.75" style="285" bestFit="1" customWidth="1"/>
    <col min="7956" max="8185" width="9.375" style="285"/>
    <col min="8186" max="8186" width="5" style="285" customWidth="1"/>
    <col min="8187" max="8187" width="17.875" style="285" bestFit="1" customWidth="1"/>
    <col min="8188" max="8188" width="9.875" style="285" customWidth="1"/>
    <col min="8189" max="8189" width="8.875" style="285" customWidth="1"/>
    <col min="8190" max="8190" width="7.375" style="285" bestFit="1" customWidth="1"/>
    <col min="8191" max="8191" width="10.125" style="285" bestFit="1" customWidth="1"/>
    <col min="8192" max="8192" width="9.375" style="285"/>
    <col min="8193" max="8193" width="10.125" style="285" bestFit="1" customWidth="1"/>
    <col min="8194" max="8194" width="10.75" style="285" customWidth="1"/>
    <col min="8195" max="8197" width="9.375" style="285"/>
    <col min="8198" max="8199" width="10.75" style="285" customWidth="1"/>
    <col min="8200" max="8204" width="9.375" style="285"/>
    <col min="8205" max="8205" width="1.625" style="285" bestFit="1" customWidth="1"/>
    <col min="8206" max="8206" width="9.375" style="285"/>
    <col min="8207" max="8207" width="8.875" style="285" customWidth="1"/>
    <col min="8208" max="8208" width="13.125" style="285" customWidth="1"/>
    <col min="8209" max="8209" width="9.375" style="285"/>
    <col min="8210" max="8210" width="9.875" style="285" customWidth="1"/>
    <col min="8211" max="8211" width="11.75" style="285" bestFit="1" customWidth="1"/>
    <col min="8212" max="8441" width="9.375" style="285"/>
    <col min="8442" max="8442" width="5" style="285" customWidth="1"/>
    <col min="8443" max="8443" width="17.875" style="285" bestFit="1" customWidth="1"/>
    <col min="8444" max="8444" width="9.875" style="285" customWidth="1"/>
    <col min="8445" max="8445" width="8.875" style="285" customWidth="1"/>
    <col min="8446" max="8446" width="7.375" style="285" bestFit="1" customWidth="1"/>
    <col min="8447" max="8447" width="10.125" style="285" bestFit="1" customWidth="1"/>
    <col min="8448" max="8448" width="9.375" style="285"/>
    <col min="8449" max="8449" width="10.125" style="285" bestFit="1" customWidth="1"/>
    <col min="8450" max="8450" width="10.75" style="285" customWidth="1"/>
    <col min="8451" max="8453" width="9.375" style="285"/>
    <col min="8454" max="8455" width="10.75" style="285" customWidth="1"/>
    <col min="8456" max="8460" width="9.375" style="285"/>
    <col min="8461" max="8461" width="1.625" style="285" bestFit="1" customWidth="1"/>
    <col min="8462" max="8462" width="9.375" style="285"/>
    <col min="8463" max="8463" width="8.875" style="285" customWidth="1"/>
    <col min="8464" max="8464" width="13.125" style="285" customWidth="1"/>
    <col min="8465" max="8465" width="9.375" style="285"/>
    <col min="8466" max="8466" width="9.875" style="285" customWidth="1"/>
    <col min="8467" max="8467" width="11.75" style="285" bestFit="1" customWidth="1"/>
    <col min="8468" max="8697" width="9.375" style="285"/>
    <col min="8698" max="8698" width="5" style="285" customWidth="1"/>
    <col min="8699" max="8699" width="17.875" style="285" bestFit="1" customWidth="1"/>
    <col min="8700" max="8700" width="9.875" style="285" customWidth="1"/>
    <col min="8701" max="8701" width="8.875" style="285" customWidth="1"/>
    <col min="8702" max="8702" width="7.375" style="285" bestFit="1" customWidth="1"/>
    <col min="8703" max="8703" width="10.125" style="285" bestFit="1" customWidth="1"/>
    <col min="8704" max="8704" width="9.375" style="285"/>
    <col min="8705" max="8705" width="10.125" style="285" bestFit="1" customWidth="1"/>
    <col min="8706" max="8706" width="10.75" style="285" customWidth="1"/>
    <col min="8707" max="8709" width="9.375" style="285"/>
    <col min="8710" max="8711" width="10.75" style="285" customWidth="1"/>
    <col min="8712" max="8716" width="9.375" style="285"/>
    <col min="8717" max="8717" width="1.625" style="285" bestFit="1" customWidth="1"/>
    <col min="8718" max="8718" width="9.375" style="285"/>
    <col min="8719" max="8719" width="8.875" style="285" customWidth="1"/>
    <col min="8720" max="8720" width="13.125" style="285" customWidth="1"/>
    <col min="8721" max="8721" width="9.375" style="285"/>
    <col min="8722" max="8722" width="9.875" style="285" customWidth="1"/>
    <col min="8723" max="8723" width="11.75" style="285" bestFit="1" customWidth="1"/>
    <col min="8724" max="8953" width="9.375" style="285"/>
    <col min="8954" max="8954" width="5" style="285" customWidth="1"/>
    <col min="8955" max="8955" width="17.875" style="285" bestFit="1" customWidth="1"/>
    <col min="8956" max="8956" width="9.875" style="285" customWidth="1"/>
    <col min="8957" max="8957" width="8.875" style="285" customWidth="1"/>
    <col min="8958" max="8958" width="7.375" style="285" bestFit="1" customWidth="1"/>
    <col min="8959" max="8959" width="10.125" style="285" bestFit="1" customWidth="1"/>
    <col min="8960" max="8960" width="9.375" style="285"/>
    <col min="8961" max="8961" width="10.125" style="285" bestFit="1" customWidth="1"/>
    <col min="8962" max="8962" width="10.75" style="285" customWidth="1"/>
    <col min="8963" max="8965" width="9.375" style="285"/>
    <col min="8966" max="8967" width="10.75" style="285" customWidth="1"/>
    <col min="8968" max="8972" width="9.375" style="285"/>
    <col min="8973" max="8973" width="1.625" style="285" bestFit="1" customWidth="1"/>
    <col min="8974" max="8974" width="9.375" style="285"/>
    <col min="8975" max="8975" width="8.875" style="285" customWidth="1"/>
    <col min="8976" max="8976" width="13.125" style="285" customWidth="1"/>
    <col min="8977" max="8977" width="9.375" style="285"/>
    <col min="8978" max="8978" width="9.875" style="285" customWidth="1"/>
    <col min="8979" max="8979" width="11.75" style="285" bestFit="1" customWidth="1"/>
    <col min="8980" max="9209" width="9.375" style="285"/>
    <col min="9210" max="9210" width="5" style="285" customWidth="1"/>
    <col min="9211" max="9211" width="17.875" style="285" bestFit="1" customWidth="1"/>
    <col min="9212" max="9212" width="9.875" style="285" customWidth="1"/>
    <col min="9213" max="9213" width="8.875" style="285" customWidth="1"/>
    <col min="9214" max="9214" width="7.375" style="285" bestFit="1" customWidth="1"/>
    <col min="9215" max="9215" width="10.125" style="285" bestFit="1" customWidth="1"/>
    <col min="9216" max="9216" width="9.375" style="285"/>
    <col min="9217" max="9217" width="10.125" style="285" bestFit="1" customWidth="1"/>
    <col min="9218" max="9218" width="10.75" style="285" customWidth="1"/>
    <col min="9219" max="9221" width="9.375" style="285"/>
    <col min="9222" max="9223" width="10.75" style="285" customWidth="1"/>
    <col min="9224" max="9228" width="9.375" style="285"/>
    <col min="9229" max="9229" width="1.625" style="285" bestFit="1" customWidth="1"/>
    <col min="9230" max="9230" width="9.375" style="285"/>
    <col min="9231" max="9231" width="8.875" style="285" customWidth="1"/>
    <col min="9232" max="9232" width="13.125" style="285" customWidth="1"/>
    <col min="9233" max="9233" width="9.375" style="285"/>
    <col min="9234" max="9234" width="9.875" style="285" customWidth="1"/>
    <col min="9235" max="9235" width="11.75" style="285" bestFit="1" customWidth="1"/>
    <col min="9236" max="9465" width="9.375" style="285"/>
    <col min="9466" max="9466" width="5" style="285" customWidth="1"/>
    <col min="9467" max="9467" width="17.875" style="285" bestFit="1" customWidth="1"/>
    <col min="9468" max="9468" width="9.875" style="285" customWidth="1"/>
    <col min="9469" max="9469" width="8.875" style="285" customWidth="1"/>
    <col min="9470" max="9470" width="7.375" style="285" bestFit="1" customWidth="1"/>
    <col min="9471" max="9471" width="10.125" style="285" bestFit="1" customWidth="1"/>
    <col min="9472" max="9472" width="9.375" style="285"/>
    <col min="9473" max="9473" width="10.125" style="285" bestFit="1" customWidth="1"/>
    <col min="9474" max="9474" width="10.75" style="285" customWidth="1"/>
    <col min="9475" max="9477" width="9.375" style="285"/>
    <col min="9478" max="9479" width="10.75" style="285" customWidth="1"/>
    <col min="9480" max="9484" width="9.375" style="285"/>
    <col min="9485" max="9485" width="1.625" style="285" bestFit="1" customWidth="1"/>
    <col min="9486" max="9486" width="9.375" style="285"/>
    <col min="9487" max="9487" width="8.875" style="285" customWidth="1"/>
    <col min="9488" max="9488" width="13.125" style="285" customWidth="1"/>
    <col min="9489" max="9489" width="9.375" style="285"/>
    <col min="9490" max="9490" width="9.875" style="285" customWidth="1"/>
    <col min="9491" max="9491" width="11.75" style="285" bestFit="1" customWidth="1"/>
    <col min="9492" max="9721" width="9.375" style="285"/>
    <col min="9722" max="9722" width="5" style="285" customWidth="1"/>
    <col min="9723" max="9723" width="17.875" style="285" bestFit="1" customWidth="1"/>
    <col min="9724" max="9724" width="9.875" style="285" customWidth="1"/>
    <col min="9725" max="9725" width="8.875" style="285" customWidth="1"/>
    <col min="9726" max="9726" width="7.375" style="285" bestFit="1" customWidth="1"/>
    <col min="9727" max="9727" width="10.125" style="285" bestFit="1" customWidth="1"/>
    <col min="9728" max="9728" width="9.375" style="285"/>
    <col min="9729" max="9729" width="10.125" style="285" bestFit="1" customWidth="1"/>
    <col min="9730" max="9730" width="10.75" style="285" customWidth="1"/>
    <col min="9731" max="9733" width="9.375" style="285"/>
    <col min="9734" max="9735" width="10.75" style="285" customWidth="1"/>
    <col min="9736" max="9740" width="9.375" style="285"/>
    <col min="9741" max="9741" width="1.625" style="285" bestFit="1" customWidth="1"/>
    <col min="9742" max="9742" width="9.375" style="285"/>
    <col min="9743" max="9743" width="8.875" style="285" customWidth="1"/>
    <col min="9744" max="9744" width="13.125" style="285" customWidth="1"/>
    <col min="9745" max="9745" width="9.375" style="285"/>
    <col min="9746" max="9746" width="9.875" style="285" customWidth="1"/>
    <col min="9747" max="9747" width="11.75" style="285" bestFit="1" customWidth="1"/>
    <col min="9748" max="9977" width="9.375" style="285"/>
    <col min="9978" max="9978" width="5" style="285" customWidth="1"/>
    <col min="9979" max="9979" width="17.875" style="285" bestFit="1" customWidth="1"/>
    <col min="9980" max="9980" width="9.875" style="285" customWidth="1"/>
    <col min="9981" max="9981" width="8.875" style="285" customWidth="1"/>
    <col min="9982" max="9982" width="7.375" style="285" bestFit="1" customWidth="1"/>
    <col min="9983" max="9983" width="10.125" style="285" bestFit="1" customWidth="1"/>
    <col min="9984" max="9984" width="9.375" style="285"/>
    <col min="9985" max="9985" width="10.125" style="285" bestFit="1" customWidth="1"/>
    <col min="9986" max="9986" width="10.75" style="285" customWidth="1"/>
    <col min="9987" max="9989" width="9.375" style="285"/>
    <col min="9990" max="9991" width="10.75" style="285" customWidth="1"/>
    <col min="9992" max="9996" width="9.375" style="285"/>
    <col min="9997" max="9997" width="1.625" style="285" bestFit="1" customWidth="1"/>
    <col min="9998" max="9998" width="9.375" style="285"/>
    <col min="9999" max="9999" width="8.875" style="285" customWidth="1"/>
    <col min="10000" max="10000" width="13.125" style="285" customWidth="1"/>
    <col min="10001" max="10001" width="9.375" style="285"/>
    <col min="10002" max="10002" width="9.875" style="285" customWidth="1"/>
    <col min="10003" max="10003" width="11.75" style="285" bestFit="1" customWidth="1"/>
    <col min="10004" max="10233" width="9.375" style="285"/>
    <col min="10234" max="10234" width="5" style="285" customWidth="1"/>
    <col min="10235" max="10235" width="17.875" style="285" bestFit="1" customWidth="1"/>
    <col min="10236" max="10236" width="9.875" style="285" customWidth="1"/>
    <col min="10237" max="10237" width="8.875" style="285" customWidth="1"/>
    <col min="10238" max="10238" width="7.375" style="285" bestFit="1" customWidth="1"/>
    <col min="10239" max="10239" width="10.125" style="285" bestFit="1" customWidth="1"/>
    <col min="10240" max="10240" width="9.375" style="285"/>
    <col min="10241" max="10241" width="10.125" style="285" bestFit="1" customWidth="1"/>
    <col min="10242" max="10242" width="10.75" style="285" customWidth="1"/>
    <col min="10243" max="10245" width="9.375" style="285"/>
    <col min="10246" max="10247" width="10.75" style="285" customWidth="1"/>
    <col min="10248" max="10252" width="9.375" style="285"/>
    <col min="10253" max="10253" width="1.625" style="285" bestFit="1" customWidth="1"/>
    <col min="10254" max="10254" width="9.375" style="285"/>
    <col min="10255" max="10255" width="8.875" style="285" customWidth="1"/>
    <col min="10256" max="10256" width="13.125" style="285" customWidth="1"/>
    <col min="10257" max="10257" width="9.375" style="285"/>
    <col min="10258" max="10258" width="9.875" style="285" customWidth="1"/>
    <col min="10259" max="10259" width="11.75" style="285" bestFit="1" customWidth="1"/>
    <col min="10260" max="10489" width="9.375" style="285"/>
    <col min="10490" max="10490" width="5" style="285" customWidth="1"/>
    <col min="10491" max="10491" width="17.875" style="285" bestFit="1" customWidth="1"/>
    <col min="10492" max="10492" width="9.875" style="285" customWidth="1"/>
    <col min="10493" max="10493" width="8.875" style="285" customWidth="1"/>
    <col min="10494" max="10494" width="7.375" style="285" bestFit="1" customWidth="1"/>
    <col min="10495" max="10495" width="10.125" style="285" bestFit="1" customWidth="1"/>
    <col min="10496" max="10496" width="9.375" style="285"/>
    <col min="10497" max="10497" width="10.125" style="285" bestFit="1" customWidth="1"/>
    <col min="10498" max="10498" width="10.75" style="285" customWidth="1"/>
    <col min="10499" max="10501" width="9.375" style="285"/>
    <col min="10502" max="10503" width="10.75" style="285" customWidth="1"/>
    <col min="10504" max="10508" width="9.375" style="285"/>
    <col min="10509" max="10509" width="1.625" style="285" bestFit="1" customWidth="1"/>
    <col min="10510" max="10510" width="9.375" style="285"/>
    <col min="10511" max="10511" width="8.875" style="285" customWidth="1"/>
    <col min="10512" max="10512" width="13.125" style="285" customWidth="1"/>
    <col min="10513" max="10513" width="9.375" style="285"/>
    <col min="10514" max="10514" width="9.875" style="285" customWidth="1"/>
    <col min="10515" max="10515" width="11.75" style="285" bestFit="1" customWidth="1"/>
    <col min="10516" max="10745" width="9.375" style="285"/>
    <col min="10746" max="10746" width="5" style="285" customWidth="1"/>
    <col min="10747" max="10747" width="17.875" style="285" bestFit="1" customWidth="1"/>
    <col min="10748" max="10748" width="9.875" style="285" customWidth="1"/>
    <col min="10749" max="10749" width="8.875" style="285" customWidth="1"/>
    <col min="10750" max="10750" width="7.375" style="285" bestFit="1" customWidth="1"/>
    <col min="10751" max="10751" width="10.125" style="285" bestFit="1" customWidth="1"/>
    <col min="10752" max="10752" width="9.375" style="285"/>
    <col min="10753" max="10753" width="10.125" style="285" bestFit="1" customWidth="1"/>
    <col min="10754" max="10754" width="10.75" style="285" customWidth="1"/>
    <col min="10755" max="10757" width="9.375" style="285"/>
    <col min="10758" max="10759" width="10.75" style="285" customWidth="1"/>
    <col min="10760" max="10764" width="9.375" style="285"/>
    <col min="10765" max="10765" width="1.625" style="285" bestFit="1" customWidth="1"/>
    <col min="10766" max="10766" width="9.375" style="285"/>
    <col min="10767" max="10767" width="8.875" style="285" customWidth="1"/>
    <col min="10768" max="10768" width="13.125" style="285" customWidth="1"/>
    <col min="10769" max="10769" width="9.375" style="285"/>
    <col min="10770" max="10770" width="9.875" style="285" customWidth="1"/>
    <col min="10771" max="10771" width="11.75" style="285" bestFit="1" customWidth="1"/>
    <col min="10772" max="11001" width="9.375" style="285"/>
    <col min="11002" max="11002" width="5" style="285" customWidth="1"/>
    <col min="11003" max="11003" width="17.875" style="285" bestFit="1" customWidth="1"/>
    <col min="11004" max="11004" width="9.875" style="285" customWidth="1"/>
    <col min="11005" max="11005" width="8.875" style="285" customWidth="1"/>
    <col min="11006" max="11006" width="7.375" style="285" bestFit="1" customWidth="1"/>
    <col min="11007" max="11007" width="10.125" style="285" bestFit="1" customWidth="1"/>
    <col min="11008" max="11008" width="9.375" style="285"/>
    <col min="11009" max="11009" width="10.125" style="285" bestFit="1" customWidth="1"/>
    <col min="11010" max="11010" width="10.75" style="285" customWidth="1"/>
    <col min="11011" max="11013" width="9.375" style="285"/>
    <col min="11014" max="11015" width="10.75" style="285" customWidth="1"/>
    <col min="11016" max="11020" width="9.375" style="285"/>
    <col min="11021" max="11021" width="1.625" style="285" bestFit="1" customWidth="1"/>
    <col min="11022" max="11022" width="9.375" style="285"/>
    <col min="11023" max="11023" width="8.875" style="285" customWidth="1"/>
    <col min="11024" max="11024" width="13.125" style="285" customWidth="1"/>
    <col min="11025" max="11025" width="9.375" style="285"/>
    <col min="11026" max="11026" width="9.875" style="285" customWidth="1"/>
    <col min="11027" max="11027" width="11.75" style="285" bestFit="1" customWidth="1"/>
    <col min="11028" max="11257" width="9.375" style="285"/>
    <col min="11258" max="11258" width="5" style="285" customWidth="1"/>
    <col min="11259" max="11259" width="17.875" style="285" bestFit="1" customWidth="1"/>
    <col min="11260" max="11260" width="9.875" style="285" customWidth="1"/>
    <col min="11261" max="11261" width="8.875" style="285" customWidth="1"/>
    <col min="11262" max="11262" width="7.375" style="285" bestFit="1" customWidth="1"/>
    <col min="11263" max="11263" width="10.125" style="285" bestFit="1" customWidth="1"/>
    <col min="11264" max="11264" width="9.375" style="285"/>
    <col min="11265" max="11265" width="10.125" style="285" bestFit="1" customWidth="1"/>
    <col min="11266" max="11266" width="10.75" style="285" customWidth="1"/>
    <col min="11267" max="11269" width="9.375" style="285"/>
    <col min="11270" max="11271" width="10.75" style="285" customWidth="1"/>
    <col min="11272" max="11276" width="9.375" style="285"/>
    <col min="11277" max="11277" width="1.625" style="285" bestFit="1" customWidth="1"/>
    <col min="11278" max="11278" width="9.375" style="285"/>
    <col min="11279" max="11279" width="8.875" style="285" customWidth="1"/>
    <col min="11280" max="11280" width="13.125" style="285" customWidth="1"/>
    <col min="11281" max="11281" width="9.375" style="285"/>
    <col min="11282" max="11282" width="9.875" style="285" customWidth="1"/>
    <col min="11283" max="11283" width="11.75" style="285" bestFit="1" customWidth="1"/>
    <col min="11284" max="11513" width="9.375" style="285"/>
    <col min="11514" max="11514" width="5" style="285" customWidth="1"/>
    <col min="11515" max="11515" width="17.875" style="285" bestFit="1" customWidth="1"/>
    <col min="11516" max="11516" width="9.875" style="285" customWidth="1"/>
    <col min="11517" max="11517" width="8.875" style="285" customWidth="1"/>
    <col min="11518" max="11518" width="7.375" style="285" bestFit="1" customWidth="1"/>
    <col min="11519" max="11519" width="10.125" style="285" bestFit="1" customWidth="1"/>
    <col min="11520" max="11520" width="9.375" style="285"/>
    <col min="11521" max="11521" width="10.125" style="285" bestFit="1" customWidth="1"/>
    <col min="11522" max="11522" width="10.75" style="285" customWidth="1"/>
    <col min="11523" max="11525" width="9.375" style="285"/>
    <col min="11526" max="11527" width="10.75" style="285" customWidth="1"/>
    <col min="11528" max="11532" width="9.375" style="285"/>
    <col min="11533" max="11533" width="1.625" style="285" bestFit="1" customWidth="1"/>
    <col min="11534" max="11534" width="9.375" style="285"/>
    <col min="11535" max="11535" width="8.875" style="285" customWidth="1"/>
    <col min="11536" max="11536" width="13.125" style="285" customWidth="1"/>
    <col min="11537" max="11537" width="9.375" style="285"/>
    <col min="11538" max="11538" width="9.875" style="285" customWidth="1"/>
    <col min="11539" max="11539" width="11.75" style="285" bestFit="1" customWidth="1"/>
    <col min="11540" max="11769" width="9.375" style="285"/>
    <col min="11770" max="11770" width="5" style="285" customWidth="1"/>
    <col min="11771" max="11771" width="17.875" style="285" bestFit="1" customWidth="1"/>
    <col min="11772" max="11772" width="9.875" style="285" customWidth="1"/>
    <col min="11773" max="11773" width="8.875" style="285" customWidth="1"/>
    <col min="11774" max="11774" width="7.375" style="285" bestFit="1" customWidth="1"/>
    <col min="11775" max="11775" width="10.125" style="285" bestFit="1" customWidth="1"/>
    <col min="11776" max="11776" width="9.375" style="285"/>
    <col min="11777" max="11777" width="10.125" style="285" bestFit="1" customWidth="1"/>
    <col min="11778" max="11778" width="10.75" style="285" customWidth="1"/>
    <col min="11779" max="11781" width="9.375" style="285"/>
    <col min="11782" max="11783" width="10.75" style="285" customWidth="1"/>
    <col min="11784" max="11788" width="9.375" style="285"/>
    <col min="11789" max="11789" width="1.625" style="285" bestFit="1" customWidth="1"/>
    <col min="11790" max="11790" width="9.375" style="285"/>
    <col min="11791" max="11791" width="8.875" style="285" customWidth="1"/>
    <col min="11792" max="11792" width="13.125" style="285" customWidth="1"/>
    <col min="11793" max="11793" width="9.375" style="285"/>
    <col min="11794" max="11794" width="9.875" style="285" customWidth="1"/>
    <col min="11795" max="11795" width="11.75" style="285" bestFit="1" customWidth="1"/>
    <col min="11796" max="12025" width="9.375" style="285"/>
    <col min="12026" max="12026" width="5" style="285" customWidth="1"/>
    <col min="12027" max="12027" width="17.875" style="285" bestFit="1" customWidth="1"/>
    <col min="12028" max="12028" width="9.875" style="285" customWidth="1"/>
    <col min="12029" max="12029" width="8.875" style="285" customWidth="1"/>
    <col min="12030" max="12030" width="7.375" style="285" bestFit="1" customWidth="1"/>
    <col min="12031" max="12031" width="10.125" style="285" bestFit="1" customWidth="1"/>
    <col min="12032" max="12032" width="9.375" style="285"/>
    <col min="12033" max="12033" width="10.125" style="285" bestFit="1" customWidth="1"/>
    <col min="12034" max="12034" width="10.75" style="285" customWidth="1"/>
    <col min="12035" max="12037" width="9.375" style="285"/>
    <col min="12038" max="12039" width="10.75" style="285" customWidth="1"/>
    <col min="12040" max="12044" width="9.375" style="285"/>
    <col min="12045" max="12045" width="1.625" style="285" bestFit="1" customWidth="1"/>
    <col min="12046" max="12046" width="9.375" style="285"/>
    <col min="12047" max="12047" width="8.875" style="285" customWidth="1"/>
    <col min="12048" max="12048" width="13.125" style="285" customWidth="1"/>
    <col min="12049" max="12049" width="9.375" style="285"/>
    <col min="12050" max="12050" width="9.875" style="285" customWidth="1"/>
    <col min="12051" max="12051" width="11.75" style="285" bestFit="1" customWidth="1"/>
    <col min="12052" max="12281" width="9.375" style="285"/>
    <col min="12282" max="12282" width="5" style="285" customWidth="1"/>
    <col min="12283" max="12283" width="17.875" style="285" bestFit="1" customWidth="1"/>
    <col min="12284" max="12284" width="9.875" style="285" customWidth="1"/>
    <col min="12285" max="12285" width="8.875" style="285" customWidth="1"/>
    <col min="12286" max="12286" width="7.375" style="285" bestFit="1" customWidth="1"/>
    <col min="12287" max="12287" width="10.125" style="285" bestFit="1" customWidth="1"/>
    <col min="12288" max="12288" width="9.375" style="285"/>
    <col min="12289" max="12289" width="10.125" style="285" bestFit="1" customWidth="1"/>
    <col min="12290" max="12290" width="10.75" style="285" customWidth="1"/>
    <col min="12291" max="12293" width="9.375" style="285"/>
    <col min="12294" max="12295" width="10.75" style="285" customWidth="1"/>
    <col min="12296" max="12300" width="9.375" style="285"/>
    <col min="12301" max="12301" width="1.625" style="285" bestFit="1" customWidth="1"/>
    <col min="12302" max="12302" width="9.375" style="285"/>
    <col min="12303" max="12303" width="8.875" style="285" customWidth="1"/>
    <col min="12304" max="12304" width="13.125" style="285" customWidth="1"/>
    <col min="12305" max="12305" width="9.375" style="285"/>
    <col min="12306" max="12306" width="9.875" style="285" customWidth="1"/>
    <col min="12307" max="12307" width="11.75" style="285" bestFit="1" customWidth="1"/>
    <col min="12308" max="12537" width="9.375" style="285"/>
    <col min="12538" max="12538" width="5" style="285" customWidth="1"/>
    <col min="12539" max="12539" width="17.875" style="285" bestFit="1" customWidth="1"/>
    <col min="12540" max="12540" width="9.875" style="285" customWidth="1"/>
    <col min="12541" max="12541" width="8.875" style="285" customWidth="1"/>
    <col min="12542" max="12542" width="7.375" style="285" bestFit="1" customWidth="1"/>
    <col min="12543" max="12543" width="10.125" style="285" bestFit="1" customWidth="1"/>
    <col min="12544" max="12544" width="9.375" style="285"/>
    <col min="12545" max="12545" width="10.125" style="285" bestFit="1" customWidth="1"/>
    <col min="12546" max="12546" width="10.75" style="285" customWidth="1"/>
    <col min="12547" max="12549" width="9.375" style="285"/>
    <col min="12550" max="12551" width="10.75" style="285" customWidth="1"/>
    <col min="12552" max="12556" width="9.375" style="285"/>
    <col min="12557" max="12557" width="1.625" style="285" bestFit="1" customWidth="1"/>
    <col min="12558" max="12558" width="9.375" style="285"/>
    <col min="12559" max="12559" width="8.875" style="285" customWidth="1"/>
    <col min="12560" max="12560" width="13.125" style="285" customWidth="1"/>
    <col min="12561" max="12561" width="9.375" style="285"/>
    <col min="12562" max="12562" width="9.875" style="285" customWidth="1"/>
    <col min="12563" max="12563" width="11.75" style="285" bestFit="1" customWidth="1"/>
    <col min="12564" max="12793" width="9.375" style="285"/>
    <col min="12794" max="12794" width="5" style="285" customWidth="1"/>
    <col min="12795" max="12795" width="17.875" style="285" bestFit="1" customWidth="1"/>
    <col min="12796" max="12796" width="9.875" style="285" customWidth="1"/>
    <col min="12797" max="12797" width="8.875" style="285" customWidth="1"/>
    <col min="12798" max="12798" width="7.375" style="285" bestFit="1" customWidth="1"/>
    <col min="12799" max="12799" width="10.125" style="285" bestFit="1" customWidth="1"/>
    <col min="12800" max="12800" width="9.375" style="285"/>
    <col min="12801" max="12801" width="10.125" style="285" bestFit="1" customWidth="1"/>
    <col min="12802" max="12802" width="10.75" style="285" customWidth="1"/>
    <col min="12803" max="12805" width="9.375" style="285"/>
    <col min="12806" max="12807" width="10.75" style="285" customWidth="1"/>
    <col min="12808" max="12812" width="9.375" style="285"/>
    <col min="12813" max="12813" width="1.625" style="285" bestFit="1" customWidth="1"/>
    <col min="12814" max="12814" width="9.375" style="285"/>
    <col min="12815" max="12815" width="8.875" style="285" customWidth="1"/>
    <col min="12816" max="12816" width="13.125" style="285" customWidth="1"/>
    <col min="12817" max="12817" width="9.375" style="285"/>
    <col min="12818" max="12818" width="9.875" style="285" customWidth="1"/>
    <col min="12819" max="12819" width="11.75" style="285" bestFit="1" customWidth="1"/>
    <col min="12820" max="13049" width="9.375" style="285"/>
    <col min="13050" max="13050" width="5" style="285" customWidth="1"/>
    <col min="13051" max="13051" width="17.875" style="285" bestFit="1" customWidth="1"/>
    <col min="13052" max="13052" width="9.875" style="285" customWidth="1"/>
    <col min="13053" max="13053" width="8.875" style="285" customWidth="1"/>
    <col min="13054" max="13054" width="7.375" style="285" bestFit="1" customWidth="1"/>
    <col min="13055" max="13055" width="10.125" style="285" bestFit="1" customWidth="1"/>
    <col min="13056" max="13056" width="9.375" style="285"/>
    <col min="13057" max="13057" width="10.125" style="285" bestFit="1" customWidth="1"/>
    <col min="13058" max="13058" width="10.75" style="285" customWidth="1"/>
    <col min="13059" max="13061" width="9.375" style="285"/>
    <col min="13062" max="13063" width="10.75" style="285" customWidth="1"/>
    <col min="13064" max="13068" width="9.375" style="285"/>
    <col min="13069" max="13069" width="1.625" style="285" bestFit="1" customWidth="1"/>
    <col min="13070" max="13070" width="9.375" style="285"/>
    <col min="13071" max="13071" width="8.875" style="285" customWidth="1"/>
    <col min="13072" max="13072" width="13.125" style="285" customWidth="1"/>
    <col min="13073" max="13073" width="9.375" style="285"/>
    <col min="13074" max="13074" width="9.875" style="285" customWidth="1"/>
    <col min="13075" max="13075" width="11.75" style="285" bestFit="1" customWidth="1"/>
    <col min="13076" max="13305" width="9.375" style="285"/>
    <col min="13306" max="13306" width="5" style="285" customWidth="1"/>
    <col min="13307" max="13307" width="17.875" style="285" bestFit="1" customWidth="1"/>
    <col min="13308" max="13308" width="9.875" style="285" customWidth="1"/>
    <col min="13309" max="13309" width="8.875" style="285" customWidth="1"/>
    <col min="13310" max="13310" width="7.375" style="285" bestFit="1" customWidth="1"/>
    <col min="13311" max="13311" width="10.125" style="285" bestFit="1" customWidth="1"/>
    <col min="13312" max="13312" width="9.375" style="285"/>
    <col min="13313" max="13313" width="10.125" style="285" bestFit="1" customWidth="1"/>
    <col min="13314" max="13314" width="10.75" style="285" customWidth="1"/>
    <col min="13315" max="13317" width="9.375" style="285"/>
    <col min="13318" max="13319" width="10.75" style="285" customWidth="1"/>
    <col min="13320" max="13324" width="9.375" style="285"/>
    <col min="13325" max="13325" width="1.625" style="285" bestFit="1" customWidth="1"/>
    <col min="13326" max="13326" width="9.375" style="285"/>
    <col min="13327" max="13327" width="8.875" style="285" customWidth="1"/>
    <col min="13328" max="13328" width="13.125" style="285" customWidth="1"/>
    <col min="13329" max="13329" width="9.375" style="285"/>
    <col min="13330" max="13330" width="9.875" style="285" customWidth="1"/>
    <col min="13331" max="13331" width="11.75" style="285" bestFit="1" customWidth="1"/>
    <col min="13332" max="13561" width="9.375" style="285"/>
    <col min="13562" max="13562" width="5" style="285" customWidth="1"/>
    <col min="13563" max="13563" width="17.875" style="285" bestFit="1" customWidth="1"/>
    <col min="13564" max="13564" width="9.875" style="285" customWidth="1"/>
    <col min="13565" max="13565" width="8.875" style="285" customWidth="1"/>
    <col min="13566" max="13566" width="7.375" style="285" bestFit="1" customWidth="1"/>
    <col min="13567" max="13567" width="10.125" style="285" bestFit="1" customWidth="1"/>
    <col min="13568" max="13568" width="9.375" style="285"/>
    <col min="13569" max="13569" width="10.125" style="285" bestFit="1" customWidth="1"/>
    <col min="13570" max="13570" width="10.75" style="285" customWidth="1"/>
    <col min="13571" max="13573" width="9.375" style="285"/>
    <col min="13574" max="13575" width="10.75" style="285" customWidth="1"/>
    <col min="13576" max="13580" width="9.375" style="285"/>
    <col min="13581" max="13581" width="1.625" style="285" bestFit="1" customWidth="1"/>
    <col min="13582" max="13582" width="9.375" style="285"/>
    <col min="13583" max="13583" width="8.875" style="285" customWidth="1"/>
    <col min="13584" max="13584" width="13.125" style="285" customWidth="1"/>
    <col min="13585" max="13585" width="9.375" style="285"/>
    <col min="13586" max="13586" width="9.875" style="285" customWidth="1"/>
    <col min="13587" max="13587" width="11.75" style="285" bestFit="1" customWidth="1"/>
    <col min="13588" max="13817" width="9.375" style="285"/>
    <col min="13818" max="13818" width="5" style="285" customWidth="1"/>
    <col min="13819" max="13819" width="17.875" style="285" bestFit="1" customWidth="1"/>
    <col min="13820" max="13820" width="9.875" style="285" customWidth="1"/>
    <col min="13821" max="13821" width="8.875" style="285" customWidth="1"/>
    <col min="13822" max="13822" width="7.375" style="285" bestFit="1" customWidth="1"/>
    <col min="13823" max="13823" width="10.125" style="285" bestFit="1" customWidth="1"/>
    <col min="13824" max="13824" width="9.375" style="285"/>
    <col min="13825" max="13825" width="10.125" style="285" bestFit="1" customWidth="1"/>
    <col min="13826" max="13826" width="10.75" style="285" customWidth="1"/>
    <col min="13827" max="13829" width="9.375" style="285"/>
    <col min="13830" max="13831" width="10.75" style="285" customWidth="1"/>
    <col min="13832" max="13836" width="9.375" style="285"/>
    <col min="13837" max="13837" width="1.625" style="285" bestFit="1" customWidth="1"/>
    <col min="13838" max="13838" width="9.375" style="285"/>
    <col min="13839" max="13839" width="8.875" style="285" customWidth="1"/>
    <col min="13840" max="13840" width="13.125" style="285" customWidth="1"/>
    <col min="13841" max="13841" width="9.375" style="285"/>
    <col min="13842" max="13842" width="9.875" style="285" customWidth="1"/>
    <col min="13843" max="13843" width="11.75" style="285" bestFit="1" customWidth="1"/>
    <col min="13844" max="14073" width="9.375" style="285"/>
    <col min="14074" max="14074" width="5" style="285" customWidth="1"/>
    <col min="14075" max="14075" width="17.875" style="285" bestFit="1" customWidth="1"/>
    <col min="14076" max="14076" width="9.875" style="285" customWidth="1"/>
    <col min="14077" max="14077" width="8.875" style="285" customWidth="1"/>
    <col min="14078" max="14078" width="7.375" style="285" bestFit="1" customWidth="1"/>
    <col min="14079" max="14079" width="10.125" style="285" bestFit="1" customWidth="1"/>
    <col min="14080" max="14080" width="9.375" style="285"/>
    <col min="14081" max="14081" width="10.125" style="285" bestFit="1" customWidth="1"/>
    <col min="14082" max="14082" width="10.75" style="285" customWidth="1"/>
    <col min="14083" max="14085" width="9.375" style="285"/>
    <col min="14086" max="14087" width="10.75" style="285" customWidth="1"/>
    <col min="14088" max="14092" width="9.375" style="285"/>
    <col min="14093" max="14093" width="1.625" style="285" bestFit="1" customWidth="1"/>
    <col min="14094" max="14094" width="9.375" style="285"/>
    <col min="14095" max="14095" width="8.875" style="285" customWidth="1"/>
    <col min="14096" max="14096" width="13.125" style="285" customWidth="1"/>
    <col min="14097" max="14097" width="9.375" style="285"/>
    <col min="14098" max="14098" width="9.875" style="285" customWidth="1"/>
    <col min="14099" max="14099" width="11.75" style="285" bestFit="1" customWidth="1"/>
    <col min="14100" max="14329" width="9.375" style="285"/>
    <col min="14330" max="14330" width="5" style="285" customWidth="1"/>
    <col min="14331" max="14331" width="17.875" style="285" bestFit="1" customWidth="1"/>
    <col min="14332" max="14332" width="9.875" style="285" customWidth="1"/>
    <col min="14333" max="14333" width="8.875" style="285" customWidth="1"/>
    <col min="14334" max="14334" width="7.375" style="285" bestFit="1" customWidth="1"/>
    <col min="14335" max="14335" width="10.125" style="285" bestFit="1" customWidth="1"/>
    <col min="14336" max="14336" width="9.375" style="285"/>
    <col min="14337" max="14337" width="10.125" style="285" bestFit="1" customWidth="1"/>
    <col min="14338" max="14338" width="10.75" style="285" customWidth="1"/>
    <col min="14339" max="14341" width="9.375" style="285"/>
    <col min="14342" max="14343" width="10.75" style="285" customWidth="1"/>
    <col min="14344" max="14348" width="9.375" style="285"/>
    <col min="14349" max="14349" width="1.625" style="285" bestFit="1" customWidth="1"/>
    <col min="14350" max="14350" width="9.375" style="285"/>
    <col min="14351" max="14351" width="8.875" style="285" customWidth="1"/>
    <col min="14352" max="14352" width="13.125" style="285" customWidth="1"/>
    <col min="14353" max="14353" width="9.375" style="285"/>
    <col min="14354" max="14354" width="9.875" style="285" customWidth="1"/>
    <col min="14355" max="14355" width="11.75" style="285" bestFit="1" customWidth="1"/>
    <col min="14356" max="14585" width="9.375" style="285"/>
    <col min="14586" max="14586" width="5" style="285" customWidth="1"/>
    <col min="14587" max="14587" width="17.875" style="285" bestFit="1" customWidth="1"/>
    <col min="14588" max="14588" width="9.875" style="285" customWidth="1"/>
    <col min="14589" max="14589" width="8.875" style="285" customWidth="1"/>
    <col min="14590" max="14590" width="7.375" style="285" bestFit="1" customWidth="1"/>
    <col min="14591" max="14591" width="10.125" style="285" bestFit="1" customWidth="1"/>
    <col min="14592" max="14592" width="9.375" style="285"/>
    <col min="14593" max="14593" width="10.125" style="285" bestFit="1" customWidth="1"/>
    <col min="14594" max="14594" width="10.75" style="285" customWidth="1"/>
    <col min="14595" max="14597" width="9.375" style="285"/>
    <col min="14598" max="14599" width="10.75" style="285" customWidth="1"/>
    <col min="14600" max="14604" width="9.375" style="285"/>
    <col min="14605" max="14605" width="1.625" style="285" bestFit="1" customWidth="1"/>
    <col min="14606" max="14606" width="9.375" style="285"/>
    <col min="14607" max="14607" width="8.875" style="285" customWidth="1"/>
    <col min="14608" max="14608" width="13.125" style="285" customWidth="1"/>
    <col min="14609" max="14609" width="9.375" style="285"/>
    <col min="14610" max="14610" width="9.875" style="285" customWidth="1"/>
    <col min="14611" max="14611" width="11.75" style="285" bestFit="1" customWidth="1"/>
    <col min="14612" max="14841" width="9.375" style="285"/>
    <col min="14842" max="14842" width="5" style="285" customWidth="1"/>
    <col min="14843" max="14843" width="17.875" style="285" bestFit="1" customWidth="1"/>
    <col min="14844" max="14844" width="9.875" style="285" customWidth="1"/>
    <col min="14845" max="14845" width="8.875" style="285" customWidth="1"/>
    <col min="14846" max="14846" width="7.375" style="285" bestFit="1" customWidth="1"/>
    <col min="14847" max="14847" width="10.125" style="285" bestFit="1" customWidth="1"/>
    <col min="14848" max="14848" width="9.375" style="285"/>
    <col min="14849" max="14849" width="10.125" style="285" bestFit="1" customWidth="1"/>
    <col min="14850" max="14850" width="10.75" style="285" customWidth="1"/>
    <col min="14851" max="14853" width="9.375" style="285"/>
    <col min="14854" max="14855" width="10.75" style="285" customWidth="1"/>
    <col min="14856" max="14860" width="9.375" style="285"/>
    <col min="14861" max="14861" width="1.625" style="285" bestFit="1" customWidth="1"/>
    <col min="14862" max="14862" width="9.375" style="285"/>
    <col min="14863" max="14863" width="8.875" style="285" customWidth="1"/>
    <col min="14864" max="14864" width="13.125" style="285" customWidth="1"/>
    <col min="14865" max="14865" width="9.375" style="285"/>
    <col min="14866" max="14866" width="9.875" style="285" customWidth="1"/>
    <col min="14867" max="14867" width="11.75" style="285" bestFit="1" customWidth="1"/>
    <col min="14868" max="15097" width="9.375" style="285"/>
    <col min="15098" max="15098" width="5" style="285" customWidth="1"/>
    <col min="15099" max="15099" width="17.875" style="285" bestFit="1" customWidth="1"/>
    <col min="15100" max="15100" width="9.875" style="285" customWidth="1"/>
    <col min="15101" max="15101" width="8.875" style="285" customWidth="1"/>
    <col min="15102" max="15102" width="7.375" style="285" bestFit="1" customWidth="1"/>
    <col min="15103" max="15103" width="10.125" style="285" bestFit="1" customWidth="1"/>
    <col min="15104" max="15104" width="9.375" style="285"/>
    <col min="15105" max="15105" width="10.125" style="285" bestFit="1" customWidth="1"/>
    <col min="15106" max="15106" width="10.75" style="285" customWidth="1"/>
    <col min="15107" max="15109" width="9.375" style="285"/>
    <col min="15110" max="15111" width="10.75" style="285" customWidth="1"/>
    <col min="15112" max="15116" width="9.375" style="285"/>
    <col min="15117" max="15117" width="1.625" style="285" bestFit="1" customWidth="1"/>
    <col min="15118" max="15118" width="9.375" style="285"/>
    <col min="15119" max="15119" width="8.875" style="285" customWidth="1"/>
    <col min="15120" max="15120" width="13.125" style="285" customWidth="1"/>
    <col min="15121" max="15121" width="9.375" style="285"/>
    <col min="15122" max="15122" width="9.875" style="285" customWidth="1"/>
    <col min="15123" max="15123" width="11.75" style="285" bestFit="1" customWidth="1"/>
    <col min="15124" max="15353" width="9.375" style="285"/>
    <col min="15354" max="15354" width="5" style="285" customWidth="1"/>
    <col min="15355" max="15355" width="17.875" style="285" bestFit="1" customWidth="1"/>
    <col min="15356" max="15356" width="9.875" style="285" customWidth="1"/>
    <col min="15357" max="15357" width="8.875" style="285" customWidth="1"/>
    <col min="15358" max="15358" width="7.375" style="285" bestFit="1" customWidth="1"/>
    <col min="15359" max="15359" width="10.125" style="285" bestFit="1" customWidth="1"/>
    <col min="15360" max="15360" width="9.375" style="285"/>
    <col min="15361" max="15361" width="10.125" style="285" bestFit="1" customWidth="1"/>
    <col min="15362" max="15362" width="10.75" style="285" customWidth="1"/>
    <col min="15363" max="15365" width="9.375" style="285"/>
    <col min="15366" max="15367" width="10.75" style="285" customWidth="1"/>
    <col min="15368" max="15372" width="9.375" style="285"/>
    <col min="15373" max="15373" width="1.625" style="285" bestFit="1" customWidth="1"/>
    <col min="15374" max="15374" width="9.375" style="285"/>
    <col min="15375" max="15375" width="8.875" style="285" customWidth="1"/>
    <col min="15376" max="15376" width="13.125" style="285" customWidth="1"/>
    <col min="15377" max="15377" width="9.375" style="285"/>
    <col min="15378" max="15378" width="9.875" style="285" customWidth="1"/>
    <col min="15379" max="15379" width="11.75" style="285" bestFit="1" customWidth="1"/>
    <col min="15380" max="15609" width="9.375" style="285"/>
    <col min="15610" max="15610" width="5" style="285" customWidth="1"/>
    <col min="15611" max="15611" width="17.875" style="285" bestFit="1" customWidth="1"/>
    <col min="15612" max="15612" width="9.875" style="285" customWidth="1"/>
    <col min="15613" max="15613" width="8.875" style="285" customWidth="1"/>
    <col min="15614" max="15614" width="7.375" style="285" bestFit="1" customWidth="1"/>
    <col min="15615" max="15615" width="10.125" style="285" bestFit="1" customWidth="1"/>
    <col min="15616" max="15616" width="9.375" style="285"/>
    <col min="15617" max="15617" width="10.125" style="285" bestFit="1" customWidth="1"/>
    <col min="15618" max="15618" width="10.75" style="285" customWidth="1"/>
    <col min="15619" max="15621" width="9.375" style="285"/>
    <col min="15622" max="15623" width="10.75" style="285" customWidth="1"/>
    <col min="15624" max="15628" width="9.375" style="285"/>
    <col min="15629" max="15629" width="1.625" style="285" bestFit="1" customWidth="1"/>
    <col min="15630" max="15630" width="9.375" style="285"/>
    <col min="15631" max="15631" width="8.875" style="285" customWidth="1"/>
    <col min="15632" max="15632" width="13.125" style="285" customWidth="1"/>
    <col min="15633" max="15633" width="9.375" style="285"/>
    <col min="15634" max="15634" width="9.875" style="285" customWidth="1"/>
    <col min="15635" max="15635" width="11.75" style="285" bestFit="1" customWidth="1"/>
    <col min="15636" max="15865" width="9.375" style="285"/>
    <col min="15866" max="15866" width="5" style="285" customWidth="1"/>
    <col min="15867" max="15867" width="17.875" style="285" bestFit="1" customWidth="1"/>
    <col min="15868" max="15868" width="9.875" style="285" customWidth="1"/>
    <col min="15869" max="15869" width="8.875" style="285" customWidth="1"/>
    <col min="15870" max="15870" width="7.375" style="285" bestFit="1" customWidth="1"/>
    <col min="15871" max="15871" width="10.125" style="285" bestFit="1" customWidth="1"/>
    <col min="15872" max="15872" width="9.375" style="285"/>
    <col min="15873" max="15873" width="10.125" style="285" bestFit="1" customWidth="1"/>
    <col min="15874" max="15874" width="10.75" style="285" customWidth="1"/>
    <col min="15875" max="15877" width="9.375" style="285"/>
    <col min="15878" max="15879" width="10.75" style="285" customWidth="1"/>
    <col min="15880" max="15884" width="9.375" style="285"/>
    <col min="15885" max="15885" width="1.625" style="285" bestFit="1" customWidth="1"/>
    <col min="15886" max="15886" width="9.375" style="285"/>
    <col min="15887" max="15887" width="8.875" style="285" customWidth="1"/>
    <col min="15888" max="15888" width="13.125" style="285" customWidth="1"/>
    <col min="15889" max="15889" width="9.375" style="285"/>
    <col min="15890" max="15890" width="9.875" style="285" customWidth="1"/>
    <col min="15891" max="15891" width="11.75" style="285" bestFit="1" customWidth="1"/>
    <col min="15892" max="16121" width="9.375" style="285"/>
    <col min="16122" max="16122" width="5" style="285" customWidth="1"/>
    <col min="16123" max="16123" width="17.875" style="285" bestFit="1" customWidth="1"/>
    <col min="16124" max="16124" width="9.875" style="285" customWidth="1"/>
    <col min="16125" max="16125" width="8.875" style="285" customWidth="1"/>
    <col min="16126" max="16126" width="7.375" style="285" bestFit="1" customWidth="1"/>
    <col min="16127" max="16127" width="10.125" style="285" bestFit="1" customWidth="1"/>
    <col min="16128" max="16128" width="9.375" style="285"/>
    <col min="16129" max="16129" width="10.125" style="285" bestFit="1" customWidth="1"/>
    <col min="16130" max="16130" width="10.75" style="285" customWidth="1"/>
    <col min="16131" max="16133" width="9.375" style="285"/>
    <col min="16134" max="16135" width="10.75" style="285" customWidth="1"/>
    <col min="16136" max="16140" width="9.375" style="285"/>
    <col min="16141" max="16141" width="1.625" style="285" bestFit="1" customWidth="1"/>
    <col min="16142" max="16142" width="9.375" style="285"/>
    <col min="16143" max="16143" width="8.875" style="285" customWidth="1"/>
    <col min="16144" max="16144" width="13.125" style="285" customWidth="1"/>
    <col min="16145" max="16145" width="9.375" style="285"/>
    <col min="16146" max="16146" width="9.875" style="285" customWidth="1"/>
    <col min="16147" max="16147" width="11.75" style="285" bestFit="1" customWidth="1"/>
    <col min="16148" max="16384" width="9.375" style="285"/>
  </cols>
  <sheetData>
    <row r="1" spans="1:22" s="54" customFormat="1" ht="21" x14ac:dyDescent="0.2">
      <c r="A1" s="274" t="s">
        <v>547</v>
      </c>
      <c r="B1" s="53"/>
      <c r="C1" s="53"/>
      <c r="D1" s="280"/>
      <c r="E1" s="280"/>
      <c r="F1" s="280"/>
      <c r="G1" s="280"/>
      <c r="H1" s="281"/>
      <c r="I1" s="281"/>
      <c r="J1" s="281"/>
      <c r="K1" s="281"/>
      <c r="L1" s="281"/>
      <c r="M1" s="281"/>
      <c r="O1" s="281"/>
      <c r="P1" s="282"/>
      <c r="Q1" s="77"/>
      <c r="R1" s="282"/>
      <c r="S1" s="282"/>
      <c r="T1" s="77"/>
      <c r="U1" s="77"/>
      <c r="V1" s="77"/>
    </row>
    <row r="2" spans="1:22" s="68" customFormat="1" ht="21" x14ac:dyDescent="0.35">
      <c r="A2" s="35" t="str">
        <f>Paramètres!B5</f>
        <v>Acomptes 2017</v>
      </c>
      <c r="P2" s="284"/>
      <c r="Q2" s="283"/>
      <c r="R2" s="284"/>
      <c r="S2" s="284"/>
      <c r="T2" s="283"/>
      <c r="U2" s="283"/>
      <c r="V2" s="283"/>
    </row>
    <row r="4" spans="1:22" s="297" customFormat="1" ht="135" x14ac:dyDescent="0.2">
      <c r="A4" s="455" t="s">
        <v>50</v>
      </c>
      <c r="B4" s="455" t="s">
        <v>119</v>
      </c>
      <c r="C4" s="455" t="s">
        <v>541</v>
      </c>
      <c r="D4" s="455" t="s">
        <v>338</v>
      </c>
      <c r="E4" s="455" t="s">
        <v>537</v>
      </c>
      <c r="F4" s="455" t="s">
        <v>542</v>
      </c>
      <c r="G4" s="455" t="s">
        <v>504</v>
      </c>
      <c r="H4" s="457" t="s">
        <v>375</v>
      </c>
      <c r="I4" s="301" t="s">
        <v>548</v>
      </c>
      <c r="J4" s="455" t="s">
        <v>551</v>
      </c>
      <c r="K4" s="455" t="s">
        <v>543</v>
      </c>
      <c r="L4" s="455" t="s">
        <v>544</v>
      </c>
      <c r="M4" s="455" t="s">
        <v>552</v>
      </c>
      <c r="N4" s="301" t="s">
        <v>545</v>
      </c>
      <c r="O4" s="455" t="s">
        <v>546</v>
      </c>
      <c r="P4" s="295"/>
      <c r="Q4" s="294"/>
      <c r="R4" s="295"/>
      <c r="S4" s="296"/>
      <c r="T4" s="294"/>
      <c r="U4" s="294"/>
      <c r="V4" s="294"/>
    </row>
    <row r="5" spans="1:22" s="297" customFormat="1" x14ac:dyDescent="0.2">
      <c r="A5" s="456"/>
      <c r="B5" s="456"/>
      <c r="C5" s="456"/>
      <c r="D5" s="456"/>
      <c r="E5" s="456"/>
      <c r="F5" s="456"/>
      <c r="G5" s="456"/>
      <c r="H5" s="458"/>
      <c r="I5" s="318">
        <f>Paramètres!B65</f>
        <v>2</v>
      </c>
      <c r="J5" s="456"/>
      <c r="K5" s="456"/>
      <c r="L5" s="456"/>
      <c r="M5" s="456"/>
      <c r="N5" s="379">
        <f>+N315/M315</f>
        <v>1.3424661499274715</v>
      </c>
      <c r="O5" s="456"/>
      <c r="P5" s="296"/>
      <c r="Q5" s="294"/>
      <c r="R5" s="296"/>
      <c r="S5" s="296"/>
      <c r="T5" s="294"/>
      <c r="U5" s="294"/>
      <c r="V5" s="294"/>
    </row>
    <row r="6" spans="1:22" x14ac:dyDescent="0.25">
      <c r="A6" s="298">
        <f>'A) Base RI'!A7</f>
        <v>5401</v>
      </c>
      <c r="B6" s="298" t="str">
        <f>'A) Base RI'!B7</f>
        <v>Aigle</v>
      </c>
      <c r="C6" s="315">
        <v>1</v>
      </c>
      <c r="D6" s="288">
        <f>'B) D RI'!AR7</f>
        <v>9757</v>
      </c>
      <c r="E6" s="289">
        <f>'B) D RI'!S7</f>
        <v>67.5</v>
      </c>
      <c r="F6" s="14">
        <f>'B) D RI'!R7</f>
        <v>17607067.619999997</v>
      </c>
      <c r="G6" s="14">
        <f>'B) D RI'!U7</f>
        <v>260845.44622222218</v>
      </c>
      <c r="H6" s="52">
        <f>'B) D RI'!T7</f>
        <v>15894558.369999999</v>
      </c>
      <c r="I6" s="69">
        <f>+H6/E6*$I$5</f>
        <v>470949.87762962963</v>
      </c>
      <c r="J6" s="116">
        <f t="shared" ref="J6:J37" si="0">+$I$315/$D$315*D6</f>
        <v>826004.53024562181</v>
      </c>
      <c r="K6" s="69">
        <f t="shared" ref="K6:K69" si="1">IF(C6=1,0,IF(J6&gt;I6,I6,J6))</f>
        <v>0</v>
      </c>
      <c r="L6" s="69">
        <f>+J6-K6</f>
        <v>826004.53024562181</v>
      </c>
      <c r="M6" s="69">
        <f>'D) Ecrêtage'!M5</f>
        <v>260845.44622222218</v>
      </c>
      <c r="N6" s="69">
        <f t="shared" ref="N6:N37" si="2">+$N$5*M6</f>
        <v>350176.18191605993</v>
      </c>
      <c r="O6" s="132">
        <f>+N6+K6</f>
        <v>350176.18191605993</v>
      </c>
      <c r="P6" s="290"/>
      <c r="Q6" s="291"/>
      <c r="T6" s="292"/>
    </row>
    <row r="7" spans="1:22" x14ac:dyDescent="0.25">
      <c r="A7" s="299">
        <f>'A) Base RI'!A8</f>
        <v>5402</v>
      </c>
      <c r="B7" s="299" t="str">
        <f>'A) Base RI'!B8</f>
        <v>Bex</v>
      </c>
      <c r="C7" s="316">
        <v>1</v>
      </c>
      <c r="D7" s="288">
        <f>'B) D RI'!AR8</f>
        <v>7236</v>
      </c>
      <c r="E7" s="289">
        <f>'B) D RI'!S8</f>
        <v>71</v>
      </c>
      <c r="F7" s="14">
        <f>'B) D RI'!R8</f>
        <v>12488254.07</v>
      </c>
      <c r="G7" s="14">
        <f>'B) D RI'!U8</f>
        <v>175890.90239436619</v>
      </c>
      <c r="H7" s="52">
        <f>'B) D RI'!T8</f>
        <v>11527624.550000001</v>
      </c>
      <c r="I7" s="14">
        <f t="shared" ref="I7:I70" si="3">+H7/E7*$I$5</f>
        <v>324721.8183098592</v>
      </c>
      <c r="J7" s="41">
        <f t="shared" si="0"/>
        <v>612582.63614403189</v>
      </c>
      <c r="K7" s="14">
        <f t="shared" si="1"/>
        <v>0</v>
      </c>
      <c r="L7" s="14">
        <f t="shared" ref="L7:L70" si="4">+J7-K7</f>
        <v>612582.63614403189</v>
      </c>
      <c r="M7" s="14">
        <f>'D) Ecrêtage'!M6</f>
        <v>175890.90239436619</v>
      </c>
      <c r="N7" s="14">
        <f t="shared" si="2"/>
        <v>236127.58254463345</v>
      </c>
      <c r="O7" s="74">
        <f t="shared" ref="O7:O69" si="5">+N7+K7</f>
        <v>236127.58254463345</v>
      </c>
      <c r="P7" s="290"/>
      <c r="Q7" s="291"/>
      <c r="T7" s="292"/>
    </row>
    <row r="8" spans="1:22" x14ac:dyDescent="0.25">
      <c r="A8" s="299">
        <f>'A) Base RI'!A9</f>
        <v>5403</v>
      </c>
      <c r="B8" s="299" t="str">
        <f>'A) Base RI'!B9</f>
        <v>Chessel</v>
      </c>
      <c r="C8" s="316">
        <v>0</v>
      </c>
      <c r="D8" s="288">
        <f>'B) D RI'!AR9</f>
        <v>396</v>
      </c>
      <c r="E8" s="289">
        <f>'B) D RI'!S9</f>
        <v>76</v>
      </c>
      <c r="F8" s="14">
        <f>'B) D RI'!R9</f>
        <v>629627.96000000008</v>
      </c>
      <c r="G8" s="14">
        <f>'B) D RI'!U9</f>
        <v>8284.5784210526326</v>
      </c>
      <c r="H8" s="52">
        <f>'B) D RI'!T9</f>
        <v>575764.91</v>
      </c>
      <c r="I8" s="14">
        <f t="shared" si="3"/>
        <v>15151.708157894738</v>
      </c>
      <c r="J8" s="41">
        <f t="shared" si="0"/>
        <v>33524.42287355398</v>
      </c>
      <c r="K8" s="14">
        <f t="shared" si="1"/>
        <v>15151.708157894738</v>
      </c>
      <c r="L8" s="14">
        <f t="shared" si="4"/>
        <v>18372.71471565924</v>
      </c>
      <c r="M8" s="14">
        <f>'D) Ecrêtage'!M7</f>
        <v>8284.5784210526326</v>
      </c>
      <c r="N8" s="14">
        <f t="shared" si="2"/>
        <v>11121.766096682739</v>
      </c>
      <c r="O8" s="74">
        <f t="shared" si="5"/>
        <v>26273.474254577479</v>
      </c>
      <c r="P8" s="290"/>
      <c r="Q8" s="291"/>
      <c r="T8" s="292"/>
    </row>
    <row r="9" spans="1:22" x14ac:dyDescent="0.25">
      <c r="A9" s="299">
        <f>'A) Base RI'!A10</f>
        <v>5404</v>
      </c>
      <c r="B9" s="299" t="str">
        <f>'A) Base RI'!B10</f>
        <v>Corbeyrier</v>
      </c>
      <c r="C9" s="316">
        <v>0</v>
      </c>
      <c r="D9" s="288">
        <f>'B) D RI'!AR10</f>
        <v>433</v>
      </c>
      <c r="E9" s="289">
        <f>'B) D RI'!S10</f>
        <v>70</v>
      </c>
      <c r="F9" s="14">
        <f>'B) D RI'!R10</f>
        <v>697633.2</v>
      </c>
      <c r="G9" s="14">
        <f>'B) D RI'!U10</f>
        <v>9966.1885714285709</v>
      </c>
      <c r="H9" s="52">
        <f>'B) D RI'!T10</f>
        <v>626347.29999999993</v>
      </c>
      <c r="I9" s="14">
        <f t="shared" si="3"/>
        <v>17895.63714285714</v>
      </c>
      <c r="J9" s="41">
        <f t="shared" si="0"/>
        <v>36656.755313759786</v>
      </c>
      <c r="K9" s="14">
        <f t="shared" si="1"/>
        <v>17895.63714285714</v>
      </c>
      <c r="L9" s="14">
        <f t="shared" si="4"/>
        <v>18761.118170902646</v>
      </c>
      <c r="M9" s="14">
        <f>'D) Ecrêtage'!M8</f>
        <v>9966.1885714285709</v>
      </c>
      <c r="N9" s="14">
        <f t="shared" si="2"/>
        <v>13379.27080093688</v>
      </c>
      <c r="O9" s="74">
        <f t="shared" si="5"/>
        <v>31274.90794379402</v>
      </c>
      <c r="P9" s="290"/>
      <c r="Q9" s="291"/>
      <c r="T9" s="292"/>
    </row>
    <row r="10" spans="1:22" x14ac:dyDescent="0.25">
      <c r="A10" s="299">
        <f>'A) Base RI'!A11</f>
        <v>5405</v>
      </c>
      <c r="B10" s="299" t="str">
        <f>'A) Base RI'!B11</f>
        <v>Gryon</v>
      </c>
      <c r="C10" s="316">
        <v>0</v>
      </c>
      <c r="D10" s="288">
        <f>'B) D RI'!AR11</f>
        <v>1265</v>
      </c>
      <c r="E10" s="289">
        <f>'B) D RI'!S11</f>
        <v>75</v>
      </c>
      <c r="F10" s="14">
        <f>'B) D RI'!R11</f>
        <v>5414185.5399999991</v>
      </c>
      <c r="G10" s="14">
        <f>'B) D RI'!U11</f>
        <v>72189.140533333324</v>
      </c>
      <c r="H10" s="52">
        <f>'B) D RI'!T11</f>
        <v>4922053.5399999991</v>
      </c>
      <c r="I10" s="14">
        <f t="shared" si="3"/>
        <v>131254.76106666663</v>
      </c>
      <c r="J10" s="41">
        <f t="shared" si="0"/>
        <v>107091.90640163078</v>
      </c>
      <c r="K10" s="14">
        <f t="shared" si="1"/>
        <v>107091.90640163078</v>
      </c>
      <c r="L10" s="14">
        <f t="shared" si="4"/>
        <v>0</v>
      </c>
      <c r="M10" s="14">
        <f>'D) Ecrêtage'!M9</f>
        <v>71437.220657546874</v>
      </c>
      <c r="N10" s="14">
        <f t="shared" si="2"/>
        <v>95902.050577656191</v>
      </c>
      <c r="O10" s="74">
        <f t="shared" si="5"/>
        <v>202993.95697928697</v>
      </c>
      <c r="P10" s="290"/>
      <c r="Q10" s="291"/>
      <c r="T10" s="292"/>
    </row>
    <row r="11" spans="1:22" x14ac:dyDescent="0.25">
      <c r="A11" s="299">
        <f>'A) Base RI'!A12</f>
        <v>5406</v>
      </c>
      <c r="B11" s="299" t="str">
        <f>'A) Base RI'!B12</f>
        <v>Lavey-Morcles</v>
      </c>
      <c r="C11" s="316">
        <v>0</v>
      </c>
      <c r="D11" s="288">
        <f>'B) D RI'!AR12</f>
        <v>907</v>
      </c>
      <c r="E11" s="289">
        <f>'B) D RI'!S12</f>
        <v>71</v>
      </c>
      <c r="F11" s="14">
        <f>'B) D RI'!R12</f>
        <v>1408032.8684615383</v>
      </c>
      <c r="G11" s="14">
        <f>'B) D RI'!U12</f>
        <v>19831.448851570964</v>
      </c>
      <c r="H11" s="52">
        <f>'B) D RI'!T12</f>
        <v>1271929.3299999998</v>
      </c>
      <c r="I11" s="14">
        <f t="shared" si="3"/>
        <v>35828.995211267604</v>
      </c>
      <c r="J11" s="41">
        <f t="shared" si="0"/>
        <v>76784.47360180167</v>
      </c>
      <c r="K11" s="14">
        <f t="shared" si="1"/>
        <v>35828.995211267604</v>
      </c>
      <c r="L11" s="14">
        <f t="shared" si="4"/>
        <v>40955.478390534066</v>
      </c>
      <c r="M11" s="14">
        <f>'D) Ecrêtage'!M10</f>
        <v>19831.448851570964</v>
      </c>
      <c r="N11" s="14">
        <f t="shared" si="2"/>
        <v>26623.048787252046</v>
      </c>
      <c r="O11" s="74">
        <f t="shared" si="5"/>
        <v>62452.04399851965</v>
      </c>
      <c r="P11" s="290"/>
      <c r="Q11" s="291"/>
      <c r="T11" s="292"/>
    </row>
    <row r="12" spans="1:22" x14ac:dyDescent="0.25">
      <c r="A12" s="299">
        <f>'A) Base RI'!A13</f>
        <v>5407</v>
      </c>
      <c r="B12" s="299" t="str">
        <f>'A) Base RI'!B13</f>
        <v>Leysin</v>
      </c>
      <c r="C12" s="316">
        <v>0</v>
      </c>
      <c r="D12" s="288">
        <f>'B) D RI'!AR13</f>
        <v>4148</v>
      </c>
      <c r="E12" s="289">
        <f>'B) D RI'!S13</f>
        <v>78</v>
      </c>
      <c r="F12" s="14">
        <f>'B) D RI'!R13</f>
        <v>8018329.0899999999</v>
      </c>
      <c r="G12" s="14">
        <f>'B) D RI'!U13</f>
        <v>102799.09089743589</v>
      </c>
      <c r="H12" s="52">
        <f>'B) D RI'!T13</f>
        <v>7236363.3899999997</v>
      </c>
      <c r="I12" s="14">
        <f t="shared" si="3"/>
        <v>185547.77923076923</v>
      </c>
      <c r="J12" s="41">
        <f t="shared" si="0"/>
        <v>351159.86383712606</v>
      </c>
      <c r="K12" s="14">
        <f t="shared" si="1"/>
        <v>185547.77923076923</v>
      </c>
      <c r="L12" s="14">
        <f t="shared" si="4"/>
        <v>165612.08460635683</v>
      </c>
      <c r="M12" s="14">
        <f>'D) Ecrêtage'!M11</f>
        <v>102799.09089743589</v>
      </c>
      <c r="N12" s="14">
        <f t="shared" si="2"/>
        <v>138004.29977312495</v>
      </c>
      <c r="O12" s="74">
        <f t="shared" si="5"/>
        <v>323552.07900389418</v>
      </c>
      <c r="P12" s="290"/>
      <c r="Q12" s="291"/>
      <c r="T12" s="292"/>
    </row>
    <row r="13" spans="1:22" x14ac:dyDescent="0.25">
      <c r="A13" s="299">
        <f>'A) Base RI'!A14</f>
        <v>5408</v>
      </c>
      <c r="B13" s="299" t="str">
        <f>'A) Base RI'!B14</f>
        <v>Noville</v>
      </c>
      <c r="C13" s="316">
        <v>0</v>
      </c>
      <c r="D13" s="288">
        <f>'B) D RI'!AR14</f>
        <v>1029</v>
      </c>
      <c r="E13" s="289">
        <f>'B) D RI'!S14</f>
        <v>78.5</v>
      </c>
      <c r="F13" s="14">
        <f>'B) D RI'!R14</f>
        <v>2727500.4966666671</v>
      </c>
      <c r="G13" s="14">
        <f>'B) D RI'!U14</f>
        <v>34745.229256900217</v>
      </c>
      <c r="H13" s="52">
        <f>'B) D RI'!T14</f>
        <v>2580815.6300000004</v>
      </c>
      <c r="I13" s="14">
        <f t="shared" si="3"/>
        <v>65753.264458598729</v>
      </c>
      <c r="J13" s="41">
        <f t="shared" si="0"/>
        <v>87112.704891128917</v>
      </c>
      <c r="K13" s="14">
        <f t="shared" si="1"/>
        <v>65753.264458598729</v>
      </c>
      <c r="L13" s="14">
        <f t="shared" si="4"/>
        <v>21359.440432530188</v>
      </c>
      <c r="M13" s="14">
        <f>'D) Ecrêtage'!M12</f>
        <v>34745.229256900217</v>
      </c>
      <c r="N13" s="14">
        <f t="shared" si="2"/>
        <v>46644.294148858178</v>
      </c>
      <c r="O13" s="74">
        <f t="shared" si="5"/>
        <v>112397.55860745691</v>
      </c>
      <c r="P13" s="290"/>
      <c r="Q13" s="291"/>
      <c r="T13" s="292"/>
    </row>
    <row r="14" spans="1:22" x14ac:dyDescent="0.25">
      <c r="A14" s="299">
        <f>'A) Base RI'!A15</f>
        <v>5409</v>
      </c>
      <c r="B14" s="299" t="str">
        <f>'A) Base RI'!B15</f>
        <v>Ollon</v>
      </c>
      <c r="C14" s="316">
        <v>1</v>
      </c>
      <c r="D14" s="288">
        <f>'B) D RI'!AR15</f>
        <v>7419</v>
      </c>
      <c r="E14" s="289">
        <f>'B) D RI'!S15</f>
        <v>68</v>
      </c>
      <c r="F14" s="14">
        <f>'B) D RI'!R15</f>
        <v>33004827.135769233</v>
      </c>
      <c r="G14" s="14">
        <f>'B) D RI'!U15</f>
        <v>485365.10493778286</v>
      </c>
      <c r="H14" s="52">
        <f>'B) D RI'!T15</f>
        <v>30126306.405000001</v>
      </c>
      <c r="I14" s="14">
        <f t="shared" si="3"/>
        <v>886067.83544117655</v>
      </c>
      <c r="J14" s="41">
        <f t="shared" si="0"/>
        <v>628074.98307802272</v>
      </c>
      <c r="K14" s="14">
        <f t="shared" si="1"/>
        <v>0</v>
      </c>
      <c r="L14" s="14">
        <f t="shared" si="4"/>
        <v>628074.98307802272</v>
      </c>
      <c r="M14" s="14">
        <f>'D) Ecrêtage'!M13</f>
        <v>466449.88785891997</v>
      </c>
      <c r="N14" s="14">
        <f t="shared" si="2"/>
        <v>626193.1850880651</v>
      </c>
      <c r="O14" s="74">
        <f t="shared" si="5"/>
        <v>626193.1850880651</v>
      </c>
      <c r="P14" s="290"/>
      <c r="Q14" s="291"/>
      <c r="T14" s="292"/>
    </row>
    <row r="15" spans="1:22" x14ac:dyDescent="0.25">
      <c r="A15" s="299">
        <f>'A) Base RI'!A16</f>
        <v>5410</v>
      </c>
      <c r="B15" s="299" t="str">
        <f>'A) Base RI'!B16</f>
        <v>Ormont-Dessous</v>
      </c>
      <c r="C15" s="316">
        <v>0</v>
      </c>
      <c r="D15" s="288">
        <f>'B) D RI'!AR16</f>
        <v>1119</v>
      </c>
      <c r="E15" s="289">
        <f>'B) D RI'!S16</f>
        <v>78.5</v>
      </c>
      <c r="F15" s="14">
        <f>'B) D RI'!R16</f>
        <v>2765884.5566666662</v>
      </c>
      <c r="G15" s="14">
        <f>'B) D RI'!U16</f>
        <v>35234.198174097655</v>
      </c>
      <c r="H15" s="52">
        <f>'B) D RI'!T16</f>
        <v>2425040.7899999996</v>
      </c>
      <c r="I15" s="14">
        <f t="shared" si="3"/>
        <v>61784.478726114641</v>
      </c>
      <c r="J15" s="41">
        <f t="shared" si="0"/>
        <v>94731.891907845726</v>
      </c>
      <c r="K15" s="14">
        <f t="shared" si="1"/>
        <v>61784.478726114641</v>
      </c>
      <c r="L15" s="14">
        <f t="shared" si="4"/>
        <v>32947.413181731084</v>
      </c>
      <c r="M15" s="14">
        <f>'D) Ecrêtage'!M14</f>
        <v>35234.198174097655</v>
      </c>
      <c r="N15" s="14">
        <f t="shared" si="2"/>
        <v>47300.718368562426</v>
      </c>
      <c r="O15" s="74">
        <f t="shared" si="5"/>
        <v>109085.19709467707</v>
      </c>
      <c r="P15" s="290"/>
      <c r="Q15" s="291"/>
      <c r="T15" s="292"/>
    </row>
    <row r="16" spans="1:22" s="286" customFormat="1" x14ac:dyDescent="0.25">
      <c r="A16" s="299">
        <f>'A) Base RI'!A17</f>
        <v>5411</v>
      </c>
      <c r="B16" s="299" t="str">
        <f>'A) Base RI'!B17</f>
        <v>Ormont-Dessus</v>
      </c>
      <c r="C16" s="316">
        <v>0</v>
      </c>
      <c r="D16" s="288">
        <f>'B) D RI'!AR17</f>
        <v>1481</v>
      </c>
      <c r="E16" s="289">
        <f>'B) D RI'!S17</f>
        <v>76</v>
      </c>
      <c r="F16" s="14">
        <f>'B) D RI'!R17</f>
        <v>5456056.2533333339</v>
      </c>
      <c r="G16" s="14">
        <f>'B) D RI'!U17</f>
        <v>71790.213859649128</v>
      </c>
      <c r="H16" s="52">
        <f>'B) D RI'!T17</f>
        <v>4690907.5200000005</v>
      </c>
      <c r="I16" s="14">
        <f t="shared" si="3"/>
        <v>123444.93473684211</v>
      </c>
      <c r="J16" s="41">
        <f t="shared" si="0"/>
        <v>125377.95524175113</v>
      </c>
      <c r="K16" s="14">
        <f t="shared" si="1"/>
        <v>123444.93473684211</v>
      </c>
      <c r="L16" s="14">
        <f t="shared" si="4"/>
        <v>1933.0205049090146</v>
      </c>
      <c r="M16" s="14">
        <f>'D) Ecrêtage'!M15</f>
        <v>71790.213859649128</v>
      </c>
      <c r="N16" s="14">
        <f t="shared" si="2"/>
        <v>96375.932002632966</v>
      </c>
      <c r="O16" s="74">
        <f t="shared" si="5"/>
        <v>219820.86673947508</v>
      </c>
      <c r="P16" s="290"/>
      <c r="Q16" s="291"/>
      <c r="R16" s="287"/>
      <c r="S16" s="287"/>
      <c r="T16" s="292"/>
    </row>
    <row r="17" spans="1:20" s="286" customFormat="1" x14ac:dyDescent="0.25">
      <c r="A17" s="299">
        <f>'A) Base RI'!A18</f>
        <v>5412</v>
      </c>
      <c r="B17" s="299" t="str">
        <f>'A) Base RI'!B18</f>
        <v>Rennaz</v>
      </c>
      <c r="C17" s="316">
        <v>0</v>
      </c>
      <c r="D17" s="288">
        <f>'B) D RI'!AR18</f>
        <v>843</v>
      </c>
      <c r="E17" s="289">
        <f>'B) D RI'!S18</f>
        <v>67.5</v>
      </c>
      <c r="F17" s="14">
        <f>'B) D RI'!R18</f>
        <v>1788867.4299999997</v>
      </c>
      <c r="G17" s="14">
        <f>'B) D RI'!U18</f>
        <v>26501.739703703701</v>
      </c>
      <c r="H17" s="52">
        <f>'B) D RI'!T18</f>
        <v>1594688.6299999997</v>
      </c>
      <c r="I17" s="14">
        <f t="shared" si="3"/>
        <v>47250.033481481471</v>
      </c>
      <c r="J17" s="41">
        <f t="shared" si="0"/>
        <v>71366.385056580824</v>
      </c>
      <c r="K17" s="14">
        <f t="shared" si="1"/>
        <v>47250.033481481471</v>
      </c>
      <c r="L17" s="14">
        <f t="shared" si="4"/>
        <v>24116.351575099354</v>
      </c>
      <c r="M17" s="14">
        <f>'D) Ecrêtage'!M16</f>
        <v>26501.739703703701</v>
      </c>
      <c r="N17" s="14">
        <f t="shared" si="2"/>
        <v>35577.688466411113</v>
      </c>
      <c r="O17" s="74">
        <f t="shared" si="5"/>
        <v>82827.721947892584</v>
      </c>
      <c r="P17" s="290"/>
      <c r="Q17" s="291"/>
      <c r="R17" s="287"/>
      <c r="S17" s="287"/>
      <c r="T17" s="292"/>
    </row>
    <row r="18" spans="1:20" s="286" customFormat="1" x14ac:dyDescent="0.25">
      <c r="A18" s="299">
        <f>'A) Base RI'!A19</f>
        <v>5413</v>
      </c>
      <c r="B18" s="299" t="str">
        <f>'A) Base RI'!B19</f>
        <v>Roche</v>
      </c>
      <c r="C18" s="316">
        <v>0</v>
      </c>
      <c r="D18" s="288">
        <f>'B) D RI'!AR19</f>
        <v>1507</v>
      </c>
      <c r="E18" s="289">
        <f>'B) D RI'!S19</f>
        <v>68</v>
      </c>
      <c r="F18" s="14">
        <f>'B) D RI'!R19</f>
        <v>2370563.0699999998</v>
      </c>
      <c r="G18" s="14">
        <f>'B) D RI'!U19</f>
        <v>34861.221617647054</v>
      </c>
      <c r="H18" s="52">
        <f>'B) D RI'!T19</f>
        <v>2142525.02</v>
      </c>
      <c r="I18" s="14">
        <f t="shared" si="3"/>
        <v>63015.44176470588</v>
      </c>
      <c r="J18" s="41">
        <f t="shared" si="0"/>
        <v>127579.05371324711</v>
      </c>
      <c r="K18" s="14">
        <f t="shared" si="1"/>
        <v>63015.44176470588</v>
      </c>
      <c r="L18" s="14">
        <f t="shared" si="4"/>
        <v>64563.611948541227</v>
      </c>
      <c r="M18" s="14">
        <f>'D) Ecrêtage'!M17</f>
        <v>34861.221617647054</v>
      </c>
      <c r="N18" s="14">
        <f t="shared" si="2"/>
        <v>46800.009966810983</v>
      </c>
      <c r="O18" s="74">
        <f t="shared" si="5"/>
        <v>109815.45173151686</v>
      </c>
      <c r="P18" s="290"/>
      <c r="Q18" s="291"/>
      <c r="R18" s="287"/>
      <c r="S18" s="287"/>
      <c r="T18" s="292"/>
    </row>
    <row r="19" spans="1:20" s="286" customFormat="1" x14ac:dyDescent="0.25">
      <c r="A19" s="299">
        <f>'A) Base RI'!A20</f>
        <v>5414</v>
      </c>
      <c r="B19" s="299" t="str">
        <f>'A) Base RI'!B20</f>
        <v>Villeneuve</v>
      </c>
      <c r="C19" s="316">
        <v>0</v>
      </c>
      <c r="D19" s="288">
        <f>'B) D RI'!AR20</f>
        <v>5428</v>
      </c>
      <c r="E19" s="289">
        <f>'B) D RI'!S20</f>
        <v>69</v>
      </c>
      <c r="F19" s="14">
        <f>'B) D RI'!R20</f>
        <v>11592643.119999999</v>
      </c>
      <c r="G19" s="14">
        <f>'B) D RI'!U20</f>
        <v>168009.32057971013</v>
      </c>
      <c r="H19" s="52">
        <f>'B) D RI'!T20</f>
        <v>10553258.619999999</v>
      </c>
      <c r="I19" s="14">
        <f t="shared" si="3"/>
        <v>305891.55420289852</v>
      </c>
      <c r="J19" s="41">
        <f t="shared" si="0"/>
        <v>459521.63474154298</v>
      </c>
      <c r="K19" s="14">
        <f t="shared" si="1"/>
        <v>305891.55420289852</v>
      </c>
      <c r="L19" s="14">
        <f t="shared" si="4"/>
        <v>153630.08053864446</v>
      </c>
      <c r="M19" s="14">
        <f>'D) Ecrêtage'!M18</f>
        <v>168009.32057971013</v>
      </c>
      <c r="N19" s="14">
        <f t="shared" si="2"/>
        <v>225546.82575057374</v>
      </c>
      <c r="O19" s="74">
        <f t="shared" si="5"/>
        <v>531438.37995347229</v>
      </c>
      <c r="P19" s="290"/>
      <c r="Q19" s="291"/>
      <c r="R19" s="287"/>
      <c r="S19" s="287"/>
      <c r="T19" s="292"/>
    </row>
    <row r="20" spans="1:20" s="286" customFormat="1" x14ac:dyDescent="0.25">
      <c r="A20" s="299">
        <f>'A) Base RI'!A21</f>
        <v>5415</v>
      </c>
      <c r="B20" s="299" t="str">
        <f>'A) Base RI'!B21</f>
        <v>Yvorne</v>
      </c>
      <c r="C20" s="316">
        <v>0</v>
      </c>
      <c r="D20" s="288">
        <f>'B) D RI'!AR21</f>
        <v>1032</v>
      </c>
      <c r="E20" s="289">
        <f>'B) D RI'!S21</f>
        <v>68.5</v>
      </c>
      <c r="F20" s="14">
        <f>'B) D RI'!R21</f>
        <v>2949334.1999999997</v>
      </c>
      <c r="G20" s="14">
        <f>'B) D RI'!U21</f>
        <v>43055.973722627736</v>
      </c>
      <c r="H20" s="52">
        <f>'B) D RI'!T21</f>
        <v>2734012.6999999997</v>
      </c>
      <c r="I20" s="14">
        <f t="shared" si="3"/>
        <v>79825.18832116788</v>
      </c>
      <c r="J20" s="41">
        <f t="shared" si="0"/>
        <v>87366.677791686147</v>
      </c>
      <c r="K20" s="14">
        <f t="shared" si="1"/>
        <v>79825.18832116788</v>
      </c>
      <c r="L20" s="14">
        <f t="shared" si="4"/>
        <v>7541.4894705182669</v>
      </c>
      <c r="M20" s="14">
        <f>'D) Ecrêtage'!M19</f>
        <v>43055.973722627736</v>
      </c>
      <c r="N20" s="14">
        <f t="shared" si="2"/>
        <v>57801.187274794436</v>
      </c>
      <c r="O20" s="74">
        <f t="shared" si="5"/>
        <v>137626.37559596231</v>
      </c>
      <c r="P20" s="290"/>
      <c r="Q20" s="291"/>
      <c r="R20" s="287"/>
      <c r="S20" s="287"/>
      <c r="T20" s="292"/>
    </row>
    <row r="21" spans="1:20" s="286" customFormat="1" x14ac:dyDescent="0.25">
      <c r="A21" s="299">
        <f>'A) Base RI'!A22</f>
        <v>5421</v>
      </c>
      <c r="B21" s="299" t="str">
        <f>'A) Base RI'!B22</f>
        <v>Apples</v>
      </c>
      <c r="C21" s="316">
        <v>0</v>
      </c>
      <c r="D21" s="288">
        <f>'B) D RI'!AR22</f>
        <v>1363</v>
      </c>
      <c r="E21" s="289">
        <f>'B) D RI'!S22</f>
        <v>71</v>
      </c>
      <c r="F21" s="14">
        <f>'B) D RI'!R22</f>
        <v>4074810.09</v>
      </c>
      <c r="G21" s="14">
        <f>'B) D RI'!U22</f>
        <v>57391.691408450701</v>
      </c>
      <c r="H21" s="52">
        <f>'B) D RI'!T22</f>
        <v>3809265.54</v>
      </c>
      <c r="I21" s="14">
        <f t="shared" si="3"/>
        <v>107303.25464788733</v>
      </c>
      <c r="J21" s="41">
        <f t="shared" si="0"/>
        <v>115388.3544865002</v>
      </c>
      <c r="K21" s="14">
        <f t="shared" si="1"/>
        <v>107303.25464788733</v>
      </c>
      <c r="L21" s="14">
        <f t="shared" si="4"/>
        <v>8085.0998386128776</v>
      </c>
      <c r="M21" s="14">
        <f>'D) Ecrêtage'!M20</f>
        <v>57391.691408450701</v>
      </c>
      <c r="N21" s="14">
        <f t="shared" si="2"/>
        <v>77046.40300292836</v>
      </c>
      <c r="O21" s="74">
        <f t="shared" si="5"/>
        <v>184349.65765081567</v>
      </c>
      <c r="P21" s="290"/>
      <c r="Q21" s="291"/>
      <c r="R21" s="287"/>
      <c r="S21" s="287"/>
      <c r="T21" s="292"/>
    </row>
    <row r="22" spans="1:20" s="286" customFormat="1" x14ac:dyDescent="0.25">
      <c r="A22" s="299">
        <f>'A) Base RI'!A23</f>
        <v>5422</v>
      </c>
      <c r="B22" s="299" t="str">
        <f>'A) Base RI'!B23</f>
        <v>Aubonne</v>
      </c>
      <c r="C22" s="316">
        <v>0</v>
      </c>
      <c r="D22" s="288">
        <f>'B) D RI'!AR23</f>
        <v>3227</v>
      </c>
      <c r="E22" s="289">
        <f>'B) D RI'!S23</f>
        <v>68</v>
      </c>
      <c r="F22" s="14">
        <f>'B) D RI'!R23</f>
        <v>15745461.419999998</v>
      </c>
      <c r="G22" s="14">
        <f>'B) D RI'!U23</f>
        <v>231550.9032352941</v>
      </c>
      <c r="H22" s="52">
        <f>'B) D RI'!T23</f>
        <v>14769041.089999998</v>
      </c>
      <c r="I22" s="14">
        <f t="shared" si="3"/>
        <v>434383.5614705882</v>
      </c>
      <c r="J22" s="41">
        <f t="shared" si="0"/>
        <v>273190.18336605735</v>
      </c>
      <c r="K22" s="14">
        <f t="shared" si="1"/>
        <v>273190.18336605735</v>
      </c>
      <c r="L22" s="14">
        <f t="shared" si="4"/>
        <v>0</v>
      </c>
      <c r="M22" s="14">
        <f>'D) Ecrêtage'!M21</f>
        <v>217787.45958715957</v>
      </c>
      <c r="N22" s="14">
        <f t="shared" si="2"/>
        <v>292372.29237445892</v>
      </c>
      <c r="O22" s="74">
        <f t="shared" si="5"/>
        <v>565562.47574051633</v>
      </c>
      <c r="P22" s="290"/>
      <c r="Q22" s="291"/>
      <c r="R22" s="287"/>
      <c r="S22" s="287"/>
      <c r="T22" s="292"/>
    </row>
    <row r="23" spans="1:20" s="286" customFormat="1" x14ac:dyDescent="0.25">
      <c r="A23" s="299">
        <f>'A) Base RI'!A24</f>
        <v>5423</v>
      </c>
      <c r="B23" s="299" t="str">
        <f>'A) Base RI'!B24</f>
        <v>Ballens</v>
      </c>
      <c r="C23" s="316">
        <v>0</v>
      </c>
      <c r="D23" s="288">
        <f>'B) D RI'!AR24</f>
        <v>509</v>
      </c>
      <c r="E23" s="289">
        <f>'B) D RI'!S24</f>
        <v>69</v>
      </c>
      <c r="F23" s="14">
        <f>'B) D RI'!R24</f>
        <v>1289569.1599999997</v>
      </c>
      <c r="G23" s="14">
        <f>'B) D RI'!U24</f>
        <v>18689.408115942024</v>
      </c>
      <c r="H23" s="52">
        <f>'B) D RI'!T24</f>
        <v>1213845.4599999997</v>
      </c>
      <c r="I23" s="14">
        <f t="shared" si="3"/>
        <v>35183.926376811585</v>
      </c>
      <c r="J23" s="41">
        <f t="shared" si="0"/>
        <v>43090.735461209537</v>
      </c>
      <c r="K23" s="14">
        <f t="shared" si="1"/>
        <v>35183.926376811585</v>
      </c>
      <c r="L23" s="14">
        <f t="shared" si="4"/>
        <v>7906.8090843979517</v>
      </c>
      <c r="M23" s="14">
        <f>'D) Ecrêtage'!M22</f>
        <v>18689.408115942024</v>
      </c>
      <c r="N23" s="14">
        <f t="shared" si="2"/>
        <v>25089.897757831928</v>
      </c>
      <c r="O23" s="74">
        <f t="shared" si="5"/>
        <v>60273.82413464351</v>
      </c>
      <c r="P23" s="290"/>
      <c r="Q23" s="291"/>
      <c r="R23" s="287"/>
      <c r="S23" s="287"/>
      <c r="T23" s="292"/>
    </row>
    <row r="24" spans="1:20" s="286" customFormat="1" x14ac:dyDescent="0.25">
      <c r="A24" s="299">
        <f>'A) Base RI'!A25</f>
        <v>5424</v>
      </c>
      <c r="B24" s="299" t="str">
        <f>'A) Base RI'!B25</f>
        <v>Berolle</v>
      </c>
      <c r="C24" s="316">
        <v>0</v>
      </c>
      <c r="D24" s="288">
        <f>'B) D RI'!AR25</f>
        <v>292</v>
      </c>
      <c r="E24" s="289">
        <f>'B) D RI'!S25</f>
        <v>77</v>
      </c>
      <c r="F24" s="14">
        <f>'B) D RI'!R25</f>
        <v>720729.72</v>
      </c>
      <c r="G24" s="14">
        <f>'B) D RI'!U25</f>
        <v>9360.1262337662338</v>
      </c>
      <c r="H24" s="52">
        <f>'B) D RI'!T25</f>
        <v>673194.91999999993</v>
      </c>
      <c r="I24" s="14">
        <f t="shared" si="3"/>
        <v>17485.582337662338</v>
      </c>
      <c r="J24" s="41">
        <f t="shared" si="0"/>
        <v>24720.028987570109</v>
      </c>
      <c r="K24" s="14">
        <f t="shared" si="1"/>
        <v>17485.582337662338</v>
      </c>
      <c r="L24" s="14">
        <f t="shared" si="4"/>
        <v>7234.4466499077716</v>
      </c>
      <c r="M24" s="14">
        <f>'D) Ecrêtage'!M23</f>
        <v>9360.1262337662338</v>
      </c>
      <c r="N24" s="14">
        <f t="shared" si="2"/>
        <v>12565.652627879279</v>
      </c>
      <c r="O24" s="74">
        <f t="shared" si="5"/>
        <v>30051.234965541618</v>
      </c>
      <c r="P24" s="290"/>
      <c r="Q24" s="291"/>
      <c r="R24" s="287"/>
      <c r="S24" s="287"/>
      <c r="T24" s="292"/>
    </row>
    <row r="25" spans="1:20" s="286" customFormat="1" x14ac:dyDescent="0.25">
      <c r="A25" s="299">
        <f>'A) Base RI'!A26</f>
        <v>5425</v>
      </c>
      <c r="B25" s="299" t="str">
        <f>'A) Base RI'!B26</f>
        <v>Bière</v>
      </c>
      <c r="C25" s="316">
        <v>0</v>
      </c>
      <c r="D25" s="288">
        <f>'B) D RI'!AR26</f>
        <v>1550</v>
      </c>
      <c r="E25" s="289">
        <f>'B) D RI'!S26</f>
        <v>68</v>
      </c>
      <c r="F25" s="14">
        <f>'B) D RI'!R26</f>
        <v>2773543.4699999997</v>
      </c>
      <c r="G25" s="14">
        <f>'B) D RI'!U26</f>
        <v>40787.403970588231</v>
      </c>
      <c r="H25" s="52">
        <f>'B) D RI'!T26</f>
        <v>2575884.5699999998</v>
      </c>
      <c r="I25" s="14">
        <f t="shared" si="3"/>
        <v>75761.310882352933</v>
      </c>
      <c r="J25" s="41">
        <f t="shared" si="0"/>
        <v>131219.33195456737</v>
      </c>
      <c r="K25" s="14">
        <f t="shared" si="1"/>
        <v>75761.310882352933</v>
      </c>
      <c r="L25" s="14">
        <f t="shared" si="4"/>
        <v>55458.02107221444</v>
      </c>
      <c r="M25" s="14">
        <f>'D) Ecrêtage'!M24</f>
        <v>40787.403970588231</v>
      </c>
      <c r="N25" s="14">
        <f t="shared" si="2"/>
        <v>54755.709173932046</v>
      </c>
      <c r="O25" s="74">
        <f t="shared" si="5"/>
        <v>130517.02005628498</v>
      </c>
      <c r="P25" s="290"/>
      <c r="Q25" s="291"/>
      <c r="R25" s="287"/>
      <c r="S25" s="287"/>
      <c r="T25" s="292"/>
    </row>
    <row r="26" spans="1:20" s="286" customFormat="1" x14ac:dyDescent="0.25">
      <c r="A26" s="299">
        <f>'A) Base RI'!A27</f>
        <v>5426</v>
      </c>
      <c r="B26" s="299" t="str">
        <f>'A) Base RI'!B27</f>
        <v>Bougy-Villars</v>
      </c>
      <c r="C26" s="316">
        <v>0</v>
      </c>
      <c r="D26" s="288">
        <f>'B) D RI'!AR27</f>
        <v>481</v>
      </c>
      <c r="E26" s="289">
        <f>'B) D RI'!S27</f>
        <v>62</v>
      </c>
      <c r="F26" s="14">
        <f>'B) D RI'!R27</f>
        <v>2611034.0399999996</v>
      </c>
      <c r="G26" s="14">
        <f>'B) D RI'!U27</f>
        <v>42113.452258064506</v>
      </c>
      <c r="H26" s="52">
        <f>'B) D RI'!T27</f>
        <v>2382327.8899999997</v>
      </c>
      <c r="I26" s="14">
        <f t="shared" si="3"/>
        <v>76849.286774193533</v>
      </c>
      <c r="J26" s="41">
        <f t="shared" si="0"/>
        <v>40720.32172267542</v>
      </c>
      <c r="K26" s="14">
        <f t="shared" si="1"/>
        <v>40720.32172267542</v>
      </c>
      <c r="L26" s="14">
        <f t="shared" si="4"/>
        <v>0</v>
      </c>
      <c r="M26" s="14">
        <f>'D) Ecrêtage'!M25</f>
        <v>37789.643747698407</v>
      </c>
      <c r="N26" s="14">
        <f t="shared" si="2"/>
        <v>50731.317549103427</v>
      </c>
      <c r="O26" s="74">
        <f t="shared" si="5"/>
        <v>91451.63927177884</v>
      </c>
      <c r="P26" s="290"/>
      <c r="Q26" s="291"/>
      <c r="R26" s="287"/>
      <c r="S26" s="287"/>
      <c r="T26" s="292"/>
    </row>
    <row r="27" spans="1:20" s="286" customFormat="1" x14ac:dyDescent="0.25">
      <c r="A27" s="299">
        <f>'A) Base RI'!A28</f>
        <v>5427</v>
      </c>
      <c r="B27" s="299" t="str">
        <f>'A) Base RI'!B28</f>
        <v>Féchy</v>
      </c>
      <c r="C27" s="316">
        <v>0</v>
      </c>
      <c r="D27" s="288">
        <f>'B) D RI'!AR28</f>
        <v>860</v>
      </c>
      <c r="E27" s="289">
        <f>'B) D RI'!S28</f>
        <v>64</v>
      </c>
      <c r="F27" s="14">
        <f>'B) D RI'!R28</f>
        <v>4118853.0476923073</v>
      </c>
      <c r="G27" s="14">
        <f>'B) D RI'!U28</f>
        <v>64357.078870192301</v>
      </c>
      <c r="H27" s="52">
        <f>'B) D RI'!T28</f>
        <v>3798488.7399999998</v>
      </c>
      <c r="I27" s="14">
        <f t="shared" si="3"/>
        <v>118702.77312499999</v>
      </c>
      <c r="J27" s="41">
        <f t="shared" si="0"/>
        <v>72805.564826405112</v>
      </c>
      <c r="K27" s="14">
        <f t="shared" si="1"/>
        <v>72805.564826405112</v>
      </c>
      <c r="L27" s="14">
        <f t="shared" si="4"/>
        <v>0</v>
      </c>
      <c r="M27" s="14">
        <f>'D) Ecrêtage'!M26</f>
        <v>59897.218306141724</v>
      </c>
      <c r="N27" s="14">
        <f t="shared" si="2"/>
        <v>80409.988050811342</v>
      </c>
      <c r="O27" s="74">
        <f t="shared" si="5"/>
        <v>153215.55287721645</v>
      </c>
      <c r="P27" s="290"/>
      <c r="Q27" s="291"/>
      <c r="R27" s="287"/>
      <c r="S27" s="287"/>
      <c r="T27" s="292"/>
    </row>
    <row r="28" spans="1:20" s="286" customFormat="1" x14ac:dyDescent="0.25">
      <c r="A28" s="299">
        <f>'A) Base RI'!A29</f>
        <v>5428</v>
      </c>
      <c r="B28" s="299" t="str">
        <f>'A) Base RI'!B29</f>
        <v>Gimel</v>
      </c>
      <c r="C28" s="316">
        <v>0</v>
      </c>
      <c r="D28" s="288">
        <f>'B) D RI'!AR29</f>
        <v>1907</v>
      </c>
      <c r="E28" s="289">
        <f>'B) D RI'!S29</f>
        <v>71.5</v>
      </c>
      <c r="F28" s="14">
        <f>'B) D RI'!R29</f>
        <v>4114542.8433333337</v>
      </c>
      <c r="G28" s="14">
        <f>'B) D RI'!U29</f>
        <v>57546.053752913758</v>
      </c>
      <c r="H28" s="52">
        <f>'B) D RI'!T29</f>
        <v>3802097.2600000002</v>
      </c>
      <c r="I28" s="14">
        <f t="shared" si="3"/>
        <v>106352.37090909091</v>
      </c>
      <c r="J28" s="41">
        <f t="shared" si="0"/>
        <v>161442.10712087739</v>
      </c>
      <c r="K28" s="14">
        <f t="shared" si="1"/>
        <v>106352.37090909091</v>
      </c>
      <c r="L28" s="14">
        <f t="shared" si="4"/>
        <v>55089.736211786483</v>
      </c>
      <c r="M28" s="14">
        <f>'D) Ecrêtage'!M27</f>
        <v>57546.053752913758</v>
      </c>
      <c r="N28" s="14">
        <f t="shared" si="2"/>
        <v>77253.62922519345</v>
      </c>
      <c r="O28" s="74">
        <f t="shared" si="5"/>
        <v>183606.00013428438</v>
      </c>
      <c r="P28" s="290"/>
      <c r="Q28" s="291"/>
      <c r="R28" s="287"/>
      <c r="S28" s="287"/>
      <c r="T28" s="292"/>
    </row>
    <row r="29" spans="1:20" s="286" customFormat="1" x14ac:dyDescent="0.25">
      <c r="A29" s="299">
        <f>'A) Base RI'!A30</f>
        <v>5429</v>
      </c>
      <c r="B29" s="299" t="str">
        <f>'A) Base RI'!B30</f>
        <v>Longirod</v>
      </c>
      <c r="C29" s="316">
        <v>0</v>
      </c>
      <c r="D29" s="288">
        <f>'B) D RI'!AR30</f>
        <v>463</v>
      </c>
      <c r="E29" s="289">
        <f>'B) D RI'!S30</f>
        <v>81</v>
      </c>
      <c r="F29" s="14">
        <f>'B) D RI'!R30</f>
        <v>1105256.56</v>
      </c>
      <c r="G29" s="14">
        <f>'B) D RI'!U30</f>
        <v>13645.142716049384</v>
      </c>
      <c r="H29" s="52">
        <f>'B) D RI'!T30</f>
        <v>1021012.06</v>
      </c>
      <c r="I29" s="14">
        <f t="shared" si="3"/>
        <v>25210.174320987655</v>
      </c>
      <c r="J29" s="41">
        <f t="shared" si="0"/>
        <v>39196.484319332056</v>
      </c>
      <c r="K29" s="14">
        <f t="shared" si="1"/>
        <v>25210.174320987655</v>
      </c>
      <c r="L29" s="14">
        <f t="shared" si="4"/>
        <v>13986.309998344401</v>
      </c>
      <c r="M29" s="14">
        <f>'D) Ecrêtage'!M28</f>
        <v>13645.142716049384</v>
      </c>
      <c r="N29" s="14">
        <f t="shared" si="2"/>
        <v>18318.142207225697</v>
      </c>
      <c r="O29" s="74">
        <f t="shared" si="5"/>
        <v>43528.316528213356</v>
      </c>
      <c r="P29" s="290"/>
      <c r="Q29" s="291"/>
      <c r="R29" s="287"/>
      <c r="S29" s="287"/>
      <c r="T29" s="292"/>
    </row>
    <row r="30" spans="1:20" s="286" customFormat="1" x14ac:dyDescent="0.25">
      <c r="A30" s="299">
        <f>'A) Base RI'!A31</f>
        <v>5430</v>
      </c>
      <c r="B30" s="299" t="str">
        <f>'A) Base RI'!B31</f>
        <v>Marchissy</v>
      </c>
      <c r="C30" s="316">
        <v>0</v>
      </c>
      <c r="D30" s="288">
        <f>'B) D RI'!AR31</f>
        <v>448</v>
      </c>
      <c r="E30" s="289">
        <f>'B) D RI'!S31</f>
        <v>81</v>
      </c>
      <c r="F30" s="14">
        <f>'B) D RI'!R31</f>
        <v>1045036.61</v>
      </c>
      <c r="G30" s="14">
        <f>'B) D RI'!U31</f>
        <v>12901.686543209877</v>
      </c>
      <c r="H30" s="52">
        <f>'B) D RI'!T31</f>
        <v>968840.66</v>
      </c>
      <c r="I30" s="14">
        <f t="shared" si="3"/>
        <v>23921.991604938274</v>
      </c>
      <c r="J30" s="41">
        <f t="shared" si="0"/>
        <v>37926.619816545921</v>
      </c>
      <c r="K30" s="14">
        <f t="shared" si="1"/>
        <v>23921.991604938274</v>
      </c>
      <c r="L30" s="14">
        <f t="shared" si="4"/>
        <v>14004.628211607647</v>
      </c>
      <c r="M30" s="14">
        <f>'D) Ecrêtage'!M29</f>
        <v>12901.686543209877</v>
      </c>
      <c r="N30" s="14">
        <f t="shared" si="2"/>
        <v>17320.077461234032</v>
      </c>
      <c r="O30" s="74">
        <f t="shared" si="5"/>
        <v>41242.069066172306</v>
      </c>
      <c r="P30" s="290"/>
      <c r="Q30" s="291"/>
      <c r="R30" s="287"/>
      <c r="S30" s="287"/>
      <c r="T30" s="292"/>
    </row>
    <row r="31" spans="1:20" s="286" customFormat="1" x14ac:dyDescent="0.25">
      <c r="A31" s="299">
        <f>'A) Base RI'!A32</f>
        <v>5431</v>
      </c>
      <c r="B31" s="299" t="str">
        <f>'A) Base RI'!B32</f>
        <v>Mollens</v>
      </c>
      <c r="C31" s="316">
        <v>0</v>
      </c>
      <c r="D31" s="288">
        <f>'B) D RI'!AR32</f>
        <v>294</v>
      </c>
      <c r="E31" s="289">
        <f>'B) D RI'!S32</f>
        <v>74</v>
      </c>
      <c r="F31" s="14">
        <f>'B) D RI'!R32</f>
        <v>663433.34000000008</v>
      </c>
      <c r="G31" s="14">
        <f>'B) D RI'!U32</f>
        <v>8965.3154054054066</v>
      </c>
      <c r="H31" s="52">
        <f>'B) D RI'!T32</f>
        <v>616822.74000000011</v>
      </c>
      <c r="I31" s="14">
        <f t="shared" si="3"/>
        <v>16670.884864864867</v>
      </c>
      <c r="J31" s="41">
        <f t="shared" si="0"/>
        <v>24889.344254608259</v>
      </c>
      <c r="K31" s="14">
        <f t="shared" si="1"/>
        <v>16670.884864864867</v>
      </c>
      <c r="L31" s="14">
        <f t="shared" si="4"/>
        <v>8218.4593897433915</v>
      </c>
      <c r="M31" s="14">
        <f>'D) Ecrêtage'!M30</f>
        <v>8965.3154054054066</v>
      </c>
      <c r="N31" s="14">
        <f t="shared" si="2"/>
        <v>12035.632455180044</v>
      </c>
      <c r="O31" s="74">
        <f t="shared" si="5"/>
        <v>28706.517320044914</v>
      </c>
      <c r="P31" s="290"/>
      <c r="Q31" s="291"/>
      <c r="R31" s="287"/>
      <c r="S31" s="287"/>
      <c r="T31" s="292"/>
    </row>
    <row r="32" spans="1:20" s="286" customFormat="1" x14ac:dyDescent="0.25">
      <c r="A32" s="299">
        <f>'A) Base RI'!A33</f>
        <v>5432</v>
      </c>
      <c r="B32" s="299" t="str">
        <f>'A) Base RI'!B33</f>
        <v>Montherod</v>
      </c>
      <c r="C32" s="316">
        <v>0</v>
      </c>
      <c r="D32" s="288">
        <f>'B) D RI'!AR33</f>
        <v>518</v>
      </c>
      <c r="E32" s="289">
        <f>'B) D RI'!S33</f>
        <v>74</v>
      </c>
      <c r="F32" s="14">
        <f>'B) D RI'!R33</f>
        <v>1401461.88</v>
      </c>
      <c r="G32" s="14">
        <f>'B) D RI'!U33</f>
        <v>18938.674054054052</v>
      </c>
      <c r="H32" s="52">
        <f>'B) D RI'!T33</f>
        <v>1312954.48</v>
      </c>
      <c r="I32" s="14">
        <f t="shared" si="3"/>
        <v>35485.256216216214</v>
      </c>
      <c r="J32" s="41">
        <f t="shared" si="0"/>
        <v>43852.654162881219</v>
      </c>
      <c r="K32" s="14">
        <f t="shared" si="1"/>
        <v>35485.256216216214</v>
      </c>
      <c r="L32" s="14">
        <f t="shared" si="4"/>
        <v>8367.3979466650053</v>
      </c>
      <c r="M32" s="14">
        <f>'D) Ecrêtage'!M31</f>
        <v>18938.674054054052</v>
      </c>
      <c r="N32" s="14">
        <f t="shared" si="2"/>
        <v>25424.528842077241</v>
      </c>
      <c r="O32" s="74">
        <f t="shared" si="5"/>
        <v>60909.785058293455</v>
      </c>
      <c r="P32" s="290"/>
      <c r="Q32" s="291"/>
      <c r="R32" s="287"/>
      <c r="S32" s="287"/>
      <c r="T32" s="292"/>
    </row>
    <row r="33" spans="1:20" s="286" customFormat="1" x14ac:dyDescent="0.25">
      <c r="A33" s="299">
        <f>'A) Base RI'!A34</f>
        <v>5434</v>
      </c>
      <c r="B33" s="299" t="str">
        <f>'A) Base RI'!B34</f>
        <v>Saint-George</v>
      </c>
      <c r="C33" s="316">
        <v>0</v>
      </c>
      <c r="D33" s="288">
        <f>'B) D RI'!AR34</f>
        <v>949</v>
      </c>
      <c r="E33" s="289">
        <f>'B) D RI'!S34</f>
        <v>68.5</v>
      </c>
      <c r="F33" s="14">
        <f>'B) D RI'!R34</f>
        <v>2261580.3900000006</v>
      </c>
      <c r="G33" s="14">
        <f>'B) D RI'!U34</f>
        <v>33015.772116788328</v>
      </c>
      <c r="H33" s="52">
        <f>'B) D RI'!T34</f>
        <v>2066602.3900000004</v>
      </c>
      <c r="I33" s="14">
        <f t="shared" si="3"/>
        <v>60338.755912408771</v>
      </c>
      <c r="J33" s="41">
        <f t="shared" si="0"/>
        <v>80340.094209602859</v>
      </c>
      <c r="K33" s="14">
        <f t="shared" si="1"/>
        <v>60338.755912408771</v>
      </c>
      <c r="L33" s="14">
        <f t="shared" si="4"/>
        <v>20001.338297194088</v>
      </c>
      <c r="M33" s="14">
        <f>'D) Ecrêtage'!M32</f>
        <v>33015.772116788328</v>
      </c>
      <c r="N33" s="14">
        <f t="shared" si="2"/>
        <v>44322.556480507592</v>
      </c>
      <c r="O33" s="74">
        <f t="shared" si="5"/>
        <v>104661.31239291636</v>
      </c>
      <c r="P33" s="290"/>
      <c r="Q33" s="291"/>
      <c r="R33" s="287"/>
      <c r="S33" s="287"/>
      <c r="T33" s="292"/>
    </row>
    <row r="34" spans="1:20" s="286" customFormat="1" x14ac:dyDescent="0.25">
      <c r="A34" s="299">
        <f>'A) Base RI'!A35</f>
        <v>5435</v>
      </c>
      <c r="B34" s="299" t="str">
        <f>'A) Base RI'!B35</f>
        <v>Saint-Livres</v>
      </c>
      <c r="C34" s="316">
        <v>0</v>
      </c>
      <c r="D34" s="288">
        <f>'B) D RI'!AR35</f>
        <v>713</v>
      </c>
      <c r="E34" s="289">
        <f>'B) D RI'!S35</f>
        <v>69</v>
      </c>
      <c r="F34" s="14">
        <f>'B) D RI'!R35</f>
        <v>1679132.6300000001</v>
      </c>
      <c r="G34" s="14">
        <f>'B) D RI'!U35</f>
        <v>24335.25550724638</v>
      </c>
      <c r="H34" s="52">
        <f>'B) D RI'!T35</f>
        <v>1568066.4300000002</v>
      </c>
      <c r="I34" s="14">
        <f t="shared" si="3"/>
        <v>45451.200869565226</v>
      </c>
      <c r="J34" s="41">
        <f t="shared" si="0"/>
        <v>60360.892699100987</v>
      </c>
      <c r="K34" s="14">
        <f t="shared" si="1"/>
        <v>45451.200869565226</v>
      </c>
      <c r="L34" s="14">
        <f t="shared" si="4"/>
        <v>14909.691829535761</v>
      </c>
      <c r="M34" s="14">
        <f>'D) Ecrêtage'!M33</f>
        <v>24335.25550724638</v>
      </c>
      <c r="N34" s="14">
        <f t="shared" si="2"/>
        <v>32669.256768314346</v>
      </c>
      <c r="O34" s="74">
        <f t="shared" si="5"/>
        <v>78120.457637879575</v>
      </c>
      <c r="P34" s="290"/>
      <c r="Q34" s="291"/>
      <c r="R34" s="287"/>
      <c r="S34" s="287"/>
      <c r="T34" s="292"/>
    </row>
    <row r="35" spans="1:20" s="286" customFormat="1" x14ac:dyDescent="0.25">
      <c r="A35" s="299">
        <f>'A) Base RI'!A36</f>
        <v>5436</v>
      </c>
      <c r="B35" s="299" t="str">
        <f>'A) Base RI'!B36</f>
        <v>Saint-Oyens</v>
      </c>
      <c r="C35" s="316">
        <v>0</v>
      </c>
      <c r="D35" s="288">
        <f>'B) D RI'!AR36</f>
        <v>345</v>
      </c>
      <c r="E35" s="289">
        <f>'B) D RI'!S36</f>
        <v>81</v>
      </c>
      <c r="F35" s="14">
        <f>'B) D RI'!R36</f>
        <v>804959.19499999995</v>
      </c>
      <c r="G35" s="14">
        <f>'B) D RI'!U36</f>
        <v>9937.7678395061721</v>
      </c>
      <c r="H35" s="52">
        <f>'B) D RI'!T36</f>
        <v>746029.57</v>
      </c>
      <c r="I35" s="14">
        <f t="shared" si="3"/>
        <v>18420.483209876544</v>
      </c>
      <c r="J35" s="41">
        <f t="shared" si="0"/>
        <v>29206.883564081123</v>
      </c>
      <c r="K35" s="14">
        <f t="shared" si="1"/>
        <v>18420.483209876544</v>
      </c>
      <c r="L35" s="14">
        <f t="shared" si="4"/>
        <v>10786.400354204579</v>
      </c>
      <c r="M35" s="14">
        <f>'D) Ecrêtage'!M34</f>
        <v>9937.7678395061721</v>
      </c>
      <c r="N35" s="14">
        <f t="shared" si="2"/>
        <v>13341.116930374897</v>
      </c>
      <c r="O35" s="74">
        <f t="shared" si="5"/>
        <v>31761.600140251441</v>
      </c>
      <c r="P35" s="290"/>
      <c r="Q35" s="291"/>
      <c r="R35" s="287"/>
      <c r="S35" s="287"/>
      <c r="T35" s="292"/>
    </row>
    <row r="36" spans="1:20" s="286" customFormat="1" x14ac:dyDescent="0.25">
      <c r="A36" s="299">
        <f>'A) Base RI'!A37</f>
        <v>5437</v>
      </c>
      <c r="B36" s="299" t="str">
        <f>'A) Base RI'!B37</f>
        <v>Saubraz</v>
      </c>
      <c r="C36" s="316">
        <v>0</v>
      </c>
      <c r="D36" s="288">
        <f>'B) D RI'!AR37</f>
        <v>391</v>
      </c>
      <c r="E36" s="289">
        <f>'B) D RI'!S37</f>
        <v>83</v>
      </c>
      <c r="F36" s="14">
        <f>'B) D RI'!R37</f>
        <v>759006.45999999973</v>
      </c>
      <c r="G36" s="14">
        <f>'B) D RI'!U37</f>
        <v>9144.65614457831</v>
      </c>
      <c r="H36" s="52">
        <f>'B) D RI'!T37</f>
        <v>702388.60999999975</v>
      </c>
      <c r="I36" s="14">
        <f t="shared" si="3"/>
        <v>16925.026746987947</v>
      </c>
      <c r="J36" s="41">
        <f t="shared" si="0"/>
        <v>33101.134705958604</v>
      </c>
      <c r="K36" s="14">
        <f t="shared" si="1"/>
        <v>16925.026746987947</v>
      </c>
      <c r="L36" s="14">
        <f t="shared" si="4"/>
        <v>16176.107958970657</v>
      </c>
      <c r="M36" s="14">
        <f>'D) Ecrêtage'!M35</f>
        <v>9144.65614457831</v>
      </c>
      <c r="N36" s="14">
        <f t="shared" si="2"/>
        <v>12276.391326822639</v>
      </c>
      <c r="O36" s="74">
        <f t="shared" si="5"/>
        <v>29201.418073810586</v>
      </c>
      <c r="P36" s="290"/>
      <c r="Q36" s="291"/>
      <c r="R36" s="287"/>
      <c r="S36" s="287"/>
      <c r="T36" s="292"/>
    </row>
    <row r="37" spans="1:20" s="286" customFormat="1" x14ac:dyDescent="0.25">
      <c r="A37" s="299">
        <f>'A) Base RI'!A38</f>
        <v>5451</v>
      </c>
      <c r="B37" s="299" t="str">
        <f>'A) Base RI'!B38</f>
        <v>Avenches</v>
      </c>
      <c r="C37" s="316">
        <v>0</v>
      </c>
      <c r="D37" s="288">
        <f>'B) D RI'!AR38</f>
        <v>4090</v>
      </c>
      <c r="E37" s="289">
        <f>'B) D RI'!S38</f>
        <v>68</v>
      </c>
      <c r="F37" s="14">
        <f>'B) D RI'!R38</f>
        <v>6937959.5233333334</v>
      </c>
      <c r="G37" s="14">
        <f>'B) D RI'!U38</f>
        <v>102028.81651960785</v>
      </c>
      <c r="H37" s="52">
        <f>'B) D RI'!T38</f>
        <v>6204003.3899999997</v>
      </c>
      <c r="I37" s="14">
        <f t="shared" si="3"/>
        <v>182470.68794117647</v>
      </c>
      <c r="J37" s="41">
        <f t="shared" si="0"/>
        <v>346249.7210930197</v>
      </c>
      <c r="K37" s="14">
        <f t="shared" si="1"/>
        <v>182470.68794117647</v>
      </c>
      <c r="L37" s="14">
        <f t="shared" si="4"/>
        <v>163779.03315184324</v>
      </c>
      <c r="M37" s="14">
        <f>'D) Ecrêtage'!M36</f>
        <v>102028.81651960785</v>
      </c>
      <c r="N37" s="14">
        <f t="shared" si="2"/>
        <v>136970.23249473434</v>
      </c>
      <c r="O37" s="74">
        <f t="shared" si="5"/>
        <v>319440.92043591081</v>
      </c>
      <c r="P37" s="290"/>
      <c r="Q37" s="291"/>
      <c r="R37" s="287"/>
      <c r="S37" s="287"/>
      <c r="T37" s="292"/>
    </row>
    <row r="38" spans="1:20" s="286" customFormat="1" x14ac:dyDescent="0.25">
      <c r="A38" s="299">
        <f>'A) Base RI'!A39</f>
        <v>5456</v>
      </c>
      <c r="B38" s="299" t="str">
        <f>'A) Base RI'!B39</f>
        <v>Cudrefin</v>
      </c>
      <c r="C38" s="316">
        <v>0</v>
      </c>
      <c r="D38" s="288">
        <f>'B) D RI'!AR39</f>
        <v>1516</v>
      </c>
      <c r="E38" s="289">
        <f>'B) D RI'!S39</f>
        <v>59</v>
      </c>
      <c r="F38" s="14">
        <f>'B) D RI'!R39</f>
        <v>2671069.7600000002</v>
      </c>
      <c r="G38" s="14">
        <f>'B) D RI'!U39</f>
        <v>45272.368813559326</v>
      </c>
      <c r="H38" s="52">
        <f>'B) D RI'!T39</f>
        <v>2401763.2600000002</v>
      </c>
      <c r="I38" s="14">
        <f t="shared" si="3"/>
        <v>81415.703728813562</v>
      </c>
      <c r="J38" s="41">
        <f t="shared" ref="J38:J69" si="6">+$I$315/$D$315*D38</f>
        <v>128340.97241491878</v>
      </c>
      <c r="K38" s="14">
        <f t="shared" si="1"/>
        <v>81415.703728813562</v>
      </c>
      <c r="L38" s="14">
        <f t="shared" si="4"/>
        <v>46925.268686105221</v>
      </c>
      <c r="M38" s="14">
        <f>'D) Ecrêtage'!M37</f>
        <v>45272.368813559326</v>
      </c>
      <c r="N38" s="14">
        <f t="shared" ref="N38:N69" si="7">+$N$5*M38</f>
        <v>60776.622659235516</v>
      </c>
      <c r="O38" s="74">
        <f t="shared" si="5"/>
        <v>142192.32638804908</v>
      </c>
      <c r="P38" s="290"/>
      <c r="Q38" s="291"/>
      <c r="R38" s="287"/>
      <c r="S38" s="287"/>
      <c r="T38" s="292"/>
    </row>
    <row r="39" spans="1:20" s="286" customFormat="1" x14ac:dyDescent="0.25">
      <c r="A39" s="299">
        <f>'A) Base RI'!A40</f>
        <v>5458</v>
      </c>
      <c r="B39" s="299" t="str">
        <f>'A) Base RI'!B40</f>
        <v>Faoug</v>
      </c>
      <c r="C39" s="316">
        <v>0</v>
      </c>
      <c r="D39" s="288">
        <f>'B) D RI'!AR40</f>
        <v>853</v>
      </c>
      <c r="E39" s="289">
        <f>'B) D RI'!S40</f>
        <v>61</v>
      </c>
      <c r="F39" s="14">
        <f>'B) D RI'!R40</f>
        <v>1716783.19</v>
      </c>
      <c r="G39" s="14">
        <f>'B) D RI'!U40</f>
        <v>28143.986721311474</v>
      </c>
      <c r="H39" s="52">
        <f>'B) D RI'!T40</f>
        <v>1551228.79</v>
      </c>
      <c r="I39" s="14">
        <f t="shared" si="3"/>
        <v>50859.960327868852</v>
      </c>
      <c r="J39" s="41">
        <f t="shared" si="6"/>
        <v>72212.961391771591</v>
      </c>
      <c r="K39" s="14">
        <f t="shared" si="1"/>
        <v>50859.960327868852</v>
      </c>
      <c r="L39" s="14">
        <f t="shared" si="4"/>
        <v>21353.001063902739</v>
      </c>
      <c r="M39" s="14">
        <f>'D) Ecrêtage'!M38</f>
        <v>28143.986721311474</v>
      </c>
      <c r="N39" s="14">
        <f t="shared" si="7"/>
        <v>37782.349497368894</v>
      </c>
      <c r="O39" s="74">
        <f t="shared" si="5"/>
        <v>88642.309825237753</v>
      </c>
      <c r="P39" s="290"/>
      <c r="Q39" s="291"/>
      <c r="R39" s="287"/>
      <c r="S39" s="287"/>
      <c r="T39" s="292"/>
    </row>
    <row r="40" spans="1:20" s="286" customFormat="1" x14ac:dyDescent="0.25">
      <c r="A40" s="299">
        <f>'A) Base RI'!A41</f>
        <v>5464</v>
      </c>
      <c r="B40" s="299" t="str">
        <f>'A) Base RI'!B41</f>
        <v>Vully-les-Lacs</v>
      </c>
      <c r="C40" s="316">
        <v>0</v>
      </c>
      <c r="D40" s="288">
        <f>'B) D RI'!AR41</f>
        <v>2825</v>
      </c>
      <c r="E40" s="289">
        <f>'B) D RI'!S41</f>
        <v>67</v>
      </c>
      <c r="F40" s="14">
        <f>'B) D RI'!R41</f>
        <v>6490019.8933333335</v>
      </c>
      <c r="G40" s="14">
        <f>'B) D RI'!U41</f>
        <v>96865.968557213928</v>
      </c>
      <c r="H40" s="52">
        <f>'B) D RI'!T41</f>
        <v>5933161.46</v>
      </c>
      <c r="I40" s="14">
        <f t="shared" si="3"/>
        <v>177109.29731343282</v>
      </c>
      <c r="J40" s="41">
        <f t="shared" si="6"/>
        <v>239157.81469138889</v>
      </c>
      <c r="K40" s="14">
        <f t="shared" si="1"/>
        <v>177109.29731343282</v>
      </c>
      <c r="L40" s="14">
        <f t="shared" si="4"/>
        <v>62048.517377956072</v>
      </c>
      <c r="M40" s="14">
        <f>'D) Ecrêtage'!M39</f>
        <v>96865.968557213928</v>
      </c>
      <c r="N40" s="14">
        <f t="shared" si="7"/>
        <v>130039.28386799849</v>
      </c>
      <c r="O40" s="74">
        <f t="shared" si="5"/>
        <v>307148.58118143131</v>
      </c>
      <c r="P40" s="290"/>
      <c r="Q40" s="291"/>
      <c r="R40" s="287"/>
      <c r="S40" s="287"/>
      <c r="T40" s="292"/>
    </row>
    <row r="41" spans="1:20" s="286" customFormat="1" x14ac:dyDescent="0.25">
      <c r="A41" s="299">
        <f>'A) Base RI'!A42</f>
        <v>5471</v>
      </c>
      <c r="B41" s="299" t="str">
        <f>'A) Base RI'!B42</f>
        <v>Bettens</v>
      </c>
      <c r="C41" s="316">
        <v>0</v>
      </c>
      <c r="D41" s="288">
        <f>'B) D RI'!AR42</f>
        <v>557</v>
      </c>
      <c r="E41" s="289">
        <f>'B) D RI'!S42</f>
        <v>70</v>
      </c>
      <c r="F41" s="14">
        <f>'B) D RI'!R42</f>
        <v>1271777.9944444448</v>
      </c>
      <c r="G41" s="14">
        <f>'B) D RI'!U42</f>
        <v>18168.257063492067</v>
      </c>
      <c r="H41" s="52">
        <f>'B) D RI'!T42</f>
        <v>1185232.0500000003</v>
      </c>
      <c r="I41" s="14">
        <f t="shared" si="3"/>
        <v>33863.772857142867</v>
      </c>
      <c r="J41" s="41">
        <f t="shared" si="6"/>
        <v>47154.301870125171</v>
      </c>
      <c r="K41" s="14">
        <f t="shared" si="1"/>
        <v>33863.772857142867</v>
      </c>
      <c r="L41" s="14">
        <f t="shared" si="4"/>
        <v>13290.529012982304</v>
      </c>
      <c r="M41" s="14">
        <f>'D) Ecrêtage'!M40</f>
        <v>18168.257063492067</v>
      </c>
      <c r="N41" s="14">
        <f t="shared" si="7"/>
        <v>24390.270110918784</v>
      </c>
      <c r="O41" s="74">
        <f t="shared" si="5"/>
        <v>58254.042968061651</v>
      </c>
      <c r="P41" s="290"/>
      <c r="Q41" s="291"/>
      <c r="R41" s="287"/>
      <c r="S41" s="287"/>
      <c r="T41" s="292"/>
    </row>
    <row r="42" spans="1:20" s="286" customFormat="1" x14ac:dyDescent="0.25">
      <c r="A42" s="299">
        <f>'A) Base RI'!A43</f>
        <v>5472</v>
      </c>
      <c r="B42" s="299" t="str">
        <f>'A) Base RI'!B43</f>
        <v>Bournens</v>
      </c>
      <c r="C42" s="316">
        <v>0</v>
      </c>
      <c r="D42" s="288">
        <f>'B) D RI'!AR43</f>
        <v>373</v>
      </c>
      <c r="E42" s="289">
        <f>'B) D RI'!S43</f>
        <v>80</v>
      </c>
      <c r="F42" s="14">
        <f>'B) D RI'!R43</f>
        <v>1057089.43</v>
      </c>
      <c r="G42" s="14">
        <f>'B) D RI'!U43</f>
        <v>13213.617875</v>
      </c>
      <c r="H42" s="52">
        <f>'B) D RI'!T43</f>
        <v>990533.78</v>
      </c>
      <c r="I42" s="14">
        <f t="shared" si="3"/>
        <v>24763.344499999999</v>
      </c>
      <c r="J42" s="41">
        <f t="shared" si="6"/>
        <v>31577.297302615243</v>
      </c>
      <c r="K42" s="14">
        <f t="shared" si="1"/>
        <v>24763.344499999999</v>
      </c>
      <c r="L42" s="14">
        <f t="shared" si="4"/>
        <v>6813.9528026152439</v>
      </c>
      <c r="M42" s="14">
        <f>'D) Ecrêtage'!M41</f>
        <v>13213.617875</v>
      </c>
      <c r="N42" s="14">
        <f t="shared" si="7"/>
        <v>17738.834715264067</v>
      </c>
      <c r="O42" s="74">
        <f t="shared" si="5"/>
        <v>42502.17921526407</v>
      </c>
      <c r="P42" s="290"/>
      <c r="Q42" s="291"/>
      <c r="R42" s="287"/>
      <c r="S42" s="287"/>
      <c r="T42" s="292"/>
    </row>
    <row r="43" spans="1:20" s="286" customFormat="1" x14ac:dyDescent="0.25">
      <c r="A43" s="299">
        <f>'A) Base RI'!A44</f>
        <v>5473</v>
      </c>
      <c r="B43" s="299" t="str">
        <f>'A) Base RI'!B44</f>
        <v>Boussens</v>
      </c>
      <c r="C43" s="316">
        <v>0</v>
      </c>
      <c r="D43" s="288">
        <f>'B) D RI'!AR44</f>
        <v>958</v>
      </c>
      <c r="E43" s="289">
        <f>'B) D RI'!S44</f>
        <v>69</v>
      </c>
      <c r="F43" s="14">
        <f>'B) D RI'!R44</f>
        <v>2277534.7900000005</v>
      </c>
      <c r="G43" s="14">
        <f>'B) D RI'!U44</f>
        <v>33007.750579710155</v>
      </c>
      <c r="H43" s="52">
        <f>'B) D RI'!T44</f>
        <v>2106236.6900000004</v>
      </c>
      <c r="I43" s="14">
        <f t="shared" si="3"/>
        <v>61050.338840579723</v>
      </c>
      <c r="J43" s="41">
        <f t="shared" si="6"/>
        <v>81102.012911274534</v>
      </c>
      <c r="K43" s="14">
        <f t="shared" si="1"/>
        <v>61050.338840579723</v>
      </c>
      <c r="L43" s="14">
        <f t="shared" si="4"/>
        <v>20051.674070694811</v>
      </c>
      <c r="M43" s="14">
        <f>'D) Ecrêtage'!M42</f>
        <v>33007.750579710155</v>
      </c>
      <c r="N43" s="14">
        <f t="shared" si="7"/>
        <v>44311.787838509757</v>
      </c>
      <c r="O43" s="74">
        <f t="shared" si="5"/>
        <v>105362.12667908947</v>
      </c>
      <c r="P43" s="290"/>
      <c r="Q43" s="291"/>
      <c r="R43" s="287"/>
      <c r="S43" s="287"/>
      <c r="T43" s="292"/>
    </row>
    <row r="44" spans="1:20" s="286" customFormat="1" x14ac:dyDescent="0.25">
      <c r="A44" s="299">
        <f>'A) Base RI'!A45</f>
        <v>5474</v>
      </c>
      <c r="B44" s="299" t="str">
        <f>'A) Base RI'!B45</f>
        <v>La Chaux (Cossonay)</v>
      </c>
      <c r="C44" s="316">
        <v>0</v>
      </c>
      <c r="D44" s="288">
        <f>'B) D RI'!AR45</f>
        <v>421</v>
      </c>
      <c r="E44" s="289">
        <f>'B) D RI'!S45</f>
        <v>77</v>
      </c>
      <c r="F44" s="14">
        <f>'B) D RI'!R45</f>
        <v>977164.51833333331</v>
      </c>
      <c r="G44" s="14">
        <f>'B) D RI'!U45</f>
        <v>12690.44829004329</v>
      </c>
      <c r="H44" s="52">
        <f>'B) D RI'!T45</f>
        <v>911218.80999999994</v>
      </c>
      <c r="I44" s="14">
        <f t="shared" si="3"/>
        <v>23668.021038961037</v>
      </c>
      <c r="J44" s="41">
        <f t="shared" si="6"/>
        <v>35640.863711530874</v>
      </c>
      <c r="K44" s="14">
        <f t="shared" si="1"/>
        <v>23668.021038961037</v>
      </c>
      <c r="L44" s="14">
        <f t="shared" si="4"/>
        <v>11972.842672569837</v>
      </c>
      <c r="M44" s="14">
        <f>'D) Ecrêtage'!M43</f>
        <v>12690.44829004329</v>
      </c>
      <c r="N44" s="14">
        <f t="shared" si="7"/>
        <v>17036.49725678808</v>
      </c>
      <c r="O44" s="74">
        <f t="shared" si="5"/>
        <v>40704.51829574912</v>
      </c>
      <c r="P44" s="290"/>
      <c r="Q44" s="291"/>
      <c r="R44" s="287"/>
      <c r="S44" s="287"/>
      <c r="T44" s="292"/>
    </row>
    <row r="45" spans="1:20" s="286" customFormat="1" x14ac:dyDescent="0.25">
      <c r="A45" s="299">
        <f>'A) Base RI'!A46</f>
        <v>5475</v>
      </c>
      <c r="B45" s="299" t="str">
        <f>'A) Base RI'!B46</f>
        <v>Chavannes-le-Veyron</v>
      </c>
      <c r="C45" s="316">
        <v>0</v>
      </c>
      <c r="D45" s="288">
        <f>'B) D RI'!AR46</f>
        <v>120</v>
      </c>
      <c r="E45" s="289">
        <f>'B) D RI'!S46</f>
        <v>77</v>
      </c>
      <c r="F45" s="14">
        <f>'B) D RI'!R46</f>
        <v>211761.89999999997</v>
      </c>
      <c r="G45" s="14">
        <f>'B) D RI'!U46</f>
        <v>2750.1545454545449</v>
      </c>
      <c r="H45" s="52">
        <f>'B) D RI'!T46</f>
        <v>192038.09999999998</v>
      </c>
      <c r="I45" s="14">
        <f t="shared" si="3"/>
        <v>4988.0025974025966</v>
      </c>
      <c r="J45" s="41">
        <f t="shared" si="6"/>
        <v>10158.916022289086</v>
      </c>
      <c r="K45" s="14">
        <f t="shared" si="1"/>
        <v>4988.0025974025966</v>
      </c>
      <c r="L45" s="14">
        <f t="shared" si="4"/>
        <v>5170.9134248864893</v>
      </c>
      <c r="M45" s="14">
        <f>'D) Ecrêtage'!M44</f>
        <v>2750.1545454545449</v>
      </c>
      <c r="N45" s="14">
        <f t="shared" si="7"/>
        <v>3691.9893843418981</v>
      </c>
      <c r="O45" s="74">
        <f t="shared" si="5"/>
        <v>8679.9919817444952</v>
      </c>
      <c r="P45" s="290"/>
      <c r="Q45" s="291"/>
      <c r="R45" s="287"/>
      <c r="S45" s="287"/>
      <c r="T45" s="292"/>
    </row>
    <row r="46" spans="1:20" s="286" customFormat="1" x14ac:dyDescent="0.25">
      <c r="A46" s="299">
        <f>'A) Base RI'!A47</f>
        <v>5476</v>
      </c>
      <c r="B46" s="299" t="str">
        <f>'A) Base RI'!B47</f>
        <v>Chevilly</v>
      </c>
      <c r="C46" s="316">
        <v>0</v>
      </c>
      <c r="D46" s="288">
        <f>'B) D RI'!AR47</f>
        <v>286</v>
      </c>
      <c r="E46" s="289">
        <f>'B) D RI'!S47</f>
        <v>74</v>
      </c>
      <c r="F46" s="14">
        <f>'B) D RI'!R47</f>
        <v>583683.73</v>
      </c>
      <c r="G46" s="14">
        <f>'B) D RI'!U47</f>
        <v>7887.6179729729729</v>
      </c>
      <c r="H46" s="52">
        <f>'B) D RI'!T47</f>
        <v>535244.53</v>
      </c>
      <c r="I46" s="14">
        <f t="shared" si="3"/>
        <v>14466.068378378379</v>
      </c>
      <c r="J46" s="41">
        <f t="shared" si="6"/>
        <v>24212.083186455653</v>
      </c>
      <c r="K46" s="14">
        <f t="shared" si="1"/>
        <v>14466.068378378379</v>
      </c>
      <c r="L46" s="14">
        <f t="shared" si="4"/>
        <v>9746.0148080772742</v>
      </c>
      <c r="M46" s="14">
        <f>'D) Ecrêtage'!M45</f>
        <v>7887.6179729729729</v>
      </c>
      <c r="N46" s="14">
        <f t="shared" si="7"/>
        <v>10588.860132275753</v>
      </c>
      <c r="O46" s="74">
        <f t="shared" si="5"/>
        <v>25054.928510654132</v>
      </c>
      <c r="P46" s="290"/>
      <c r="Q46" s="291"/>
      <c r="R46" s="287"/>
      <c r="S46" s="287"/>
      <c r="T46" s="292"/>
    </row>
    <row r="47" spans="1:20" s="286" customFormat="1" x14ac:dyDescent="0.25">
      <c r="A47" s="299">
        <f>'A) Base RI'!A48</f>
        <v>5477</v>
      </c>
      <c r="B47" s="299" t="str">
        <f>'A) Base RI'!B48</f>
        <v>Cossonay</v>
      </c>
      <c r="C47" s="316">
        <v>0</v>
      </c>
      <c r="D47" s="288">
        <f>'B) D RI'!AR48</f>
        <v>3642</v>
      </c>
      <c r="E47" s="289">
        <f>'B) D RI'!S48</f>
        <v>69.3</v>
      </c>
      <c r="F47" s="14">
        <f>'B) D RI'!R48</f>
        <v>8356869.1600000001</v>
      </c>
      <c r="G47" s="14">
        <f>'B) D RI'!U48</f>
        <v>120589.74256854257</v>
      </c>
      <c r="H47" s="52">
        <f>'B) D RI'!T48</f>
        <v>7834655.9100000001</v>
      </c>
      <c r="I47" s="14">
        <f t="shared" si="3"/>
        <v>226108.3956709957</v>
      </c>
      <c r="J47" s="41">
        <f t="shared" si="6"/>
        <v>308323.10127647378</v>
      </c>
      <c r="K47" s="14">
        <f t="shared" si="1"/>
        <v>226108.3956709957</v>
      </c>
      <c r="L47" s="14">
        <f t="shared" si="4"/>
        <v>82214.705605478084</v>
      </c>
      <c r="M47" s="14">
        <f>'D) Ecrêtage'!M46</f>
        <v>120589.74256854257</v>
      </c>
      <c r="N47" s="14">
        <f t="shared" si="7"/>
        <v>161887.64742673625</v>
      </c>
      <c r="O47" s="74">
        <f t="shared" si="5"/>
        <v>387996.04309773195</v>
      </c>
      <c r="P47" s="290"/>
      <c r="Q47" s="291"/>
      <c r="R47" s="287"/>
      <c r="S47" s="287"/>
      <c r="T47" s="292"/>
    </row>
    <row r="48" spans="1:20" s="286" customFormat="1" x14ac:dyDescent="0.25">
      <c r="A48" s="299">
        <f>'A) Base RI'!A49</f>
        <v>5478</v>
      </c>
      <c r="B48" s="299" t="str">
        <f>'A) Base RI'!B49</f>
        <v>Cottens</v>
      </c>
      <c r="C48" s="316">
        <v>0</v>
      </c>
      <c r="D48" s="288">
        <f>'B) D RI'!AR49</f>
        <v>473</v>
      </c>
      <c r="E48" s="289">
        <f>'B) D RI'!S49</f>
        <v>72</v>
      </c>
      <c r="F48" s="14">
        <f>'B) D RI'!R49</f>
        <v>1113424.8099999998</v>
      </c>
      <c r="G48" s="14">
        <f>'B) D RI'!U49</f>
        <v>15464.23347222222</v>
      </c>
      <c r="H48" s="52">
        <f>'B) D RI'!T49</f>
        <v>1041097.5099999999</v>
      </c>
      <c r="I48" s="14">
        <f t="shared" si="3"/>
        <v>28919.375277777774</v>
      </c>
      <c r="J48" s="41">
        <f t="shared" si="6"/>
        <v>40043.060654522815</v>
      </c>
      <c r="K48" s="14">
        <f t="shared" si="1"/>
        <v>28919.375277777774</v>
      </c>
      <c r="L48" s="14">
        <f t="shared" si="4"/>
        <v>11123.685376745041</v>
      </c>
      <c r="M48" s="14">
        <f>'D) Ecrêtage'!M47</f>
        <v>15464.23347222222</v>
      </c>
      <c r="N48" s="14">
        <f t="shared" si="7"/>
        <v>20760.209971033699</v>
      </c>
      <c r="O48" s="74">
        <f t="shared" si="5"/>
        <v>49679.585248811476</v>
      </c>
      <c r="P48" s="290"/>
      <c r="Q48" s="291"/>
      <c r="R48" s="287"/>
      <c r="S48" s="287"/>
      <c r="T48" s="292"/>
    </row>
    <row r="49" spans="1:20" s="286" customFormat="1" x14ac:dyDescent="0.25">
      <c r="A49" s="299">
        <f>'A) Base RI'!A50</f>
        <v>5479</v>
      </c>
      <c r="B49" s="299" t="str">
        <f>'A) Base RI'!B50</f>
        <v>Cuarnens</v>
      </c>
      <c r="C49" s="316">
        <v>0</v>
      </c>
      <c r="D49" s="288">
        <f>'B) D RI'!AR50</f>
        <v>439</v>
      </c>
      <c r="E49" s="289">
        <f>'B) D RI'!S50</f>
        <v>77</v>
      </c>
      <c r="F49" s="14">
        <f>'B) D RI'!R50</f>
        <v>909025.42999999993</v>
      </c>
      <c r="G49" s="14">
        <f>'B) D RI'!U50</f>
        <v>11805.525064935064</v>
      </c>
      <c r="H49" s="52">
        <f>'B) D RI'!T50</f>
        <v>837104.62999999989</v>
      </c>
      <c r="I49" s="14">
        <f t="shared" si="3"/>
        <v>21742.9774025974</v>
      </c>
      <c r="J49" s="41">
        <f t="shared" si="6"/>
        <v>37164.701114874239</v>
      </c>
      <c r="K49" s="14">
        <f t="shared" si="1"/>
        <v>21742.9774025974</v>
      </c>
      <c r="L49" s="14">
        <f t="shared" si="4"/>
        <v>15421.723712276838</v>
      </c>
      <c r="M49" s="14">
        <f>'D) Ecrêtage'!M48</f>
        <v>11805.525064935064</v>
      </c>
      <c r="N49" s="14">
        <f t="shared" si="7"/>
        <v>15848.517781795637</v>
      </c>
      <c r="O49" s="74">
        <f t="shared" si="5"/>
        <v>37591.495184393039</v>
      </c>
      <c r="P49" s="290"/>
      <c r="Q49" s="291"/>
      <c r="R49" s="287"/>
      <c r="S49" s="287"/>
      <c r="T49" s="292"/>
    </row>
    <row r="50" spans="1:20" s="286" customFormat="1" x14ac:dyDescent="0.25">
      <c r="A50" s="299">
        <f>'A) Base RI'!A51</f>
        <v>5480</v>
      </c>
      <c r="B50" s="299" t="str">
        <f>'A) Base RI'!B51</f>
        <v>Daillens</v>
      </c>
      <c r="C50" s="316">
        <v>0</v>
      </c>
      <c r="D50" s="288">
        <f>'B) D RI'!AR51</f>
        <v>940</v>
      </c>
      <c r="E50" s="289">
        <f>'B) D RI'!S51</f>
        <v>71</v>
      </c>
      <c r="F50" s="14">
        <f>'B) D RI'!R51</f>
        <v>2990083.3299999996</v>
      </c>
      <c r="G50" s="14">
        <f>'B) D RI'!U51</f>
        <v>42113.849718309852</v>
      </c>
      <c r="H50" s="52">
        <f>'B) D RI'!T51</f>
        <v>2706408.53</v>
      </c>
      <c r="I50" s="14">
        <f t="shared" si="3"/>
        <v>76236.86</v>
      </c>
      <c r="J50" s="41">
        <f t="shared" si="6"/>
        <v>79578.17550793117</v>
      </c>
      <c r="K50" s="14">
        <f t="shared" si="1"/>
        <v>76236.86</v>
      </c>
      <c r="L50" s="14">
        <f t="shared" si="4"/>
        <v>3341.3155079311691</v>
      </c>
      <c r="M50" s="14">
        <f>'D) Ecrêtage'!M49</f>
        <v>42113.849718309852</v>
      </c>
      <c r="N50" s="14">
        <f t="shared" si="7"/>
        <v>56536.417689963557</v>
      </c>
      <c r="O50" s="74">
        <f t="shared" si="5"/>
        <v>132773.27768996355</v>
      </c>
      <c r="P50" s="290"/>
      <c r="Q50" s="291"/>
      <c r="R50" s="287"/>
      <c r="S50" s="287"/>
      <c r="T50" s="292"/>
    </row>
    <row r="51" spans="1:20" s="286" customFormat="1" x14ac:dyDescent="0.25">
      <c r="A51" s="299">
        <f>'A) Base RI'!A52</f>
        <v>5481</v>
      </c>
      <c r="B51" s="299" t="str">
        <f>'A) Base RI'!B52</f>
        <v>Dizy</v>
      </c>
      <c r="C51" s="316">
        <v>0</v>
      </c>
      <c r="D51" s="288">
        <f>'B) D RI'!AR52</f>
        <v>221</v>
      </c>
      <c r="E51" s="289">
        <f>'B) D RI'!S52</f>
        <v>74</v>
      </c>
      <c r="F51" s="14">
        <f>'B) D RI'!R52</f>
        <v>609833.65999999992</v>
      </c>
      <c r="G51" s="14">
        <f>'B) D RI'!U52</f>
        <v>8240.9954054054051</v>
      </c>
      <c r="H51" s="52">
        <f>'B) D RI'!T52</f>
        <v>575524.05999999994</v>
      </c>
      <c r="I51" s="14">
        <f t="shared" si="3"/>
        <v>15554.704324324322</v>
      </c>
      <c r="J51" s="41">
        <f t="shared" si="6"/>
        <v>18709.337007715734</v>
      </c>
      <c r="K51" s="14">
        <f t="shared" si="1"/>
        <v>15554.704324324322</v>
      </c>
      <c r="L51" s="14">
        <f t="shared" si="4"/>
        <v>3154.6326833914118</v>
      </c>
      <c r="M51" s="14">
        <f>'D) Ecrêtage'!M50</f>
        <v>8240.9954054054051</v>
      </c>
      <c r="N51" s="14">
        <f t="shared" si="7"/>
        <v>11063.257373464576</v>
      </c>
      <c r="O51" s="74">
        <f t="shared" si="5"/>
        <v>26617.961697788898</v>
      </c>
      <c r="P51" s="290"/>
      <c r="Q51" s="291"/>
      <c r="R51" s="287"/>
      <c r="S51" s="287"/>
      <c r="T51" s="292"/>
    </row>
    <row r="52" spans="1:20" s="286" customFormat="1" x14ac:dyDescent="0.25">
      <c r="A52" s="299">
        <f>'A) Base RI'!A53</f>
        <v>5482</v>
      </c>
      <c r="B52" s="299" t="str">
        <f>'A) Base RI'!B53</f>
        <v>Eclépens</v>
      </c>
      <c r="C52" s="316">
        <v>0</v>
      </c>
      <c r="D52" s="288">
        <f>'B) D RI'!AR53</f>
        <v>1039</v>
      </c>
      <c r="E52" s="289">
        <f>'B) D RI'!S53</f>
        <v>46</v>
      </c>
      <c r="F52" s="14">
        <f>'B) D RI'!R53</f>
        <v>2969388.69</v>
      </c>
      <c r="G52" s="14">
        <f>'B) D RI'!U53</f>
        <v>64551.928043478263</v>
      </c>
      <c r="H52" s="52">
        <f>'B) D RI'!T53</f>
        <v>2565895.59</v>
      </c>
      <c r="I52" s="14">
        <f t="shared" si="3"/>
        <v>111560.67782608695</v>
      </c>
      <c r="J52" s="41">
        <f t="shared" si="6"/>
        <v>87959.281226319668</v>
      </c>
      <c r="K52" s="14">
        <f t="shared" si="1"/>
        <v>87959.281226319668</v>
      </c>
      <c r="L52" s="14">
        <f t="shared" si="4"/>
        <v>0</v>
      </c>
      <c r="M52" s="14">
        <f>'D) Ecrêtage'!M51</f>
        <v>62703.545442857772</v>
      </c>
      <c r="N52" s="14">
        <f t="shared" si="7"/>
        <v>84177.38723747553</v>
      </c>
      <c r="O52" s="74">
        <f t="shared" si="5"/>
        <v>172136.66846379521</v>
      </c>
      <c r="P52" s="290"/>
      <c r="Q52" s="291"/>
      <c r="R52" s="287"/>
      <c r="S52" s="287"/>
      <c r="T52" s="292"/>
    </row>
    <row r="53" spans="1:20" s="286" customFormat="1" x14ac:dyDescent="0.25">
      <c r="A53" s="299">
        <f>'A) Base RI'!A54</f>
        <v>5483</v>
      </c>
      <c r="B53" s="299" t="str">
        <f>'A) Base RI'!B54</f>
        <v>Ferreyres</v>
      </c>
      <c r="C53" s="316">
        <v>0</v>
      </c>
      <c r="D53" s="288">
        <f>'B) D RI'!AR54</f>
        <v>313</v>
      </c>
      <c r="E53" s="289">
        <f>'B) D RI'!S54</f>
        <v>76</v>
      </c>
      <c r="F53" s="14">
        <f>'B) D RI'!R54</f>
        <v>691414.39999999991</v>
      </c>
      <c r="G53" s="14">
        <f>'B) D RI'!U54</f>
        <v>9097.5578947368413</v>
      </c>
      <c r="H53" s="52">
        <f>'B) D RI'!T54</f>
        <v>643360.39999999991</v>
      </c>
      <c r="I53" s="14">
        <f t="shared" si="3"/>
        <v>16930.536842105259</v>
      </c>
      <c r="J53" s="41">
        <f t="shared" si="6"/>
        <v>26497.8392914707</v>
      </c>
      <c r="K53" s="14">
        <f t="shared" si="1"/>
        <v>16930.536842105259</v>
      </c>
      <c r="L53" s="14">
        <f t="shared" si="4"/>
        <v>9567.3024493654411</v>
      </c>
      <c r="M53" s="14">
        <f>'D) Ecrêtage'!M52</f>
        <v>9097.5578947368413</v>
      </c>
      <c r="N53" s="14">
        <f t="shared" si="7"/>
        <v>12213.163520689641</v>
      </c>
      <c r="O53" s="74">
        <f t="shared" si="5"/>
        <v>29143.700362794902</v>
      </c>
      <c r="P53" s="290"/>
      <c r="Q53" s="291"/>
      <c r="R53" s="287"/>
      <c r="S53" s="287"/>
      <c r="T53" s="292"/>
    </row>
    <row r="54" spans="1:20" s="286" customFormat="1" x14ac:dyDescent="0.25">
      <c r="A54" s="299">
        <f>'A) Base RI'!A55</f>
        <v>5484</v>
      </c>
      <c r="B54" s="299" t="str">
        <f>'A) Base RI'!B55</f>
        <v>Gollion</v>
      </c>
      <c r="C54" s="316">
        <v>0</v>
      </c>
      <c r="D54" s="288">
        <f>'B) D RI'!AR55</f>
        <v>857</v>
      </c>
      <c r="E54" s="289">
        <f>'B) D RI'!S55</f>
        <v>74</v>
      </c>
      <c r="F54" s="14">
        <f>'B) D RI'!R55</f>
        <v>1714062.53</v>
      </c>
      <c r="G54" s="14">
        <f>'B) D RI'!U55</f>
        <v>23163.007162162161</v>
      </c>
      <c r="H54" s="52">
        <f>'B) D RI'!T55</f>
        <v>1580492.83</v>
      </c>
      <c r="I54" s="14">
        <f t="shared" si="3"/>
        <v>42716.022432432437</v>
      </c>
      <c r="J54" s="41">
        <f t="shared" si="6"/>
        <v>72551.591925847883</v>
      </c>
      <c r="K54" s="14">
        <f t="shared" si="1"/>
        <v>42716.022432432437</v>
      </c>
      <c r="L54" s="14">
        <f t="shared" si="4"/>
        <v>29835.569493415445</v>
      </c>
      <c r="M54" s="14">
        <f>'D) Ecrêtage'!M53</f>
        <v>23163.007162162161</v>
      </c>
      <c r="N54" s="14">
        <f t="shared" si="7"/>
        <v>31095.553045730285</v>
      </c>
      <c r="O54" s="74">
        <f t="shared" si="5"/>
        <v>73811.575478162718</v>
      </c>
      <c r="P54" s="290"/>
      <c r="Q54" s="291"/>
      <c r="R54" s="287"/>
      <c r="S54" s="287"/>
      <c r="T54" s="292"/>
    </row>
    <row r="55" spans="1:20" s="286" customFormat="1" x14ac:dyDescent="0.25">
      <c r="A55" s="299">
        <f>'A) Base RI'!A56</f>
        <v>5485</v>
      </c>
      <c r="B55" s="299" t="str">
        <f>'A) Base RI'!B56</f>
        <v>Grancy</v>
      </c>
      <c r="C55" s="316">
        <v>0</v>
      </c>
      <c r="D55" s="288">
        <f>'B) D RI'!AR56</f>
        <v>396</v>
      </c>
      <c r="E55" s="289">
        <f>'B) D RI'!S56</f>
        <v>70</v>
      </c>
      <c r="F55" s="14">
        <f>'B) D RI'!R56</f>
        <v>1210884.9100000001</v>
      </c>
      <c r="G55" s="14">
        <f>'B) D RI'!U56</f>
        <v>17298.355857142858</v>
      </c>
      <c r="H55" s="52">
        <f>'B) D RI'!T56</f>
        <v>1143712.8600000001</v>
      </c>
      <c r="I55" s="14">
        <f t="shared" si="3"/>
        <v>32677.510285714288</v>
      </c>
      <c r="J55" s="41">
        <f t="shared" si="6"/>
        <v>33524.42287355398</v>
      </c>
      <c r="K55" s="14">
        <f t="shared" si="1"/>
        <v>32677.510285714288</v>
      </c>
      <c r="L55" s="14">
        <f t="shared" si="4"/>
        <v>846.9125878396917</v>
      </c>
      <c r="M55" s="14">
        <f>'D) Ecrêtage'!M54</f>
        <v>17298.355857142858</v>
      </c>
      <c r="N55" s="14">
        <f t="shared" si="7"/>
        <v>23222.457187613898</v>
      </c>
      <c r="O55" s="74">
        <f t="shared" si="5"/>
        <v>55899.967473328186</v>
      </c>
      <c r="P55" s="290"/>
      <c r="Q55" s="291"/>
      <c r="R55" s="287"/>
      <c r="S55" s="287"/>
      <c r="T55" s="292"/>
    </row>
    <row r="56" spans="1:20" s="286" customFormat="1" x14ac:dyDescent="0.25">
      <c r="A56" s="299">
        <f>'A) Base RI'!A57</f>
        <v>5486</v>
      </c>
      <c r="B56" s="299" t="str">
        <f>'A) Base RI'!B57</f>
        <v>L'Isle</v>
      </c>
      <c r="C56" s="316">
        <v>0</v>
      </c>
      <c r="D56" s="288">
        <f>'B) D RI'!AR57</f>
        <v>1032</v>
      </c>
      <c r="E56" s="289">
        <f>'B) D RI'!S57</f>
        <v>76</v>
      </c>
      <c r="F56" s="14">
        <f>'B) D RI'!R57</f>
        <v>2068145.8699999999</v>
      </c>
      <c r="G56" s="14">
        <f>'B) D RI'!U57</f>
        <v>27212.445657894736</v>
      </c>
      <c r="H56" s="52">
        <f>'B) D RI'!T57</f>
        <v>1891762.22</v>
      </c>
      <c r="I56" s="14">
        <f t="shared" si="3"/>
        <v>49783.216315789476</v>
      </c>
      <c r="J56" s="41">
        <f t="shared" si="6"/>
        <v>87366.677791686147</v>
      </c>
      <c r="K56" s="14">
        <f t="shared" si="1"/>
        <v>49783.216315789476</v>
      </c>
      <c r="L56" s="14">
        <f t="shared" si="4"/>
        <v>37583.461475896671</v>
      </c>
      <c r="M56" s="14">
        <f>'D) Ecrêtage'!M55</f>
        <v>27212.445657894736</v>
      </c>
      <c r="N56" s="14">
        <f t="shared" si="7"/>
        <v>36531.787152464487</v>
      </c>
      <c r="O56" s="74">
        <f t="shared" si="5"/>
        <v>86315.00346825397</v>
      </c>
      <c r="P56" s="290"/>
      <c r="Q56" s="291"/>
      <c r="R56" s="287"/>
      <c r="S56" s="287"/>
      <c r="T56" s="292"/>
    </row>
    <row r="57" spans="1:20" s="286" customFormat="1" x14ac:dyDescent="0.25">
      <c r="A57" s="299">
        <f>'A) Base RI'!A58</f>
        <v>5487</v>
      </c>
      <c r="B57" s="299" t="str">
        <f>'A) Base RI'!B58</f>
        <v>Lussery-Villars</v>
      </c>
      <c r="C57" s="316">
        <v>0</v>
      </c>
      <c r="D57" s="288">
        <f>'B) D RI'!AR58</f>
        <v>423</v>
      </c>
      <c r="E57" s="289">
        <f>'B) D RI'!S58</f>
        <v>68</v>
      </c>
      <c r="F57" s="14">
        <f>'B) D RI'!R58</f>
        <v>834654.07000000007</v>
      </c>
      <c r="G57" s="14">
        <f>'B) D RI'!U58</f>
        <v>12274.32455882353</v>
      </c>
      <c r="H57" s="52">
        <f>'B) D RI'!T58</f>
        <v>770629.97000000009</v>
      </c>
      <c r="I57" s="14">
        <f t="shared" si="3"/>
        <v>22665.58735294118</v>
      </c>
      <c r="J57" s="41">
        <f t="shared" si="6"/>
        <v>35810.178978569027</v>
      </c>
      <c r="K57" s="14">
        <f t="shared" si="1"/>
        <v>22665.58735294118</v>
      </c>
      <c r="L57" s="14">
        <f t="shared" si="4"/>
        <v>13144.591625627847</v>
      </c>
      <c r="M57" s="14">
        <f>'D) Ecrêtage'!M56</f>
        <v>12274.32455882353</v>
      </c>
      <c r="N57" s="14">
        <f t="shared" si="7"/>
        <v>16477.865233444034</v>
      </c>
      <c r="O57" s="74">
        <f t="shared" si="5"/>
        <v>39143.452586385218</v>
      </c>
      <c r="P57" s="290"/>
      <c r="Q57" s="291"/>
      <c r="R57" s="287"/>
      <c r="S57" s="287"/>
      <c r="T57" s="292"/>
    </row>
    <row r="58" spans="1:20" s="286" customFormat="1" x14ac:dyDescent="0.25">
      <c r="A58" s="299">
        <f>'A) Base RI'!A59</f>
        <v>5488</v>
      </c>
      <c r="B58" s="299" t="str">
        <f>'A) Base RI'!B59</f>
        <v>Mauraz</v>
      </c>
      <c r="C58" s="316">
        <v>0</v>
      </c>
      <c r="D58" s="288">
        <f>'B) D RI'!AR59</f>
        <v>49</v>
      </c>
      <c r="E58" s="289">
        <f>'B) D RI'!S59</f>
        <v>74</v>
      </c>
      <c r="F58" s="14">
        <f>'B) D RI'!R59</f>
        <v>104896.89</v>
      </c>
      <c r="G58" s="14">
        <f>'B) D RI'!U59</f>
        <v>1417.5255405405405</v>
      </c>
      <c r="H58" s="52">
        <f>'B) D RI'!T59</f>
        <v>96422.89</v>
      </c>
      <c r="I58" s="14">
        <f t="shared" si="3"/>
        <v>2606.024054054054</v>
      </c>
      <c r="J58" s="41">
        <f t="shared" si="6"/>
        <v>4148.2240424347101</v>
      </c>
      <c r="K58" s="14">
        <f t="shared" si="1"/>
        <v>2606.024054054054</v>
      </c>
      <c r="L58" s="14">
        <f t="shared" si="4"/>
        <v>1542.1999883806561</v>
      </c>
      <c r="M58" s="14">
        <f>'D) Ecrêtage'!M57</f>
        <v>1417.5255405405405</v>
      </c>
      <c r="N58" s="14">
        <f t="shared" si="7"/>
        <v>1902.9800548333174</v>
      </c>
      <c r="O58" s="74">
        <f t="shared" si="5"/>
        <v>4509.0041088873713</v>
      </c>
      <c r="P58" s="290"/>
      <c r="Q58" s="291"/>
      <c r="R58" s="287"/>
      <c r="S58" s="287"/>
      <c r="T58" s="292"/>
    </row>
    <row r="59" spans="1:20" s="286" customFormat="1" x14ac:dyDescent="0.25">
      <c r="A59" s="299">
        <f>'A) Base RI'!A60</f>
        <v>5489</v>
      </c>
      <c r="B59" s="299" t="str">
        <f>'A) Base RI'!B60</f>
        <v>Mex</v>
      </c>
      <c r="C59" s="316">
        <v>0</v>
      </c>
      <c r="D59" s="288">
        <f>'B) D RI'!AR60</f>
        <v>678</v>
      </c>
      <c r="E59" s="289">
        <f>'B) D RI'!S60</f>
        <v>61</v>
      </c>
      <c r="F59" s="14">
        <f>'B) D RI'!R60</f>
        <v>2264398.4200000004</v>
      </c>
      <c r="G59" s="14">
        <f>'B) D RI'!U60</f>
        <v>37121.285573770496</v>
      </c>
      <c r="H59" s="52">
        <f>'B) D RI'!T60</f>
        <v>2002258.7200000002</v>
      </c>
      <c r="I59" s="14">
        <f t="shared" si="3"/>
        <v>65647.826885245915</v>
      </c>
      <c r="J59" s="41">
        <f t="shared" si="6"/>
        <v>57397.875525933334</v>
      </c>
      <c r="K59" s="14">
        <f t="shared" si="1"/>
        <v>57397.875525933334</v>
      </c>
      <c r="L59" s="14">
        <f t="shared" si="4"/>
        <v>0</v>
      </c>
      <c r="M59" s="14">
        <f>'D) Ecrêtage'!M58</f>
        <v>37085.616091888587</v>
      </c>
      <c r="N59" s="14">
        <f t="shared" si="7"/>
        <v>49786.184252565952</v>
      </c>
      <c r="O59" s="74">
        <f t="shared" si="5"/>
        <v>107184.05977849929</v>
      </c>
      <c r="P59" s="290"/>
      <c r="Q59" s="291"/>
      <c r="R59" s="287"/>
      <c r="S59" s="287"/>
      <c r="T59" s="292"/>
    </row>
    <row r="60" spans="1:20" s="286" customFormat="1" x14ac:dyDescent="0.25">
      <c r="A60" s="299">
        <f>'A) Base RI'!A61</f>
        <v>5490</v>
      </c>
      <c r="B60" s="299" t="str">
        <f>'A) Base RI'!B61</f>
        <v>Moiry</v>
      </c>
      <c r="C60" s="316">
        <v>0</v>
      </c>
      <c r="D60" s="288">
        <f>'B) D RI'!AR61</f>
        <v>290</v>
      </c>
      <c r="E60" s="289">
        <f>'B) D RI'!S61</f>
        <v>81</v>
      </c>
      <c r="F60" s="14">
        <f>'B) D RI'!R61</f>
        <v>593059.89</v>
      </c>
      <c r="G60" s="14">
        <f>'B) D RI'!U61</f>
        <v>7321.727037037037</v>
      </c>
      <c r="H60" s="52">
        <f>'B) D RI'!T61</f>
        <v>555084.69000000006</v>
      </c>
      <c r="I60" s="14">
        <f t="shared" si="3"/>
        <v>13705.794814814817</v>
      </c>
      <c r="J60" s="41">
        <f t="shared" si="6"/>
        <v>24550.71372053196</v>
      </c>
      <c r="K60" s="14">
        <f t="shared" si="1"/>
        <v>13705.794814814817</v>
      </c>
      <c r="L60" s="14">
        <f t="shared" si="4"/>
        <v>10844.918905717142</v>
      </c>
      <c r="M60" s="14">
        <f>'D) Ecrêtage'!M59</f>
        <v>7321.727037037037</v>
      </c>
      <c r="N60" s="14">
        <f t="shared" si="7"/>
        <v>9829.1707062309852</v>
      </c>
      <c r="O60" s="74">
        <f t="shared" si="5"/>
        <v>23534.9655210458</v>
      </c>
      <c r="P60" s="290"/>
      <c r="Q60" s="291"/>
      <c r="R60" s="287"/>
      <c r="S60" s="287"/>
      <c r="T60" s="292"/>
    </row>
    <row r="61" spans="1:20" s="286" customFormat="1" x14ac:dyDescent="0.25">
      <c r="A61" s="299">
        <f>'A) Base RI'!A62</f>
        <v>5491</v>
      </c>
      <c r="B61" s="299" t="str">
        <f>'A) Base RI'!B62</f>
        <v>Mont-la-Ville</v>
      </c>
      <c r="C61" s="316">
        <v>0</v>
      </c>
      <c r="D61" s="288">
        <f>'B) D RI'!AR62</f>
        <v>382</v>
      </c>
      <c r="E61" s="289">
        <f>'B) D RI'!S62</f>
        <v>76</v>
      </c>
      <c r="F61" s="14">
        <f>'B) D RI'!R62</f>
        <v>653575.75000000012</v>
      </c>
      <c r="G61" s="14">
        <f>'B) D RI'!U62</f>
        <v>8599.6809210526335</v>
      </c>
      <c r="H61" s="52">
        <f>'B) D RI'!T62</f>
        <v>592032.40000000014</v>
      </c>
      <c r="I61" s="14">
        <f t="shared" si="3"/>
        <v>15579.800000000003</v>
      </c>
      <c r="J61" s="41">
        <f t="shared" si="6"/>
        <v>32339.216004286922</v>
      </c>
      <c r="K61" s="14">
        <f t="shared" si="1"/>
        <v>15579.800000000003</v>
      </c>
      <c r="L61" s="14">
        <f t="shared" si="4"/>
        <v>16759.416004286919</v>
      </c>
      <c r="M61" s="14">
        <f>'D) Ecrêtage'!M60</f>
        <v>8599.6809210526335</v>
      </c>
      <c r="N61" s="14">
        <f t="shared" si="7"/>
        <v>11544.780536690261</v>
      </c>
      <c r="O61" s="74">
        <f t="shared" si="5"/>
        <v>27124.580536690264</v>
      </c>
      <c r="P61" s="290"/>
      <c r="Q61" s="291"/>
      <c r="R61" s="287"/>
      <c r="S61" s="287"/>
      <c r="T61" s="292"/>
    </row>
    <row r="62" spans="1:20" s="286" customFormat="1" x14ac:dyDescent="0.25">
      <c r="A62" s="299">
        <f>'A) Base RI'!A63</f>
        <v>5492</v>
      </c>
      <c r="B62" s="299" t="str">
        <f>'A) Base RI'!B63</f>
        <v>Montricher</v>
      </c>
      <c r="C62" s="316">
        <v>0</v>
      </c>
      <c r="D62" s="288">
        <f>'B) D RI'!AR63</f>
        <v>961</v>
      </c>
      <c r="E62" s="289">
        <f>'B) D RI'!S63</f>
        <v>64</v>
      </c>
      <c r="F62" s="14">
        <f>'B) D RI'!R63</f>
        <v>11969650.819999998</v>
      </c>
      <c r="G62" s="14">
        <f>'B) D RI'!U63</f>
        <v>187025.79406249998</v>
      </c>
      <c r="H62" s="52">
        <f>'B) D RI'!T63</f>
        <v>11722433.319999998</v>
      </c>
      <c r="I62" s="14">
        <f t="shared" si="3"/>
        <v>366326.04124999995</v>
      </c>
      <c r="J62" s="41">
        <f t="shared" si="6"/>
        <v>81355.985811831764</v>
      </c>
      <c r="K62" s="14">
        <f t="shared" si="1"/>
        <v>81355.985811831764</v>
      </c>
      <c r="L62" s="14">
        <f t="shared" si="4"/>
        <v>0</v>
      </c>
      <c r="M62" s="14">
        <f>'D) Ecrêtage'!M61</f>
        <v>137502.37981916324</v>
      </c>
      <c r="N62" s="14">
        <f t="shared" si="7"/>
        <v>184592.29044169691</v>
      </c>
      <c r="O62" s="74">
        <f t="shared" si="5"/>
        <v>265948.27625352866</v>
      </c>
      <c r="P62" s="290"/>
      <c r="Q62" s="291"/>
      <c r="R62" s="287"/>
      <c r="S62" s="287"/>
      <c r="T62" s="292"/>
    </row>
    <row r="63" spans="1:20" s="286" customFormat="1" x14ac:dyDescent="0.25">
      <c r="A63" s="299">
        <f>'A) Base RI'!A64</f>
        <v>5493</v>
      </c>
      <c r="B63" s="299" t="str">
        <f>'A) Base RI'!B64</f>
        <v>Orny</v>
      </c>
      <c r="C63" s="316">
        <v>0</v>
      </c>
      <c r="D63" s="288">
        <f>'B) D RI'!AR64</f>
        <v>375</v>
      </c>
      <c r="E63" s="289">
        <f>'B) D RI'!S64</f>
        <v>73</v>
      </c>
      <c r="F63" s="14">
        <f>'B) D RI'!R64</f>
        <v>774845.70846153842</v>
      </c>
      <c r="G63" s="14">
        <f>'B) D RI'!U64</f>
        <v>10614.324773445733</v>
      </c>
      <c r="H63" s="52">
        <f>'B) D RI'!T64</f>
        <v>722870.66999999993</v>
      </c>
      <c r="I63" s="14">
        <f t="shared" si="3"/>
        <v>19804.675890410956</v>
      </c>
      <c r="J63" s="41">
        <f t="shared" si="6"/>
        <v>31746.612569653393</v>
      </c>
      <c r="K63" s="14">
        <f t="shared" si="1"/>
        <v>19804.675890410956</v>
      </c>
      <c r="L63" s="14">
        <f t="shared" si="4"/>
        <v>11941.936679242437</v>
      </c>
      <c r="M63" s="14">
        <f>'D) Ecrêtage'!M62</f>
        <v>10614.324773445733</v>
      </c>
      <c r="N63" s="14">
        <f t="shared" si="7"/>
        <v>14249.371712687474</v>
      </c>
      <c r="O63" s="74">
        <f t="shared" si="5"/>
        <v>34054.047603098428</v>
      </c>
      <c r="P63" s="290"/>
      <c r="Q63" s="291"/>
      <c r="R63" s="287"/>
      <c r="S63" s="287"/>
      <c r="T63" s="292"/>
    </row>
    <row r="64" spans="1:20" s="286" customFormat="1" x14ac:dyDescent="0.25">
      <c r="A64" s="299">
        <f>'A) Base RI'!A65</f>
        <v>5494</v>
      </c>
      <c r="B64" s="299" t="str">
        <f>'A) Base RI'!B65</f>
        <v>Pampigny</v>
      </c>
      <c r="C64" s="316">
        <v>0</v>
      </c>
      <c r="D64" s="288">
        <f>'B) D RI'!AR65</f>
        <v>1124</v>
      </c>
      <c r="E64" s="289">
        <f>'B) D RI'!S65</f>
        <v>75</v>
      </c>
      <c r="F64" s="14">
        <f>'B) D RI'!R65</f>
        <v>2548656.8676190479</v>
      </c>
      <c r="G64" s="14">
        <f>'B) D RI'!U65</f>
        <v>33982.091568253971</v>
      </c>
      <c r="H64" s="52">
        <f>'B) D RI'!T65</f>
        <v>2354729.8200000003</v>
      </c>
      <c r="I64" s="14">
        <f t="shared" si="3"/>
        <v>62792.795200000008</v>
      </c>
      <c r="J64" s="41">
        <f t="shared" si="6"/>
        <v>95155.180075441109</v>
      </c>
      <c r="K64" s="14">
        <f t="shared" si="1"/>
        <v>62792.795200000008</v>
      </c>
      <c r="L64" s="14">
        <f t="shared" si="4"/>
        <v>32362.384875441101</v>
      </c>
      <c r="M64" s="14">
        <f>'D) Ecrêtage'!M63</f>
        <v>33982.091568253971</v>
      </c>
      <c r="N64" s="14">
        <f t="shared" si="7"/>
        <v>45619.807634116696</v>
      </c>
      <c r="O64" s="74">
        <f t="shared" si="5"/>
        <v>108412.6028341167</v>
      </c>
      <c r="P64" s="290"/>
      <c r="Q64" s="291"/>
      <c r="R64" s="287"/>
      <c r="S64" s="287"/>
      <c r="T64" s="292"/>
    </row>
    <row r="65" spans="1:20" s="286" customFormat="1" x14ac:dyDescent="0.25">
      <c r="A65" s="299">
        <f>'A) Base RI'!A66</f>
        <v>5495</v>
      </c>
      <c r="B65" s="299" t="str">
        <f>'A) Base RI'!B66</f>
        <v>Penthalaz</v>
      </c>
      <c r="C65" s="316">
        <v>0</v>
      </c>
      <c r="D65" s="288">
        <f>'B) D RI'!AR66</f>
        <v>3241</v>
      </c>
      <c r="E65" s="289">
        <f>'B) D RI'!S66</f>
        <v>74</v>
      </c>
      <c r="F65" s="14">
        <f>'B) D RI'!R66</f>
        <v>7116011.7800000003</v>
      </c>
      <c r="G65" s="14">
        <f>'B) D RI'!U66</f>
        <v>96162.321351351362</v>
      </c>
      <c r="H65" s="52">
        <f>'B) D RI'!T66</f>
        <v>6585899.2800000003</v>
      </c>
      <c r="I65" s="14">
        <f t="shared" si="3"/>
        <v>177997.27783783784</v>
      </c>
      <c r="J65" s="41">
        <f t="shared" si="6"/>
        <v>274375.39023532439</v>
      </c>
      <c r="K65" s="14">
        <f t="shared" si="1"/>
        <v>177997.27783783784</v>
      </c>
      <c r="L65" s="14">
        <f t="shared" si="4"/>
        <v>96378.112397486548</v>
      </c>
      <c r="M65" s="14">
        <f>'D) Ecrêtage'!M64</f>
        <v>96162.321351351362</v>
      </c>
      <c r="N65" s="14">
        <f t="shared" si="7"/>
        <v>129094.66131263695</v>
      </c>
      <c r="O65" s="74">
        <f t="shared" si="5"/>
        <v>307091.93915047479</v>
      </c>
      <c r="P65" s="290"/>
      <c r="Q65" s="291"/>
      <c r="R65" s="287"/>
      <c r="S65" s="287"/>
      <c r="T65" s="292"/>
    </row>
    <row r="66" spans="1:20" s="286" customFormat="1" x14ac:dyDescent="0.25">
      <c r="A66" s="299">
        <f>'A) Base RI'!A67</f>
        <v>5496</v>
      </c>
      <c r="B66" s="299" t="str">
        <f>'A) Base RI'!B67</f>
        <v>Penthaz</v>
      </c>
      <c r="C66" s="316">
        <v>0</v>
      </c>
      <c r="D66" s="288">
        <f>'B) D RI'!AR67</f>
        <v>1653</v>
      </c>
      <c r="E66" s="289">
        <f>'B) D RI'!S67</f>
        <v>71</v>
      </c>
      <c r="F66" s="14">
        <f>'B) D RI'!R67</f>
        <v>3920001.52</v>
      </c>
      <c r="G66" s="14">
        <f>'B) D RI'!U67</f>
        <v>55211.289014084505</v>
      </c>
      <c r="H66" s="52">
        <f>'B) D RI'!T67</f>
        <v>3619379.27</v>
      </c>
      <c r="I66" s="14">
        <f t="shared" si="3"/>
        <v>101954.34563380282</v>
      </c>
      <c r="J66" s="41">
        <f t="shared" si="6"/>
        <v>139939.06820703216</v>
      </c>
      <c r="K66" s="14">
        <f t="shared" si="1"/>
        <v>101954.34563380282</v>
      </c>
      <c r="L66" s="14">
        <f t="shared" si="4"/>
        <v>37984.722573229345</v>
      </c>
      <c r="M66" s="14">
        <f>'D) Ecrêtage'!M65</f>
        <v>55211.289014084505</v>
      </c>
      <c r="N66" s="14">
        <f t="shared" si="7"/>
        <v>74119.286595270925</v>
      </c>
      <c r="O66" s="74">
        <f t="shared" si="5"/>
        <v>176073.63222907373</v>
      </c>
      <c r="P66" s="290"/>
      <c r="Q66" s="291"/>
      <c r="R66" s="287"/>
      <c r="S66" s="287"/>
      <c r="T66" s="292"/>
    </row>
    <row r="67" spans="1:20" s="286" customFormat="1" x14ac:dyDescent="0.25">
      <c r="A67" s="299">
        <f>'A) Base RI'!A68</f>
        <v>5497</v>
      </c>
      <c r="B67" s="299" t="str">
        <f>'A) Base RI'!B68</f>
        <v>Pompaples</v>
      </c>
      <c r="C67" s="316">
        <v>0</v>
      </c>
      <c r="D67" s="288">
        <f>'B) D RI'!AR68</f>
        <v>834</v>
      </c>
      <c r="E67" s="289">
        <f>'B) D RI'!S68</f>
        <v>66</v>
      </c>
      <c r="F67" s="14">
        <f>'B) D RI'!R68</f>
        <v>1466996.0100000002</v>
      </c>
      <c r="G67" s="14">
        <f>'B) D RI'!U68</f>
        <v>22227.212272727276</v>
      </c>
      <c r="H67" s="52">
        <f>'B) D RI'!T68</f>
        <v>1350316.8100000003</v>
      </c>
      <c r="I67" s="14">
        <f t="shared" si="3"/>
        <v>40918.691212121223</v>
      </c>
      <c r="J67" s="41">
        <f t="shared" si="6"/>
        <v>70604.466354909149</v>
      </c>
      <c r="K67" s="14">
        <f t="shared" si="1"/>
        <v>40918.691212121223</v>
      </c>
      <c r="L67" s="14">
        <f t="shared" si="4"/>
        <v>29685.775142787927</v>
      </c>
      <c r="M67" s="14">
        <f>'D) Ecrêtage'!M66</f>
        <v>22227.212272727276</v>
      </c>
      <c r="N67" s="14">
        <f t="shared" si="7"/>
        <v>29839.280083388829</v>
      </c>
      <c r="O67" s="74">
        <f t="shared" si="5"/>
        <v>70757.971295510055</v>
      </c>
      <c r="P67" s="290"/>
      <c r="Q67" s="291"/>
      <c r="R67" s="287"/>
      <c r="S67" s="287"/>
      <c r="T67" s="292"/>
    </row>
    <row r="68" spans="1:20" s="286" customFormat="1" x14ac:dyDescent="0.25">
      <c r="A68" s="299">
        <f>'A) Base RI'!A69</f>
        <v>5498</v>
      </c>
      <c r="B68" s="299" t="str">
        <f>'A) Base RI'!B69</f>
        <v>La Sarraz</v>
      </c>
      <c r="C68" s="316">
        <v>0</v>
      </c>
      <c r="D68" s="288">
        <f>'B) D RI'!AR69</f>
        <v>2559</v>
      </c>
      <c r="E68" s="289">
        <f>'B) D RI'!S69</f>
        <v>64</v>
      </c>
      <c r="F68" s="14">
        <f>'B) D RI'!R69</f>
        <v>4614664.32</v>
      </c>
      <c r="G68" s="14">
        <f>'B) D RI'!U69</f>
        <v>72104.13</v>
      </c>
      <c r="H68" s="52">
        <f>'B) D RI'!T69</f>
        <v>4238209.17</v>
      </c>
      <c r="I68" s="14">
        <f t="shared" si="3"/>
        <v>132444.0365625</v>
      </c>
      <c r="J68" s="41">
        <f t="shared" si="6"/>
        <v>216638.88417531477</v>
      </c>
      <c r="K68" s="14">
        <f t="shared" si="1"/>
        <v>132444.0365625</v>
      </c>
      <c r="L68" s="14">
        <f t="shared" si="4"/>
        <v>84194.847612814774</v>
      </c>
      <c r="M68" s="14">
        <f>'D) Ecrêtage'!M67</f>
        <v>72104.13</v>
      </c>
      <c r="N68" s="14">
        <f t="shared" si="7"/>
        <v>96797.353794969895</v>
      </c>
      <c r="O68" s="74">
        <f t="shared" si="5"/>
        <v>229241.39035746991</v>
      </c>
      <c r="P68" s="290"/>
      <c r="Q68" s="291"/>
      <c r="R68" s="287"/>
      <c r="S68" s="287"/>
      <c r="T68" s="292"/>
    </row>
    <row r="69" spans="1:20" s="286" customFormat="1" x14ac:dyDescent="0.25">
      <c r="A69" s="299">
        <f>'A) Base RI'!A70</f>
        <v>5499</v>
      </c>
      <c r="B69" s="299" t="str">
        <f>'A) Base RI'!B70</f>
        <v>Senarclens</v>
      </c>
      <c r="C69" s="316">
        <v>0</v>
      </c>
      <c r="D69" s="288">
        <f>'B) D RI'!AR70</f>
        <v>451</v>
      </c>
      <c r="E69" s="289">
        <f>'B) D RI'!S70</f>
        <v>68.5</v>
      </c>
      <c r="F69" s="14">
        <f>'B) D RI'!R70</f>
        <v>1486292.15</v>
      </c>
      <c r="G69" s="14">
        <f>'B) D RI'!U70</f>
        <v>21697.695620437953</v>
      </c>
      <c r="H69" s="52">
        <f>'B) D RI'!T70</f>
        <v>1401433.75</v>
      </c>
      <c r="I69" s="14">
        <f t="shared" si="3"/>
        <v>40917.773722627739</v>
      </c>
      <c r="J69" s="41">
        <f t="shared" si="6"/>
        <v>38180.592717103151</v>
      </c>
      <c r="K69" s="14">
        <f t="shared" si="1"/>
        <v>38180.592717103151</v>
      </c>
      <c r="L69" s="14">
        <f t="shared" si="4"/>
        <v>0</v>
      </c>
      <c r="M69" s="14">
        <f>'D) Ecrêtage'!M68</f>
        <v>21697.695620437953</v>
      </c>
      <c r="N69" s="14">
        <f t="shared" si="7"/>
        <v>29128.421901867499</v>
      </c>
      <c r="O69" s="74">
        <f t="shared" si="5"/>
        <v>67309.014618970657</v>
      </c>
      <c r="P69" s="290"/>
      <c r="Q69" s="291"/>
      <c r="R69" s="287"/>
      <c r="S69" s="287"/>
      <c r="T69" s="292"/>
    </row>
    <row r="70" spans="1:20" s="286" customFormat="1" x14ac:dyDescent="0.25">
      <c r="A70" s="299">
        <f>'A) Base RI'!A71</f>
        <v>5500</v>
      </c>
      <c r="B70" s="299" t="str">
        <f>'A) Base RI'!B71</f>
        <v>Sévery</v>
      </c>
      <c r="C70" s="316">
        <v>0</v>
      </c>
      <c r="D70" s="288">
        <f>'B) D RI'!AR71</f>
        <v>231</v>
      </c>
      <c r="E70" s="289">
        <f>'B) D RI'!S71</f>
        <v>76</v>
      </c>
      <c r="F70" s="14">
        <f>'B) D RI'!R71</f>
        <v>514303.59499999997</v>
      </c>
      <c r="G70" s="14">
        <f>'B) D RI'!U71</f>
        <v>6767.1525657894736</v>
      </c>
      <c r="H70" s="52">
        <f>'B) D RI'!T71</f>
        <v>474539.47</v>
      </c>
      <c r="I70" s="14">
        <f t="shared" si="3"/>
        <v>12487.880789473684</v>
      </c>
      <c r="J70" s="41">
        <f t="shared" ref="J70:J101" si="8">+$I$315/$D$315*D70</f>
        <v>19555.91334290649</v>
      </c>
      <c r="K70" s="14">
        <f t="shared" ref="K70:K133" si="9">IF(C70=1,0,IF(J70&gt;I70,I70,J70))</f>
        <v>12487.880789473684</v>
      </c>
      <c r="L70" s="14">
        <f t="shared" si="4"/>
        <v>7068.0325534328058</v>
      </c>
      <c r="M70" s="14">
        <f>'D) Ecrêtage'!M69</f>
        <v>6767.1525657894736</v>
      </c>
      <c r="N70" s="14">
        <f t="shared" ref="N70:N133" si="10">+$N$5*M70</f>
        <v>9084.6732509672056</v>
      </c>
      <c r="O70" s="74">
        <f t="shared" ref="O70:O133" si="11">+N70+K70</f>
        <v>21572.554040440889</v>
      </c>
      <c r="P70" s="290"/>
      <c r="Q70" s="291"/>
      <c r="R70" s="287"/>
      <c r="S70" s="287"/>
      <c r="T70" s="292"/>
    </row>
    <row r="71" spans="1:20" s="286" customFormat="1" x14ac:dyDescent="0.25">
      <c r="A71" s="299">
        <f>'A) Base RI'!A72</f>
        <v>5501</v>
      </c>
      <c r="B71" s="299" t="str">
        <f>'A) Base RI'!B72</f>
        <v>Sullens</v>
      </c>
      <c r="C71" s="316">
        <v>0</v>
      </c>
      <c r="D71" s="288">
        <f>'B) D RI'!AR72</f>
        <v>925</v>
      </c>
      <c r="E71" s="289">
        <f>'B) D RI'!S72</f>
        <v>70</v>
      </c>
      <c r="F71" s="14">
        <f>'B) D RI'!R72</f>
        <v>2512149.6300000004</v>
      </c>
      <c r="G71" s="14">
        <f>'B) D RI'!U72</f>
        <v>35887.851857142865</v>
      </c>
      <c r="H71" s="52">
        <f>'B) D RI'!T72</f>
        <v>2334007.5300000003</v>
      </c>
      <c r="I71" s="14">
        <f t="shared" ref="I71:I134" si="12">+H71/E71*$I$5</f>
        <v>66685.929428571442</v>
      </c>
      <c r="J71" s="41">
        <f t="shared" si="8"/>
        <v>78308.311005145035</v>
      </c>
      <c r="K71" s="14">
        <f t="shared" si="9"/>
        <v>66685.929428571442</v>
      </c>
      <c r="L71" s="14">
        <f t="shared" ref="L71:L134" si="13">+J71-K71</f>
        <v>11622.381576573593</v>
      </c>
      <c r="M71" s="14">
        <f>'D) Ecrêtage'!M70</f>
        <v>35887.851857142865</v>
      </c>
      <c r="N71" s="14">
        <f t="shared" si="10"/>
        <v>48178.226311826038</v>
      </c>
      <c r="O71" s="74">
        <f t="shared" si="11"/>
        <v>114864.15574039749</v>
      </c>
      <c r="P71" s="290"/>
      <c r="Q71" s="291"/>
      <c r="R71" s="287"/>
      <c r="S71" s="287"/>
      <c r="T71" s="292"/>
    </row>
    <row r="72" spans="1:20" s="286" customFormat="1" x14ac:dyDescent="0.25">
      <c r="A72" s="299">
        <f>'A) Base RI'!A73</f>
        <v>5503</v>
      </c>
      <c r="B72" s="299" t="str">
        <f>'A) Base RI'!B73</f>
        <v>Vufflens-la-Ville</v>
      </c>
      <c r="C72" s="316">
        <v>0</v>
      </c>
      <c r="D72" s="288">
        <f>'B) D RI'!AR73</f>
        <v>1216</v>
      </c>
      <c r="E72" s="289">
        <f>'B) D RI'!S73</f>
        <v>67</v>
      </c>
      <c r="F72" s="14">
        <f>'B) D RI'!R73</f>
        <v>4112422.9033333333</v>
      </c>
      <c r="G72" s="14">
        <f>'B) D RI'!U73</f>
        <v>61379.446318407958</v>
      </c>
      <c r="H72" s="52">
        <f>'B) D RI'!T73</f>
        <v>3809592.32</v>
      </c>
      <c r="I72" s="14">
        <f t="shared" si="12"/>
        <v>113719.17373134328</v>
      </c>
      <c r="J72" s="41">
        <f t="shared" si="8"/>
        <v>102943.68235919607</v>
      </c>
      <c r="K72" s="14">
        <f t="shared" si="9"/>
        <v>102943.68235919607</v>
      </c>
      <c r="L72" s="14">
        <f t="shared" si="13"/>
        <v>0</v>
      </c>
      <c r="M72" s="14">
        <f>'D) Ecrêtage'!M71</f>
        <v>61379.446318407958</v>
      </c>
      <c r="N72" s="14">
        <f t="shared" si="10"/>
        <v>82399.828983753046</v>
      </c>
      <c r="O72" s="74">
        <f t="shared" si="11"/>
        <v>185343.51134294912</v>
      </c>
      <c r="P72" s="290"/>
      <c r="Q72" s="291"/>
      <c r="R72" s="287"/>
      <c r="S72" s="287"/>
      <c r="T72" s="292"/>
    </row>
    <row r="73" spans="1:20" s="286" customFormat="1" x14ac:dyDescent="0.25">
      <c r="A73" s="299">
        <f>'A) Base RI'!A74</f>
        <v>5511</v>
      </c>
      <c r="B73" s="299" t="str">
        <f>'A) Base RI'!B74</f>
        <v>Assens</v>
      </c>
      <c r="C73" s="316">
        <v>0</v>
      </c>
      <c r="D73" s="288">
        <f>'B) D RI'!AR74</f>
        <v>1031</v>
      </c>
      <c r="E73" s="289">
        <f>'B) D RI'!S74</f>
        <v>70</v>
      </c>
      <c r="F73" s="14">
        <f>'B) D RI'!R74</f>
        <v>2899582.88</v>
      </c>
      <c r="G73" s="14">
        <f>'B) D RI'!U74</f>
        <v>41422.612571428566</v>
      </c>
      <c r="H73" s="52">
        <f>'B) D RI'!T74</f>
        <v>2691040.13</v>
      </c>
      <c r="I73" s="14">
        <f t="shared" si="12"/>
        <v>76886.860857142849</v>
      </c>
      <c r="J73" s="41">
        <f t="shared" si="8"/>
        <v>87282.02015816707</v>
      </c>
      <c r="K73" s="14">
        <f t="shared" si="9"/>
        <v>76886.860857142849</v>
      </c>
      <c r="L73" s="14">
        <f t="shared" si="13"/>
        <v>10395.159301024221</v>
      </c>
      <c r="M73" s="14">
        <f>'D) Ecrêtage'!M72</f>
        <v>41422.612571428566</v>
      </c>
      <c r="N73" s="14">
        <f t="shared" si="10"/>
        <v>55608.455218702984</v>
      </c>
      <c r="O73" s="74">
        <f t="shared" si="11"/>
        <v>132495.31607584583</v>
      </c>
      <c r="P73" s="290"/>
      <c r="Q73" s="291"/>
      <c r="R73" s="287"/>
      <c r="S73" s="287"/>
      <c r="T73" s="292"/>
    </row>
    <row r="74" spans="1:20" s="286" customFormat="1" x14ac:dyDescent="0.25">
      <c r="A74" s="299">
        <f>'A) Base RI'!A75</f>
        <v>5512</v>
      </c>
      <c r="B74" s="299" t="str">
        <f>'A) Base RI'!B75</f>
        <v>Bercher</v>
      </c>
      <c r="C74" s="316">
        <v>0</v>
      </c>
      <c r="D74" s="288">
        <f>'B) D RI'!AR75</f>
        <v>1148</v>
      </c>
      <c r="E74" s="289">
        <f>'B) D RI'!S75</f>
        <v>79</v>
      </c>
      <c r="F74" s="14">
        <f>'B) D RI'!R75</f>
        <v>2534256.15</v>
      </c>
      <c r="G74" s="14">
        <f>'B) D RI'!U75</f>
        <v>32079.191772151898</v>
      </c>
      <c r="H74" s="52">
        <f>'B) D RI'!T75</f>
        <v>2308571.85</v>
      </c>
      <c r="I74" s="14">
        <f t="shared" si="12"/>
        <v>58444.856962025318</v>
      </c>
      <c r="J74" s="41">
        <f t="shared" si="8"/>
        <v>97186.963279898919</v>
      </c>
      <c r="K74" s="14">
        <f t="shared" si="9"/>
        <v>58444.856962025318</v>
      </c>
      <c r="L74" s="14">
        <f t="shared" si="13"/>
        <v>38742.1063178736</v>
      </c>
      <c r="M74" s="14">
        <f>'D) Ecrêtage'!M73</f>
        <v>32079.191772151898</v>
      </c>
      <c r="N74" s="14">
        <f t="shared" si="10"/>
        <v>43065.229071145783</v>
      </c>
      <c r="O74" s="74">
        <f t="shared" si="11"/>
        <v>101510.0860331711</v>
      </c>
      <c r="P74" s="290"/>
      <c r="Q74" s="291"/>
      <c r="R74" s="287"/>
      <c r="S74" s="287"/>
      <c r="T74" s="292"/>
    </row>
    <row r="75" spans="1:20" s="286" customFormat="1" x14ac:dyDescent="0.25">
      <c r="A75" s="299">
        <f>'A) Base RI'!A76</f>
        <v>5513</v>
      </c>
      <c r="B75" s="299" t="str">
        <f>'A) Base RI'!B76</f>
        <v>Bioley-Orjulaz</v>
      </c>
      <c r="C75" s="316">
        <v>0</v>
      </c>
      <c r="D75" s="288">
        <f>'B) D RI'!AR76</f>
        <v>471</v>
      </c>
      <c r="E75" s="289">
        <f>'B) D RI'!S76</f>
        <v>66</v>
      </c>
      <c r="F75" s="14">
        <f>'B) D RI'!R76</f>
        <v>1585615.1199999999</v>
      </c>
      <c r="G75" s="14">
        <f>'B) D RI'!U76</f>
        <v>24024.471515151512</v>
      </c>
      <c r="H75" s="52">
        <f>'B) D RI'!T76</f>
        <v>1488334.6199999999</v>
      </c>
      <c r="I75" s="14">
        <f t="shared" si="12"/>
        <v>45101.049090909088</v>
      </c>
      <c r="J75" s="41">
        <f t="shared" si="8"/>
        <v>39873.745387484661</v>
      </c>
      <c r="K75" s="14">
        <f t="shared" si="9"/>
        <v>39873.745387484661</v>
      </c>
      <c r="L75" s="14">
        <f t="shared" si="13"/>
        <v>0</v>
      </c>
      <c r="M75" s="14">
        <f>'D) Ecrêtage'!M74</f>
        <v>24024.471515151512</v>
      </c>
      <c r="N75" s="14">
        <f t="shared" si="10"/>
        <v>32252.039778987659</v>
      </c>
      <c r="O75" s="74">
        <f t="shared" si="11"/>
        <v>72125.785166472313</v>
      </c>
      <c r="P75" s="290"/>
      <c r="Q75" s="291"/>
      <c r="R75" s="287"/>
      <c r="S75" s="287"/>
      <c r="T75" s="292"/>
    </row>
    <row r="76" spans="1:20" s="286" customFormat="1" x14ac:dyDescent="0.25">
      <c r="A76" s="299">
        <f>'A) Base RI'!A77</f>
        <v>5514</v>
      </c>
      <c r="B76" s="299" t="str">
        <f>'A) Base RI'!B77</f>
        <v>Bottens</v>
      </c>
      <c r="C76" s="316">
        <v>0</v>
      </c>
      <c r="D76" s="288">
        <f>'B) D RI'!AR77</f>
        <v>1220</v>
      </c>
      <c r="E76" s="289">
        <f>'B) D RI'!S77</f>
        <v>69</v>
      </c>
      <c r="F76" s="14">
        <f>'B) D RI'!R77</f>
        <v>2645920.9499999997</v>
      </c>
      <c r="G76" s="14">
        <f>'B) D RI'!U77</f>
        <v>38346.680434782604</v>
      </c>
      <c r="H76" s="52">
        <f>'B) D RI'!T77</f>
        <v>2439861.4499999997</v>
      </c>
      <c r="I76" s="14">
        <f t="shared" si="12"/>
        <v>70720.621739130424</v>
      </c>
      <c r="J76" s="41">
        <f t="shared" si="8"/>
        <v>103282.31289327238</v>
      </c>
      <c r="K76" s="14">
        <f t="shared" si="9"/>
        <v>70720.621739130424</v>
      </c>
      <c r="L76" s="14">
        <f t="shared" si="13"/>
        <v>32561.691154141954</v>
      </c>
      <c r="M76" s="14">
        <f>'D) Ecrêtage'!M75</f>
        <v>38346.680434782604</v>
      </c>
      <c r="N76" s="14">
        <f t="shared" si="10"/>
        <v>51479.1204457817</v>
      </c>
      <c r="O76" s="74">
        <f t="shared" si="11"/>
        <v>122199.74218491212</v>
      </c>
      <c r="P76" s="290"/>
      <c r="Q76" s="291"/>
      <c r="R76" s="287"/>
      <c r="S76" s="287"/>
      <c r="T76" s="292"/>
    </row>
    <row r="77" spans="1:20" s="286" customFormat="1" x14ac:dyDescent="0.25">
      <c r="A77" s="299">
        <f>'A) Base RI'!A78</f>
        <v>5515</v>
      </c>
      <c r="B77" s="299" t="str">
        <f>'A) Base RI'!B78</f>
        <v>Bretigny-sur-Morrens</v>
      </c>
      <c r="C77" s="316">
        <v>0</v>
      </c>
      <c r="D77" s="288">
        <f>'B) D RI'!AR78</f>
        <v>797</v>
      </c>
      <c r="E77" s="289">
        <f>'B) D RI'!S78</f>
        <v>73</v>
      </c>
      <c r="F77" s="14">
        <f>'B) D RI'!R78</f>
        <v>1777210.2900000003</v>
      </c>
      <c r="G77" s="14">
        <f>'B) D RI'!U78</f>
        <v>24345.34643835617</v>
      </c>
      <c r="H77" s="52">
        <f>'B) D RI'!T78</f>
        <v>1641595.4400000002</v>
      </c>
      <c r="I77" s="14">
        <f t="shared" si="12"/>
        <v>44975.217534246578</v>
      </c>
      <c r="J77" s="41">
        <f t="shared" si="8"/>
        <v>67472.133914703343</v>
      </c>
      <c r="K77" s="14">
        <f t="shared" si="9"/>
        <v>44975.217534246578</v>
      </c>
      <c r="L77" s="14">
        <f t="shared" si="13"/>
        <v>22496.916380456765</v>
      </c>
      <c r="M77" s="14">
        <f>'D) Ecrêtage'!M76</f>
        <v>24345.34643835617</v>
      </c>
      <c r="N77" s="14">
        <f t="shared" si="10"/>
        <v>32682.803501750488</v>
      </c>
      <c r="O77" s="74">
        <f t="shared" si="11"/>
        <v>77658.021035997066</v>
      </c>
      <c r="P77" s="290"/>
      <c r="Q77" s="291"/>
      <c r="R77" s="287"/>
      <c r="S77" s="287"/>
      <c r="T77" s="292"/>
    </row>
    <row r="78" spans="1:20" s="286" customFormat="1" x14ac:dyDescent="0.25">
      <c r="A78" s="299">
        <f>'A) Base RI'!A79</f>
        <v>5516</v>
      </c>
      <c r="B78" s="299" t="str">
        <f>'A) Base RI'!B79</f>
        <v>Cugy</v>
      </c>
      <c r="C78" s="316">
        <v>0</v>
      </c>
      <c r="D78" s="288">
        <f>'B) D RI'!AR79</f>
        <v>2755</v>
      </c>
      <c r="E78" s="289">
        <f>'B) D RI'!S79</f>
        <v>67</v>
      </c>
      <c r="F78" s="14">
        <f>'B) D RI'!R79</f>
        <v>7030656.8600000003</v>
      </c>
      <c r="G78" s="14">
        <f>'B) D RI'!U79</f>
        <v>104935.17701492537</v>
      </c>
      <c r="H78" s="52">
        <f>'B) D RI'!T79</f>
        <v>6466504.5100000007</v>
      </c>
      <c r="I78" s="14">
        <f t="shared" si="12"/>
        <v>193029.98537313435</v>
      </c>
      <c r="J78" s="41">
        <f t="shared" si="8"/>
        <v>233231.78034505359</v>
      </c>
      <c r="K78" s="14">
        <f t="shared" si="9"/>
        <v>193029.98537313435</v>
      </c>
      <c r="L78" s="14">
        <f t="shared" si="13"/>
        <v>40201.79497191924</v>
      </c>
      <c r="M78" s="14">
        <f>'D) Ecrêtage'!M77</f>
        <v>104935.17701492537</v>
      </c>
      <c r="N78" s="14">
        <f t="shared" si="10"/>
        <v>140871.92307918458</v>
      </c>
      <c r="O78" s="74">
        <f t="shared" si="11"/>
        <v>333901.90845231892</v>
      </c>
      <c r="P78" s="290"/>
      <c r="Q78" s="291"/>
      <c r="R78" s="287"/>
      <c r="S78" s="287"/>
      <c r="T78" s="292"/>
    </row>
    <row r="79" spans="1:20" s="286" customFormat="1" x14ac:dyDescent="0.25">
      <c r="A79" s="299">
        <f>'A) Base RI'!A80</f>
        <v>5518</v>
      </c>
      <c r="B79" s="299" t="str">
        <f>'A) Base RI'!B80</f>
        <v>Echallens</v>
      </c>
      <c r="C79" s="316">
        <v>0</v>
      </c>
      <c r="D79" s="288">
        <f>'B) D RI'!AR80</f>
        <v>5606</v>
      </c>
      <c r="E79" s="289">
        <f>'B) D RI'!S80</f>
        <v>74</v>
      </c>
      <c r="F79" s="14">
        <f>'B) D RI'!R80</f>
        <v>13425314.069999998</v>
      </c>
      <c r="G79" s="14">
        <f>'B) D RI'!U80</f>
        <v>181423.1631081081</v>
      </c>
      <c r="H79" s="52">
        <f>'B) D RI'!T80</f>
        <v>12464435.169999998</v>
      </c>
      <c r="I79" s="14">
        <f t="shared" si="12"/>
        <v>336876.62621621619</v>
      </c>
      <c r="J79" s="41">
        <f t="shared" si="8"/>
        <v>474590.69350793847</v>
      </c>
      <c r="K79" s="14">
        <f t="shared" si="9"/>
        <v>336876.62621621619</v>
      </c>
      <c r="L79" s="14">
        <f t="shared" si="13"/>
        <v>137714.06729172228</v>
      </c>
      <c r="M79" s="14">
        <f>'D) Ecrêtage'!M78</f>
        <v>181423.1631081081</v>
      </c>
      <c r="N79" s="14">
        <f t="shared" si="10"/>
        <v>243554.45528540557</v>
      </c>
      <c r="O79" s="74">
        <f t="shared" si="11"/>
        <v>580431.08150162175</v>
      </c>
      <c r="P79" s="290"/>
      <c r="Q79" s="291"/>
      <c r="R79" s="287"/>
      <c r="S79" s="287"/>
      <c r="T79" s="292"/>
    </row>
    <row r="80" spans="1:20" s="286" customFormat="1" x14ac:dyDescent="0.25">
      <c r="A80" s="299">
        <f>'A) Base RI'!A81</f>
        <v>5520</v>
      </c>
      <c r="B80" s="299" t="str">
        <f>'A) Base RI'!B81</f>
        <v>Essertines-sur-Yverdon</v>
      </c>
      <c r="C80" s="316">
        <v>0</v>
      </c>
      <c r="D80" s="288">
        <f>'B) D RI'!AR81</f>
        <v>945</v>
      </c>
      <c r="E80" s="289">
        <f>'B) D RI'!S81</f>
        <v>73</v>
      </c>
      <c r="F80" s="14">
        <f>'B) D RI'!R81</f>
        <v>2045575.31</v>
      </c>
      <c r="G80" s="14">
        <f>'B) D RI'!U81</f>
        <v>28021.579589041095</v>
      </c>
      <c r="H80" s="52">
        <f>'B) D RI'!T81</f>
        <v>1879994.9100000001</v>
      </c>
      <c r="I80" s="14">
        <f t="shared" si="12"/>
        <v>51506.709863013704</v>
      </c>
      <c r="J80" s="41">
        <f t="shared" si="8"/>
        <v>80001.463675526553</v>
      </c>
      <c r="K80" s="14">
        <f t="shared" si="9"/>
        <v>51506.709863013704</v>
      </c>
      <c r="L80" s="14">
        <f t="shared" si="13"/>
        <v>28494.753812512849</v>
      </c>
      <c r="M80" s="14">
        <f>'D) Ecrêtage'!M79</f>
        <v>28021.579589041095</v>
      </c>
      <c r="N80" s="14">
        <f t="shared" si="10"/>
        <v>37618.022065786216</v>
      </c>
      <c r="O80" s="74">
        <f t="shared" si="11"/>
        <v>89124.731928799913</v>
      </c>
      <c r="P80" s="290"/>
      <c r="Q80" s="291"/>
      <c r="R80" s="287"/>
      <c r="S80" s="287"/>
      <c r="T80" s="292"/>
    </row>
    <row r="81" spans="1:20" s="286" customFormat="1" x14ac:dyDescent="0.25">
      <c r="A81" s="299">
        <f>'A) Base RI'!A82</f>
        <v>5521</v>
      </c>
      <c r="B81" s="299" t="str">
        <f>'A) Base RI'!B82</f>
        <v>Etagnières</v>
      </c>
      <c r="C81" s="316">
        <v>0</v>
      </c>
      <c r="D81" s="288">
        <f>'B) D RI'!AR82</f>
        <v>1146</v>
      </c>
      <c r="E81" s="289">
        <f>'B) D RI'!S82</f>
        <v>73</v>
      </c>
      <c r="F81" s="14">
        <f>'B) D RI'!R82</f>
        <v>2958890.74</v>
      </c>
      <c r="G81" s="14">
        <f>'B) D RI'!U82</f>
        <v>40532.749863013705</v>
      </c>
      <c r="H81" s="52">
        <f>'B) D RI'!T82</f>
        <v>2745376.64</v>
      </c>
      <c r="I81" s="14">
        <f t="shared" si="12"/>
        <v>75215.798356164392</v>
      </c>
      <c r="J81" s="41">
        <f t="shared" si="8"/>
        <v>97017.648012860765</v>
      </c>
      <c r="K81" s="14">
        <f t="shared" si="9"/>
        <v>75215.798356164392</v>
      </c>
      <c r="L81" s="14">
        <f t="shared" si="13"/>
        <v>21801.849656696373</v>
      </c>
      <c r="M81" s="14">
        <f>'D) Ecrêtage'!M80</f>
        <v>40532.749863013705</v>
      </c>
      <c r="N81" s="14">
        <f t="shared" si="10"/>
        <v>54413.844654573259</v>
      </c>
      <c r="O81" s="74">
        <f t="shared" si="11"/>
        <v>129629.64301073765</v>
      </c>
      <c r="P81" s="290"/>
      <c r="Q81" s="291"/>
      <c r="R81" s="287"/>
      <c r="S81" s="287"/>
      <c r="T81" s="292"/>
    </row>
    <row r="82" spans="1:20" s="286" customFormat="1" x14ac:dyDescent="0.25">
      <c r="A82" s="299">
        <f>'A) Base RI'!A83</f>
        <v>5522</v>
      </c>
      <c r="B82" s="299" t="str">
        <f>'A) Base RI'!B83</f>
        <v>Fey</v>
      </c>
      <c r="C82" s="316">
        <v>0</v>
      </c>
      <c r="D82" s="288">
        <f>'B) D RI'!AR83</f>
        <v>635</v>
      </c>
      <c r="E82" s="289">
        <f>'B) D RI'!S83</f>
        <v>75</v>
      </c>
      <c r="F82" s="14">
        <f>'B) D RI'!R83</f>
        <v>1366388.43</v>
      </c>
      <c r="G82" s="14">
        <f>'B) D RI'!U83</f>
        <v>18218.5124</v>
      </c>
      <c r="H82" s="52">
        <f>'B) D RI'!T83</f>
        <v>1257227.73</v>
      </c>
      <c r="I82" s="14">
        <f t="shared" si="12"/>
        <v>33526.072800000002</v>
      </c>
      <c r="J82" s="41">
        <f t="shared" si="8"/>
        <v>53757.597284613083</v>
      </c>
      <c r="K82" s="14">
        <f t="shared" si="9"/>
        <v>33526.072800000002</v>
      </c>
      <c r="L82" s="14">
        <f t="shared" si="13"/>
        <v>20231.524484613081</v>
      </c>
      <c r="M82" s="14">
        <f>'D) Ecrêtage'!M81</f>
        <v>18218.5124</v>
      </c>
      <c r="N82" s="14">
        <f t="shared" si="10"/>
        <v>24457.736199033898</v>
      </c>
      <c r="O82" s="74">
        <f t="shared" si="11"/>
        <v>57983.808999033899</v>
      </c>
      <c r="P82" s="290"/>
      <c r="Q82" s="291"/>
      <c r="R82" s="287"/>
      <c r="S82" s="287"/>
      <c r="T82" s="292"/>
    </row>
    <row r="83" spans="1:20" s="286" customFormat="1" x14ac:dyDescent="0.25">
      <c r="A83" s="299">
        <f>'A) Base RI'!A84</f>
        <v>5523</v>
      </c>
      <c r="B83" s="299" t="str">
        <f>'A) Base RI'!B84</f>
        <v>Froideville</v>
      </c>
      <c r="C83" s="316">
        <v>0</v>
      </c>
      <c r="D83" s="288">
        <f>'B) D RI'!AR84</f>
        <v>2422</v>
      </c>
      <c r="E83" s="289">
        <f>'B) D RI'!S84</f>
        <v>76</v>
      </c>
      <c r="F83" s="14">
        <f>'B) D RI'!R84</f>
        <v>5914293.9900000002</v>
      </c>
      <c r="G83" s="14">
        <f>'B) D RI'!U84</f>
        <v>77819.657763157898</v>
      </c>
      <c r="H83" s="52">
        <f>'B) D RI'!T84</f>
        <v>5456126.2300000004</v>
      </c>
      <c r="I83" s="14">
        <f t="shared" si="12"/>
        <v>143582.26921052634</v>
      </c>
      <c r="J83" s="41">
        <f t="shared" si="8"/>
        <v>205040.78838320138</v>
      </c>
      <c r="K83" s="14">
        <f t="shared" si="9"/>
        <v>143582.26921052634</v>
      </c>
      <c r="L83" s="14">
        <f t="shared" si="13"/>
        <v>61458.519172675034</v>
      </c>
      <c r="M83" s="14">
        <f>'D) Ecrêtage'!M82</f>
        <v>77819.657763157898</v>
      </c>
      <c r="N83" s="14">
        <f t="shared" si="10"/>
        <v>104470.25634598006</v>
      </c>
      <c r="O83" s="74">
        <f t="shared" si="11"/>
        <v>248052.52555650641</v>
      </c>
      <c r="P83" s="290"/>
      <c r="Q83" s="291"/>
      <c r="R83" s="287"/>
      <c r="S83" s="287"/>
      <c r="T83" s="292"/>
    </row>
    <row r="84" spans="1:20" s="286" customFormat="1" x14ac:dyDescent="0.25">
      <c r="A84" s="299">
        <f>'A) Base RI'!A85</f>
        <v>5527</v>
      </c>
      <c r="B84" s="299" t="str">
        <f>'A) Base RI'!B85</f>
        <v>Morrens</v>
      </c>
      <c r="C84" s="316">
        <v>0</v>
      </c>
      <c r="D84" s="288">
        <f>'B) D RI'!AR85</f>
        <v>1055</v>
      </c>
      <c r="E84" s="289">
        <f>'B) D RI'!S85</f>
        <v>71</v>
      </c>
      <c r="F84" s="14">
        <f>'B) D RI'!R85</f>
        <v>2626906.0799999996</v>
      </c>
      <c r="G84" s="14">
        <f>'B) D RI'!U85</f>
        <v>36998.677183098589</v>
      </c>
      <c r="H84" s="52">
        <f>'B) D RI'!T85</f>
        <v>2432944.6799999997</v>
      </c>
      <c r="I84" s="14">
        <f t="shared" si="12"/>
        <v>68533.652957746468</v>
      </c>
      <c r="J84" s="41">
        <f t="shared" si="8"/>
        <v>89313.80336262488</v>
      </c>
      <c r="K84" s="14">
        <f t="shared" si="9"/>
        <v>68533.652957746468</v>
      </c>
      <c r="L84" s="14">
        <f t="shared" si="13"/>
        <v>20780.150404878412</v>
      </c>
      <c r="M84" s="14">
        <f>'D) Ecrêtage'!M83</f>
        <v>36998.677183098589</v>
      </c>
      <c r="N84" s="14">
        <f t="shared" si="10"/>
        <v>49669.471710403748</v>
      </c>
      <c r="O84" s="74">
        <f t="shared" si="11"/>
        <v>118203.12466815021</v>
      </c>
      <c r="P84" s="290"/>
      <c r="Q84" s="291"/>
      <c r="R84" s="287"/>
      <c r="S84" s="287"/>
      <c r="T84" s="292"/>
    </row>
    <row r="85" spans="1:20" s="286" customFormat="1" x14ac:dyDescent="0.25">
      <c r="A85" s="299">
        <f>'A) Base RI'!A86</f>
        <v>5529</v>
      </c>
      <c r="B85" s="299" t="str">
        <f>'A) Base RI'!B86</f>
        <v>Oulens-sous-Echallens</v>
      </c>
      <c r="C85" s="316">
        <v>0</v>
      </c>
      <c r="D85" s="288">
        <f>'B) D RI'!AR86</f>
        <v>532</v>
      </c>
      <c r="E85" s="289">
        <f>'B) D RI'!S86</f>
        <v>71</v>
      </c>
      <c r="F85" s="14">
        <f>'B) D RI'!R86</f>
        <v>1194996.75</v>
      </c>
      <c r="G85" s="14">
        <f>'B) D RI'!U86</f>
        <v>16830.940140845072</v>
      </c>
      <c r="H85" s="52">
        <f>'B) D RI'!T86</f>
        <v>1092821.3500000001</v>
      </c>
      <c r="I85" s="14">
        <f t="shared" si="12"/>
        <v>30783.700000000004</v>
      </c>
      <c r="J85" s="41">
        <f t="shared" si="8"/>
        <v>45037.861032148285</v>
      </c>
      <c r="K85" s="14">
        <f t="shared" si="9"/>
        <v>30783.700000000004</v>
      </c>
      <c r="L85" s="14">
        <f t="shared" si="13"/>
        <v>14254.16103214828</v>
      </c>
      <c r="M85" s="14">
        <f>'D) Ecrêtage'!M84</f>
        <v>16830.940140845072</v>
      </c>
      <c r="N85" s="14">
        <f t="shared" si="10"/>
        <v>22594.967410540019</v>
      </c>
      <c r="O85" s="74">
        <f t="shared" si="11"/>
        <v>53378.667410540023</v>
      </c>
      <c r="P85" s="290"/>
      <c r="Q85" s="291"/>
      <c r="R85" s="287"/>
      <c r="S85" s="287"/>
      <c r="T85" s="292"/>
    </row>
    <row r="86" spans="1:20" s="286" customFormat="1" x14ac:dyDescent="0.25">
      <c r="A86" s="299">
        <f>'A) Base RI'!A87</f>
        <v>5530</v>
      </c>
      <c r="B86" s="299" t="str">
        <f>'A) Base RI'!B87</f>
        <v>Pailly</v>
      </c>
      <c r="C86" s="316">
        <v>0</v>
      </c>
      <c r="D86" s="288">
        <f>'B) D RI'!AR87</f>
        <v>533</v>
      </c>
      <c r="E86" s="289">
        <f>'B) D RI'!S87</f>
        <v>77.5</v>
      </c>
      <c r="F86" s="14">
        <f>'B) D RI'!R87</f>
        <v>1239079.0033333332</v>
      </c>
      <c r="G86" s="14">
        <f>'B) D RI'!U87</f>
        <v>15988.116172043008</v>
      </c>
      <c r="H86" s="52">
        <f>'B) D RI'!T87</f>
        <v>1151091.17</v>
      </c>
      <c r="I86" s="14">
        <f t="shared" si="12"/>
        <v>29705.57858064516</v>
      </c>
      <c r="J86" s="41">
        <f t="shared" si="8"/>
        <v>45122.518665667354</v>
      </c>
      <c r="K86" s="14">
        <f t="shared" si="9"/>
        <v>29705.57858064516</v>
      </c>
      <c r="L86" s="14">
        <f t="shared" si="13"/>
        <v>15416.940085022194</v>
      </c>
      <c r="M86" s="14">
        <f>'D) Ecrêtage'!M85</f>
        <v>15988.116172043008</v>
      </c>
      <c r="N86" s="14">
        <f t="shared" si="10"/>
        <v>21463.504762075721</v>
      </c>
      <c r="O86" s="74">
        <f t="shared" si="11"/>
        <v>51169.083342720885</v>
      </c>
      <c r="P86" s="290"/>
      <c r="Q86" s="291"/>
      <c r="R86" s="287"/>
      <c r="S86" s="287"/>
      <c r="T86" s="292"/>
    </row>
    <row r="87" spans="1:20" s="286" customFormat="1" x14ac:dyDescent="0.25">
      <c r="A87" s="299">
        <f>'A) Base RI'!A88</f>
        <v>5531</v>
      </c>
      <c r="B87" s="299" t="str">
        <f>'A) Base RI'!B88</f>
        <v>Penthéréaz</v>
      </c>
      <c r="C87" s="316">
        <v>0</v>
      </c>
      <c r="D87" s="288">
        <f>'B) D RI'!AR88</f>
        <v>389</v>
      </c>
      <c r="E87" s="289">
        <f>'B) D RI'!S88</f>
        <v>78</v>
      </c>
      <c r="F87" s="14">
        <f>'B) D RI'!R88</f>
        <v>907038.36</v>
      </c>
      <c r="G87" s="14">
        <f>'B) D RI'!U88</f>
        <v>11628.696923076923</v>
      </c>
      <c r="H87" s="52">
        <f>'B) D RI'!T88</f>
        <v>838723.51</v>
      </c>
      <c r="I87" s="14">
        <f t="shared" si="12"/>
        <v>21505.731025641027</v>
      </c>
      <c r="J87" s="41">
        <f t="shared" si="8"/>
        <v>32931.819438920451</v>
      </c>
      <c r="K87" s="14">
        <f t="shared" si="9"/>
        <v>21505.731025641027</v>
      </c>
      <c r="L87" s="14">
        <f t="shared" si="13"/>
        <v>11426.088413279424</v>
      </c>
      <c r="M87" s="14">
        <f>'D) Ecrêtage'!M86</f>
        <v>11628.696923076923</v>
      </c>
      <c r="N87" s="14">
        <f t="shared" si="10"/>
        <v>15611.13198699651</v>
      </c>
      <c r="O87" s="74">
        <f t="shared" si="11"/>
        <v>37116.863012637536</v>
      </c>
      <c r="P87" s="290"/>
      <c r="Q87" s="291"/>
      <c r="R87" s="287"/>
      <c r="S87" s="287"/>
      <c r="T87" s="292"/>
    </row>
    <row r="88" spans="1:20" s="286" customFormat="1" x14ac:dyDescent="0.25">
      <c r="A88" s="299">
        <f>'A) Base RI'!A89</f>
        <v>5533</v>
      </c>
      <c r="B88" s="299" t="str">
        <f>'A) Base RI'!B89</f>
        <v>Poliez-Pittet</v>
      </c>
      <c r="C88" s="316">
        <v>0</v>
      </c>
      <c r="D88" s="288">
        <f>'B) D RI'!AR89</f>
        <v>815</v>
      </c>
      <c r="E88" s="289">
        <f>'B) D RI'!S89</f>
        <v>71</v>
      </c>
      <c r="F88" s="14">
        <f>'B) D RI'!R89</f>
        <v>1511371.0166666666</v>
      </c>
      <c r="G88" s="14">
        <f>'B) D RI'!U89</f>
        <v>21286.915727699528</v>
      </c>
      <c r="H88" s="52">
        <f>'B) D RI'!T89</f>
        <v>1383010.3499999999</v>
      </c>
      <c r="I88" s="14">
        <f t="shared" si="12"/>
        <v>38958.038028169009</v>
      </c>
      <c r="J88" s="41">
        <f t="shared" si="8"/>
        <v>68995.971318046708</v>
      </c>
      <c r="K88" s="14">
        <f t="shared" si="9"/>
        <v>38958.038028169009</v>
      </c>
      <c r="L88" s="14">
        <f t="shared" si="13"/>
        <v>30037.933289877699</v>
      </c>
      <c r="M88" s="14">
        <f>'D) Ecrêtage'!M87</f>
        <v>21286.915727699528</v>
      </c>
      <c r="N88" s="14">
        <f t="shared" si="10"/>
        <v>28576.963800795325</v>
      </c>
      <c r="O88" s="74">
        <f t="shared" si="11"/>
        <v>67535.001828964334</v>
      </c>
      <c r="P88" s="290"/>
      <c r="Q88" s="291"/>
      <c r="R88" s="287"/>
      <c r="S88" s="287"/>
      <c r="T88" s="292"/>
    </row>
    <row r="89" spans="1:20" s="286" customFormat="1" x14ac:dyDescent="0.25">
      <c r="A89" s="299">
        <f>'A) Base RI'!A90</f>
        <v>5534</v>
      </c>
      <c r="B89" s="299" t="str">
        <f>'A) Base RI'!B90</f>
        <v>Rueyres</v>
      </c>
      <c r="C89" s="316">
        <v>0</v>
      </c>
      <c r="D89" s="288">
        <f>'B) D RI'!AR90</f>
        <v>265</v>
      </c>
      <c r="E89" s="289">
        <f>'B) D RI'!S90</f>
        <v>73</v>
      </c>
      <c r="F89" s="14">
        <f>'B) D RI'!R90</f>
        <v>592989.98</v>
      </c>
      <c r="G89" s="14">
        <f>'B) D RI'!U90</f>
        <v>8123.1504109589041</v>
      </c>
      <c r="H89" s="52">
        <f>'B) D RI'!T90</f>
        <v>524859.07999999996</v>
      </c>
      <c r="I89" s="14">
        <f t="shared" si="12"/>
        <v>14379.700821917808</v>
      </c>
      <c r="J89" s="41">
        <f t="shared" si="8"/>
        <v>22434.272882555066</v>
      </c>
      <c r="K89" s="14">
        <f t="shared" si="9"/>
        <v>14379.700821917808</v>
      </c>
      <c r="L89" s="14">
        <f t="shared" si="13"/>
        <v>8054.5720606372579</v>
      </c>
      <c r="M89" s="14">
        <f>'D) Ecrêtage'!M88</f>
        <v>8123.1504109589041</v>
      </c>
      <c r="N89" s="14">
        <f t="shared" si="10"/>
        <v>10905.054457481758</v>
      </c>
      <c r="O89" s="74">
        <f t="shared" si="11"/>
        <v>25284.755279399564</v>
      </c>
      <c r="P89" s="290"/>
      <c r="Q89" s="291"/>
      <c r="R89" s="287"/>
      <c r="S89" s="287"/>
      <c r="T89" s="292"/>
    </row>
    <row r="90" spans="1:20" s="286" customFormat="1" x14ac:dyDescent="0.25">
      <c r="A90" s="299">
        <f>'A) Base RI'!A91</f>
        <v>5535</v>
      </c>
      <c r="B90" s="299" t="str">
        <f>'A) Base RI'!B91</f>
        <v>Saint-Barthélemy</v>
      </c>
      <c r="C90" s="316">
        <v>0</v>
      </c>
      <c r="D90" s="288">
        <f>'B) D RI'!AR91</f>
        <v>782</v>
      </c>
      <c r="E90" s="289">
        <f>'B) D RI'!S91</f>
        <v>75</v>
      </c>
      <c r="F90" s="14">
        <f>'B) D RI'!R91</f>
        <v>1623958.48</v>
      </c>
      <c r="G90" s="14">
        <f>'B) D RI'!U91</f>
        <v>21652.779733333333</v>
      </c>
      <c r="H90" s="52">
        <f>'B) D RI'!T91</f>
        <v>1494608.78</v>
      </c>
      <c r="I90" s="14">
        <f t="shared" si="12"/>
        <v>39856.234133333332</v>
      </c>
      <c r="J90" s="41">
        <f t="shared" si="8"/>
        <v>66202.269411917208</v>
      </c>
      <c r="K90" s="14">
        <f t="shared" si="9"/>
        <v>39856.234133333332</v>
      </c>
      <c r="L90" s="14">
        <f t="shared" si="13"/>
        <v>26346.035278583877</v>
      </c>
      <c r="M90" s="14">
        <f>'D) Ecrêtage'!M89</f>
        <v>21652.779733333333</v>
      </c>
      <c r="N90" s="14">
        <f t="shared" si="10"/>
        <v>29068.123843835583</v>
      </c>
      <c r="O90" s="74">
        <f t="shared" si="11"/>
        <v>68924.357977168911</v>
      </c>
      <c r="P90" s="290"/>
      <c r="Q90" s="291"/>
      <c r="R90" s="287"/>
      <c r="S90" s="287"/>
      <c r="T90" s="292"/>
    </row>
    <row r="91" spans="1:20" s="286" customFormat="1" x14ac:dyDescent="0.25">
      <c r="A91" s="299">
        <f>'A) Base RI'!A92</f>
        <v>5537</v>
      </c>
      <c r="B91" s="299" t="str">
        <f>'A) Base RI'!B92</f>
        <v>Villars-le-Terroir</v>
      </c>
      <c r="C91" s="316">
        <v>0</v>
      </c>
      <c r="D91" s="288">
        <f>'B) D RI'!AR92</f>
        <v>1033</v>
      </c>
      <c r="E91" s="289">
        <f>'B) D RI'!S92</f>
        <v>73</v>
      </c>
      <c r="F91" s="14">
        <f>'B) D RI'!R92</f>
        <v>2057266.2</v>
      </c>
      <c r="G91" s="14">
        <f>'B) D RI'!U92</f>
        <v>28181.728767123288</v>
      </c>
      <c r="H91" s="52">
        <f>'B) D RI'!T92</f>
        <v>1878264.45</v>
      </c>
      <c r="I91" s="14">
        <f t="shared" si="12"/>
        <v>51459.299999999996</v>
      </c>
      <c r="J91" s="41">
        <f t="shared" si="8"/>
        <v>87451.335425205209</v>
      </c>
      <c r="K91" s="14">
        <f t="shared" si="9"/>
        <v>51459.299999999996</v>
      </c>
      <c r="L91" s="14">
        <f t="shared" si="13"/>
        <v>35992.035425205213</v>
      </c>
      <c r="M91" s="14">
        <f>'D) Ecrêtage'!M90</f>
        <v>28181.728767123288</v>
      </c>
      <c r="N91" s="14">
        <f t="shared" si="10"/>
        <v>37833.016916300265</v>
      </c>
      <c r="O91" s="74">
        <f t="shared" si="11"/>
        <v>89292.31691630026</v>
      </c>
      <c r="P91" s="290"/>
      <c r="Q91" s="291"/>
      <c r="R91" s="287"/>
      <c r="S91" s="287"/>
      <c r="T91" s="292"/>
    </row>
    <row r="92" spans="1:20" s="286" customFormat="1" x14ac:dyDescent="0.25">
      <c r="A92" s="299">
        <f>'A) Base RI'!A93</f>
        <v>5539</v>
      </c>
      <c r="B92" s="299" t="str">
        <f>'A) Base RI'!B93</f>
        <v>Vuarrens</v>
      </c>
      <c r="C92" s="316">
        <v>0</v>
      </c>
      <c r="D92" s="288">
        <f>'B) D RI'!AR93</f>
        <v>935</v>
      </c>
      <c r="E92" s="289">
        <f>'B) D RI'!S93</f>
        <v>75</v>
      </c>
      <c r="F92" s="14">
        <f>'B) D RI'!R93</f>
        <v>1706712.97</v>
      </c>
      <c r="G92" s="14">
        <f>'B) D RI'!U93</f>
        <v>22756.172933333331</v>
      </c>
      <c r="H92" s="52">
        <f>'B) D RI'!T93</f>
        <v>1547461.97</v>
      </c>
      <c r="I92" s="14">
        <f t="shared" si="12"/>
        <v>41265.652533333334</v>
      </c>
      <c r="J92" s="41">
        <f t="shared" si="8"/>
        <v>79154.887340335801</v>
      </c>
      <c r="K92" s="14">
        <f t="shared" si="9"/>
        <v>41265.652533333334</v>
      </c>
      <c r="L92" s="14">
        <f t="shared" si="13"/>
        <v>37889.234807002467</v>
      </c>
      <c r="M92" s="14">
        <f>'D) Ecrêtage'!M91</f>
        <v>22756.172933333331</v>
      </c>
      <c r="N92" s="14">
        <f t="shared" si="10"/>
        <v>30549.391864895733</v>
      </c>
      <c r="O92" s="74">
        <f t="shared" si="11"/>
        <v>71815.044398229074</v>
      </c>
      <c r="P92" s="290"/>
      <c r="Q92" s="291"/>
      <c r="R92" s="287"/>
      <c r="S92" s="287"/>
      <c r="T92" s="292"/>
    </row>
    <row r="93" spans="1:20" s="286" customFormat="1" x14ac:dyDescent="0.25">
      <c r="A93" s="299">
        <f>'A) Base RI'!A94</f>
        <v>5540</v>
      </c>
      <c r="B93" s="299" t="str">
        <f>'A) Base RI'!B94</f>
        <v>Montilliez</v>
      </c>
      <c r="C93" s="316">
        <v>0</v>
      </c>
      <c r="D93" s="288">
        <f>'B) D RI'!AR94</f>
        <v>1656</v>
      </c>
      <c r="E93" s="289">
        <f>'B) D RI'!S94</f>
        <v>74</v>
      </c>
      <c r="F93" s="14">
        <f>'B) D RI'!R94</f>
        <v>3492745.6174999997</v>
      </c>
      <c r="G93" s="14">
        <f>'B) D RI'!U94</f>
        <v>47199.265101351346</v>
      </c>
      <c r="H93" s="52">
        <f>'B) D RI'!T94</f>
        <v>3203874.9299999997</v>
      </c>
      <c r="I93" s="14">
        <f t="shared" si="12"/>
        <v>86591.214324324319</v>
      </c>
      <c r="J93" s="41">
        <f t="shared" si="8"/>
        <v>140193.04110758938</v>
      </c>
      <c r="K93" s="14">
        <f t="shared" si="9"/>
        <v>86591.214324324319</v>
      </c>
      <c r="L93" s="14">
        <f t="shared" si="13"/>
        <v>53601.82678326506</v>
      </c>
      <c r="M93" s="14">
        <f>'D) Ecrêtage'!M92</f>
        <v>47199.265101351346</v>
      </c>
      <c r="N93" s="14">
        <f t="shared" si="10"/>
        <v>63363.415700017205</v>
      </c>
      <c r="O93" s="74">
        <f t="shared" si="11"/>
        <v>149954.63002434152</v>
      </c>
      <c r="P93" s="290"/>
      <c r="Q93" s="291"/>
      <c r="R93" s="287"/>
      <c r="S93" s="287"/>
      <c r="T93" s="292"/>
    </row>
    <row r="94" spans="1:20" s="286" customFormat="1" x14ac:dyDescent="0.25">
      <c r="A94" s="299">
        <f>'A) Base RI'!A95</f>
        <v>5541</v>
      </c>
      <c r="B94" s="299" t="str">
        <f>'A) Base RI'!B95</f>
        <v>Goumoëns</v>
      </c>
      <c r="C94" s="316">
        <v>0</v>
      </c>
      <c r="D94" s="288">
        <f>'B) D RI'!AR95</f>
        <v>1055</v>
      </c>
      <c r="E94" s="289">
        <f>'B) D RI'!S95</f>
        <v>77</v>
      </c>
      <c r="F94" s="14">
        <f>'B) D RI'!R95</f>
        <v>2741792.1600000006</v>
      </c>
      <c r="G94" s="14">
        <f>'B) D RI'!U95</f>
        <v>35607.690389610398</v>
      </c>
      <c r="H94" s="52">
        <f>'B) D RI'!T95</f>
        <v>2576304.3100000005</v>
      </c>
      <c r="I94" s="14">
        <f t="shared" si="12"/>
        <v>66916.995064935079</v>
      </c>
      <c r="J94" s="41">
        <f t="shared" si="8"/>
        <v>89313.80336262488</v>
      </c>
      <c r="K94" s="14">
        <f t="shared" si="9"/>
        <v>66916.995064935079</v>
      </c>
      <c r="L94" s="14">
        <f t="shared" si="13"/>
        <v>22396.8082976898</v>
      </c>
      <c r="M94" s="14">
        <f>'D) Ecrêtage'!M93</f>
        <v>35607.690389610398</v>
      </c>
      <c r="N94" s="14">
        <f t="shared" si="10"/>
        <v>47802.119025149696</v>
      </c>
      <c r="O94" s="74">
        <f t="shared" si="11"/>
        <v>114719.11409008477</v>
      </c>
      <c r="P94" s="290"/>
      <c r="Q94" s="291"/>
      <c r="R94" s="287"/>
      <c r="S94" s="287"/>
      <c r="T94" s="292"/>
    </row>
    <row r="95" spans="1:20" s="286" customFormat="1" x14ac:dyDescent="0.25">
      <c r="A95" s="299">
        <f>'A) Base RI'!A96</f>
        <v>5551</v>
      </c>
      <c r="B95" s="299" t="str">
        <f>'A) Base RI'!B96</f>
        <v>Bonvillars</v>
      </c>
      <c r="C95" s="316">
        <v>0</v>
      </c>
      <c r="D95" s="288">
        <f>'B) D RI'!AR96</f>
        <v>506</v>
      </c>
      <c r="E95" s="289">
        <f>'B) D RI'!S96</f>
        <v>55</v>
      </c>
      <c r="F95" s="14">
        <f>'B) D RI'!R96</f>
        <v>879363.70142857148</v>
      </c>
      <c r="G95" s="14">
        <f>'B) D RI'!U96</f>
        <v>15988.430935064936</v>
      </c>
      <c r="H95" s="52">
        <f>'B) D RI'!T96</f>
        <v>786044.73</v>
      </c>
      <c r="I95" s="14">
        <f t="shared" si="12"/>
        <v>28583.444727272727</v>
      </c>
      <c r="J95" s="41">
        <f t="shared" si="8"/>
        <v>42836.762560652314</v>
      </c>
      <c r="K95" s="14">
        <f t="shared" si="9"/>
        <v>28583.444727272727</v>
      </c>
      <c r="L95" s="14">
        <f t="shared" si="13"/>
        <v>14253.317833379588</v>
      </c>
      <c r="M95" s="14">
        <f>'D) Ecrêtage'!M94</f>
        <v>15988.430935064936</v>
      </c>
      <c r="N95" s="14">
        <f t="shared" si="10"/>
        <v>21463.927320777908</v>
      </c>
      <c r="O95" s="74">
        <f t="shared" si="11"/>
        <v>50047.372048050631</v>
      </c>
      <c r="P95" s="290"/>
      <c r="Q95" s="291"/>
      <c r="R95" s="287"/>
      <c r="S95" s="287"/>
      <c r="T95" s="292"/>
    </row>
    <row r="96" spans="1:20" s="286" customFormat="1" x14ac:dyDescent="0.25">
      <c r="A96" s="299">
        <f>'A) Base RI'!A97</f>
        <v>5552</v>
      </c>
      <c r="B96" s="299" t="str">
        <f>'A) Base RI'!B97</f>
        <v>Bullet</v>
      </c>
      <c r="C96" s="316">
        <v>0</v>
      </c>
      <c r="D96" s="288">
        <f>'B) D RI'!AR97</f>
        <v>606</v>
      </c>
      <c r="E96" s="289">
        <f>'B) D RI'!S97</f>
        <v>70</v>
      </c>
      <c r="F96" s="14">
        <f>'B) D RI'!R97</f>
        <v>1086792.5300000003</v>
      </c>
      <c r="G96" s="14">
        <f>'B) D RI'!U97</f>
        <v>15525.607571428574</v>
      </c>
      <c r="H96" s="52">
        <f>'B) D RI'!T97</f>
        <v>980057.28000000014</v>
      </c>
      <c r="I96" s="14">
        <f t="shared" si="12"/>
        <v>28001.636571428575</v>
      </c>
      <c r="J96" s="41">
        <f t="shared" si="8"/>
        <v>51302.525912559882</v>
      </c>
      <c r="K96" s="14">
        <f t="shared" si="9"/>
        <v>28001.636571428575</v>
      </c>
      <c r="L96" s="14">
        <f t="shared" si="13"/>
        <v>23300.889341131307</v>
      </c>
      <c r="M96" s="14">
        <f>'D) Ecrêtage'!M95</f>
        <v>15525.607571428574</v>
      </c>
      <c r="N96" s="14">
        <f t="shared" si="10"/>
        <v>20842.60262170052</v>
      </c>
      <c r="O96" s="74">
        <f t="shared" si="11"/>
        <v>48844.239193129091</v>
      </c>
      <c r="P96" s="290"/>
      <c r="Q96" s="291"/>
      <c r="R96" s="287"/>
      <c r="S96" s="287"/>
      <c r="T96" s="292"/>
    </row>
    <row r="97" spans="1:20" s="286" customFormat="1" x14ac:dyDescent="0.25">
      <c r="A97" s="299">
        <f>'A) Base RI'!A98</f>
        <v>5553</v>
      </c>
      <c r="B97" s="299" t="str">
        <f>'A) Base RI'!B98</f>
        <v>Champagne</v>
      </c>
      <c r="C97" s="316">
        <v>0</v>
      </c>
      <c r="D97" s="288">
        <f>'B) D RI'!AR98</f>
        <v>1048</v>
      </c>
      <c r="E97" s="289">
        <f>'B) D RI'!S98</f>
        <v>63</v>
      </c>
      <c r="F97" s="14">
        <f>'B) D RI'!R98</f>
        <v>2736065.3299999996</v>
      </c>
      <c r="G97" s="14">
        <f>'B) D RI'!U98</f>
        <v>43429.608412698406</v>
      </c>
      <c r="H97" s="52">
        <f>'B) D RI'!T98</f>
        <v>2542293.6299999994</v>
      </c>
      <c r="I97" s="14">
        <f t="shared" si="12"/>
        <v>80707.734285714265</v>
      </c>
      <c r="J97" s="41">
        <f t="shared" si="8"/>
        <v>88721.199927991343</v>
      </c>
      <c r="K97" s="14">
        <f t="shared" si="9"/>
        <v>80707.734285714265</v>
      </c>
      <c r="L97" s="14">
        <f t="shared" si="13"/>
        <v>8013.4656422770786</v>
      </c>
      <c r="M97" s="14">
        <f>'D) Ecrêtage'!M96</f>
        <v>43429.608412698406</v>
      </c>
      <c r="N97" s="14">
        <f t="shared" si="10"/>
        <v>58302.779198652956</v>
      </c>
      <c r="O97" s="74">
        <f t="shared" si="11"/>
        <v>139010.51348436723</v>
      </c>
      <c r="P97" s="290"/>
      <c r="Q97" s="291"/>
      <c r="R97" s="287"/>
      <c r="S97" s="287"/>
      <c r="T97" s="292"/>
    </row>
    <row r="98" spans="1:20" s="286" customFormat="1" x14ac:dyDescent="0.25">
      <c r="A98" s="299">
        <f>'A) Base RI'!A99</f>
        <v>5554</v>
      </c>
      <c r="B98" s="299" t="str">
        <f>'A) Base RI'!B99</f>
        <v>Concise</v>
      </c>
      <c r="C98" s="316">
        <v>0</v>
      </c>
      <c r="D98" s="288">
        <f>'B) D RI'!AR99</f>
        <v>954</v>
      </c>
      <c r="E98" s="289">
        <f>'B) D RI'!S99</f>
        <v>75</v>
      </c>
      <c r="F98" s="14">
        <f>'B) D RI'!R99</f>
        <v>2226832.5699999998</v>
      </c>
      <c r="G98" s="14">
        <f>'B) D RI'!U99</f>
        <v>29691.100933333331</v>
      </c>
      <c r="H98" s="52">
        <f>'B) D RI'!T99</f>
        <v>2065872.8699999999</v>
      </c>
      <c r="I98" s="14">
        <f t="shared" si="12"/>
        <v>55089.943199999994</v>
      </c>
      <c r="J98" s="41">
        <f t="shared" si="8"/>
        <v>80763.382377198228</v>
      </c>
      <c r="K98" s="14">
        <f t="shared" si="9"/>
        <v>55089.943199999994</v>
      </c>
      <c r="L98" s="14">
        <f t="shared" si="13"/>
        <v>25673.439177198234</v>
      </c>
      <c r="M98" s="14">
        <f>'D) Ecrêtage'!M97</f>
        <v>29691.100933333331</v>
      </c>
      <c r="N98" s="14">
        <f t="shared" si="10"/>
        <v>39859.297957079951</v>
      </c>
      <c r="O98" s="74">
        <f t="shared" si="11"/>
        <v>94949.241157079945</v>
      </c>
      <c r="P98" s="290"/>
      <c r="Q98" s="291"/>
      <c r="R98" s="287"/>
      <c r="S98" s="287"/>
      <c r="T98" s="292"/>
    </row>
    <row r="99" spans="1:20" s="286" customFormat="1" x14ac:dyDescent="0.25">
      <c r="A99" s="299">
        <f>'A) Base RI'!A100</f>
        <v>5555</v>
      </c>
      <c r="B99" s="299" t="str">
        <f>'A) Base RI'!B100</f>
        <v>Corcelles-près-Concise</v>
      </c>
      <c r="C99" s="316">
        <v>0</v>
      </c>
      <c r="D99" s="288">
        <f>'B) D RI'!AR100</f>
        <v>337</v>
      </c>
      <c r="E99" s="289">
        <f>'B) D RI'!S100</f>
        <v>71</v>
      </c>
      <c r="F99" s="14">
        <f>'B) D RI'!R100</f>
        <v>693150.75999999989</v>
      </c>
      <c r="G99" s="14">
        <f>'B) D RI'!U100</f>
        <v>9762.6867605633779</v>
      </c>
      <c r="H99" s="52">
        <f>'B) D RI'!T100</f>
        <v>628423.25999999989</v>
      </c>
      <c r="I99" s="14">
        <f t="shared" si="12"/>
        <v>17702.063661971828</v>
      </c>
      <c r="J99" s="41">
        <f t="shared" si="8"/>
        <v>28529.622495928517</v>
      </c>
      <c r="K99" s="14">
        <f t="shared" si="9"/>
        <v>17702.063661971828</v>
      </c>
      <c r="L99" s="14">
        <f t="shared" si="13"/>
        <v>10827.558833956689</v>
      </c>
      <c r="M99" s="14">
        <f>'D) Ecrêtage'!M98</f>
        <v>9762.6867605633779</v>
      </c>
      <c r="N99" s="14">
        <f t="shared" si="10"/>
        <v>13106.076508401417</v>
      </c>
      <c r="O99" s="74">
        <f t="shared" si="11"/>
        <v>30808.140170373244</v>
      </c>
      <c r="P99" s="290"/>
      <c r="Q99" s="291"/>
      <c r="R99" s="287"/>
      <c r="S99" s="287"/>
      <c r="T99" s="292"/>
    </row>
    <row r="100" spans="1:20" s="286" customFormat="1" x14ac:dyDescent="0.25">
      <c r="A100" s="299">
        <f>'A) Base RI'!A101</f>
        <v>5556</v>
      </c>
      <c r="B100" s="299" t="str">
        <f>'A) Base RI'!B101</f>
        <v>Fiez</v>
      </c>
      <c r="C100" s="316">
        <v>0</v>
      </c>
      <c r="D100" s="288">
        <f>'B) D RI'!AR101</f>
        <v>421</v>
      </c>
      <c r="E100" s="289">
        <f>'B) D RI'!S101</f>
        <v>69</v>
      </c>
      <c r="F100" s="14">
        <f>'B) D RI'!R101</f>
        <v>745195.31166666653</v>
      </c>
      <c r="G100" s="14">
        <f>'B) D RI'!U101</f>
        <v>10799.932053140095</v>
      </c>
      <c r="H100" s="52">
        <f>'B) D RI'!T101</f>
        <v>683451.5199999999</v>
      </c>
      <c r="I100" s="14">
        <f t="shared" si="12"/>
        <v>19810.188985507244</v>
      </c>
      <c r="J100" s="41">
        <f t="shared" si="8"/>
        <v>35640.863711530874</v>
      </c>
      <c r="K100" s="14">
        <f t="shared" si="9"/>
        <v>19810.188985507244</v>
      </c>
      <c r="L100" s="14">
        <f t="shared" si="13"/>
        <v>15830.67472602363</v>
      </c>
      <c r="M100" s="14">
        <f>'D) Ecrêtage'!M99</f>
        <v>10799.932053140095</v>
      </c>
      <c r="N100" s="14">
        <f t="shared" si="10"/>
        <v>14498.543202857276</v>
      </c>
      <c r="O100" s="74">
        <f t="shared" si="11"/>
        <v>34308.73218836452</v>
      </c>
      <c r="P100" s="290"/>
      <c r="Q100" s="291"/>
      <c r="R100" s="287"/>
      <c r="S100" s="287"/>
      <c r="T100" s="292"/>
    </row>
    <row r="101" spans="1:20" s="286" customFormat="1" x14ac:dyDescent="0.25">
      <c r="A101" s="299">
        <f>'A) Base RI'!A102</f>
        <v>5557</v>
      </c>
      <c r="B101" s="299" t="str">
        <f>'A) Base RI'!B102</f>
        <v>Fontaines-sur-Grandson</v>
      </c>
      <c r="C101" s="316">
        <v>0</v>
      </c>
      <c r="D101" s="288">
        <f>'B) D RI'!AR102</f>
        <v>191</v>
      </c>
      <c r="E101" s="289">
        <f>'B) D RI'!S102</f>
        <v>69</v>
      </c>
      <c r="F101" s="14">
        <f>'B) D RI'!R102</f>
        <v>289845.01</v>
      </c>
      <c r="G101" s="14">
        <f>'B) D RI'!U102</f>
        <v>4200.6523188405799</v>
      </c>
      <c r="H101" s="52">
        <f>'B) D RI'!T102</f>
        <v>263095.11</v>
      </c>
      <c r="I101" s="14">
        <f t="shared" si="12"/>
        <v>7625.9452173913041</v>
      </c>
      <c r="J101" s="41">
        <f t="shared" si="8"/>
        <v>16169.608002143461</v>
      </c>
      <c r="K101" s="14">
        <f t="shared" si="9"/>
        <v>7625.9452173913041</v>
      </c>
      <c r="L101" s="14">
        <f t="shared" si="13"/>
        <v>8543.6627847521559</v>
      </c>
      <c r="M101" s="14">
        <f>'D) Ecrêtage'!M100</f>
        <v>4200.6523188405799</v>
      </c>
      <c r="N101" s="14">
        <f t="shared" si="10"/>
        <v>5639.2335456578185</v>
      </c>
      <c r="O101" s="74">
        <f t="shared" si="11"/>
        <v>13265.178763049124</v>
      </c>
      <c r="P101" s="290"/>
      <c r="Q101" s="291"/>
      <c r="R101" s="287"/>
      <c r="S101" s="287"/>
      <c r="T101" s="292"/>
    </row>
    <row r="102" spans="1:20" s="286" customFormat="1" x14ac:dyDescent="0.25">
      <c r="A102" s="299">
        <f>'A) Base RI'!A103</f>
        <v>5559</v>
      </c>
      <c r="B102" s="299" t="str">
        <f>'A) Base RI'!B103</f>
        <v>Giez</v>
      </c>
      <c r="C102" s="316">
        <v>0</v>
      </c>
      <c r="D102" s="288">
        <f>'B) D RI'!AR103</f>
        <v>389</v>
      </c>
      <c r="E102" s="289">
        <f>'B) D RI'!S103</f>
        <v>66</v>
      </c>
      <c r="F102" s="14">
        <f>'B) D RI'!R103</f>
        <v>1187899.9200000002</v>
      </c>
      <c r="G102" s="14">
        <f>'B) D RI'!U103</f>
        <v>17998.483636363639</v>
      </c>
      <c r="H102" s="52">
        <f>'B) D RI'!T103</f>
        <v>1105907.1200000001</v>
      </c>
      <c r="I102" s="14">
        <f t="shared" si="12"/>
        <v>33512.336969696975</v>
      </c>
      <c r="J102" s="41">
        <f t="shared" ref="J102:J133" si="14">+$I$315/$D$315*D102</f>
        <v>32931.819438920451</v>
      </c>
      <c r="K102" s="14">
        <f t="shared" si="9"/>
        <v>32931.819438920451</v>
      </c>
      <c r="L102" s="14">
        <f t="shared" si="13"/>
        <v>0</v>
      </c>
      <c r="M102" s="14">
        <f>'D) Ecrêtage'!M101</f>
        <v>17998.483636363639</v>
      </c>
      <c r="N102" s="14">
        <f t="shared" si="10"/>
        <v>24162.355031841689</v>
      </c>
      <c r="O102" s="74">
        <f t="shared" si="11"/>
        <v>57094.17447076214</v>
      </c>
      <c r="P102" s="290"/>
      <c r="Q102" s="291"/>
      <c r="R102" s="287"/>
      <c r="S102" s="287"/>
      <c r="T102" s="292"/>
    </row>
    <row r="103" spans="1:20" s="286" customFormat="1" x14ac:dyDescent="0.25">
      <c r="A103" s="299">
        <f>'A) Base RI'!A104</f>
        <v>5560</v>
      </c>
      <c r="B103" s="299" t="str">
        <f>'A) Base RI'!B104</f>
        <v>Grandevent</v>
      </c>
      <c r="C103" s="316">
        <v>0</v>
      </c>
      <c r="D103" s="288">
        <f>'B) D RI'!AR104</f>
        <v>232</v>
      </c>
      <c r="E103" s="289">
        <f>'B) D RI'!S104</f>
        <v>68</v>
      </c>
      <c r="F103" s="14">
        <f>'B) D RI'!R104</f>
        <v>434937.81999999995</v>
      </c>
      <c r="G103" s="14">
        <f>'B) D RI'!U104</f>
        <v>6396.1444117647052</v>
      </c>
      <c r="H103" s="52">
        <f>'B) D RI'!T104</f>
        <v>397295.06999999995</v>
      </c>
      <c r="I103" s="14">
        <f t="shared" si="12"/>
        <v>11685.149117647057</v>
      </c>
      <c r="J103" s="41">
        <f t="shared" si="14"/>
        <v>19640.570976425566</v>
      </c>
      <c r="K103" s="14">
        <f t="shared" si="9"/>
        <v>11685.149117647057</v>
      </c>
      <c r="L103" s="14">
        <f t="shared" si="13"/>
        <v>7955.421858778509</v>
      </c>
      <c r="M103" s="14">
        <f>'D) Ecrêtage'!M102</f>
        <v>6396.1444117647052</v>
      </c>
      <c r="N103" s="14">
        <f t="shared" si="10"/>
        <v>8586.6073628418762</v>
      </c>
      <c r="O103" s="74">
        <f t="shared" si="11"/>
        <v>20271.756480488933</v>
      </c>
      <c r="P103" s="290"/>
      <c r="Q103" s="291"/>
      <c r="R103" s="287"/>
      <c r="S103" s="287"/>
      <c r="T103" s="292"/>
    </row>
    <row r="104" spans="1:20" s="286" customFormat="1" x14ac:dyDescent="0.25">
      <c r="A104" s="299">
        <f>'A) Base RI'!A105</f>
        <v>5561</v>
      </c>
      <c r="B104" s="299" t="str">
        <f>'A) Base RI'!B105</f>
        <v>Grandson</v>
      </c>
      <c r="C104" s="316">
        <v>0</v>
      </c>
      <c r="D104" s="288">
        <f>'B) D RI'!AR105</f>
        <v>3303</v>
      </c>
      <c r="E104" s="289">
        <f>'B) D RI'!S105</f>
        <v>69</v>
      </c>
      <c r="F104" s="14">
        <f>'B) D RI'!R105</f>
        <v>7349042.9200000009</v>
      </c>
      <c r="G104" s="14">
        <f>'B) D RI'!U105</f>
        <v>106507.86840579711</v>
      </c>
      <c r="H104" s="52">
        <f>'B) D RI'!T105</f>
        <v>6794689.620000001</v>
      </c>
      <c r="I104" s="14">
        <f t="shared" si="12"/>
        <v>196947.52521739135</v>
      </c>
      <c r="J104" s="41">
        <f t="shared" si="14"/>
        <v>279624.16351350711</v>
      </c>
      <c r="K104" s="14">
        <f t="shared" si="9"/>
        <v>196947.52521739135</v>
      </c>
      <c r="L104" s="14">
        <f t="shared" si="13"/>
        <v>82676.638296115765</v>
      </c>
      <c r="M104" s="14">
        <f>'D) Ecrêtage'!M103</f>
        <v>106507.86840579711</v>
      </c>
      <c r="N104" s="14">
        <f t="shared" si="10"/>
        <v>142983.20803571222</v>
      </c>
      <c r="O104" s="74">
        <f t="shared" si="11"/>
        <v>339930.73325310356</v>
      </c>
      <c r="P104" s="290"/>
      <c r="Q104" s="291"/>
      <c r="R104" s="287"/>
      <c r="S104" s="287"/>
      <c r="T104" s="292"/>
    </row>
    <row r="105" spans="1:20" s="286" customFormat="1" x14ac:dyDescent="0.25">
      <c r="A105" s="299">
        <f>'A) Base RI'!A106</f>
        <v>5562</v>
      </c>
      <c r="B105" s="299" t="str">
        <f>'A) Base RI'!B106</f>
        <v>Mauborget</v>
      </c>
      <c r="C105" s="316">
        <v>0</v>
      </c>
      <c r="D105" s="288">
        <f>'B) D RI'!AR106</f>
        <v>119</v>
      </c>
      <c r="E105" s="289">
        <f>'B) D RI'!S106</f>
        <v>70</v>
      </c>
      <c r="F105" s="14">
        <f>'B) D RI'!R106</f>
        <v>274185.23499999999</v>
      </c>
      <c r="G105" s="14">
        <f>'B) D RI'!U106</f>
        <v>3916.9319285714282</v>
      </c>
      <c r="H105" s="52">
        <f>'B) D RI'!T106</f>
        <v>246815.61</v>
      </c>
      <c r="I105" s="14">
        <f t="shared" si="12"/>
        <v>7051.8745714285715</v>
      </c>
      <c r="J105" s="41">
        <f t="shared" si="14"/>
        <v>10074.258388770009</v>
      </c>
      <c r="K105" s="14">
        <f t="shared" si="9"/>
        <v>7051.8745714285715</v>
      </c>
      <c r="L105" s="14">
        <f t="shared" si="13"/>
        <v>3022.3838173414379</v>
      </c>
      <c r="M105" s="14">
        <f>'D) Ecrêtage'!M104</f>
        <v>3916.9319285714282</v>
      </c>
      <c r="N105" s="14">
        <f t="shared" si="10"/>
        <v>5258.348525677271</v>
      </c>
      <c r="O105" s="74">
        <f t="shared" si="11"/>
        <v>12310.223097105842</v>
      </c>
      <c r="P105" s="290"/>
      <c r="Q105" s="291"/>
      <c r="R105" s="287"/>
      <c r="S105" s="287"/>
      <c r="T105" s="292"/>
    </row>
    <row r="106" spans="1:20" s="286" customFormat="1" x14ac:dyDescent="0.25">
      <c r="A106" s="299">
        <f>'A) Base RI'!A107</f>
        <v>5563</v>
      </c>
      <c r="B106" s="299" t="str">
        <f>'A) Base RI'!B107</f>
        <v>Mutrux</v>
      </c>
      <c r="C106" s="316">
        <v>0</v>
      </c>
      <c r="D106" s="288">
        <f>'B) D RI'!AR107</f>
        <v>153</v>
      </c>
      <c r="E106" s="289">
        <f>'B) D RI'!S107</f>
        <v>78.5</v>
      </c>
      <c r="F106" s="14">
        <f>'B) D RI'!R107</f>
        <v>322023.82</v>
      </c>
      <c r="G106" s="14">
        <f>'B) D RI'!U107</f>
        <v>4102.2142675159239</v>
      </c>
      <c r="H106" s="52">
        <f>'B) D RI'!T107</f>
        <v>301665.62</v>
      </c>
      <c r="I106" s="14">
        <f t="shared" si="12"/>
        <v>7685.7482802547765</v>
      </c>
      <c r="J106" s="41">
        <f t="shared" si="14"/>
        <v>12952.617928418586</v>
      </c>
      <c r="K106" s="14">
        <f t="shared" si="9"/>
        <v>7685.7482802547765</v>
      </c>
      <c r="L106" s="14">
        <f t="shared" si="13"/>
        <v>5266.869648163809</v>
      </c>
      <c r="M106" s="14">
        <f>'D) Ecrêtage'!M105</f>
        <v>4102.2142675159239</v>
      </c>
      <c r="N106" s="14">
        <f t="shared" si="10"/>
        <v>5507.0837938896448</v>
      </c>
      <c r="O106" s="74">
        <f t="shared" si="11"/>
        <v>13192.832074144422</v>
      </c>
      <c r="P106" s="290"/>
      <c r="Q106" s="291"/>
      <c r="R106" s="287"/>
      <c r="S106" s="287"/>
      <c r="T106" s="292"/>
    </row>
    <row r="107" spans="1:20" s="286" customFormat="1" x14ac:dyDescent="0.25">
      <c r="A107" s="299">
        <f>'A) Base RI'!A108</f>
        <v>5564</v>
      </c>
      <c r="B107" s="299" t="str">
        <f>'A) Base RI'!B108</f>
        <v>Novalles</v>
      </c>
      <c r="C107" s="316">
        <v>0</v>
      </c>
      <c r="D107" s="288">
        <f>'B) D RI'!AR108</f>
        <v>102</v>
      </c>
      <c r="E107" s="289">
        <f>'B) D RI'!S108</f>
        <v>76</v>
      </c>
      <c r="F107" s="14">
        <f>'B) D RI'!R108</f>
        <v>161135.01249999998</v>
      </c>
      <c r="G107" s="14">
        <f>'B) D RI'!U108</f>
        <v>2120.1975328947365</v>
      </c>
      <c r="H107" s="52">
        <f>'B) D RI'!T108</f>
        <v>149006.94999999998</v>
      </c>
      <c r="I107" s="14">
        <f t="shared" si="12"/>
        <v>3921.2355263157892</v>
      </c>
      <c r="J107" s="41">
        <f t="shared" si="14"/>
        <v>8635.0786189457231</v>
      </c>
      <c r="K107" s="14">
        <f t="shared" si="9"/>
        <v>3921.2355263157892</v>
      </c>
      <c r="L107" s="14">
        <f t="shared" si="13"/>
        <v>4713.8430926299334</v>
      </c>
      <c r="M107" s="14">
        <f>'D) Ecrêtage'!M106</f>
        <v>2120.1975328947365</v>
      </c>
      <c r="N107" s="14">
        <f t="shared" si="10"/>
        <v>2846.2934190709207</v>
      </c>
      <c r="O107" s="74">
        <f t="shared" si="11"/>
        <v>6767.5289453867099</v>
      </c>
      <c r="P107" s="290"/>
      <c r="Q107" s="291"/>
      <c r="R107" s="287"/>
      <c r="S107" s="287"/>
      <c r="T107" s="292"/>
    </row>
    <row r="108" spans="1:20" s="286" customFormat="1" x14ac:dyDescent="0.25">
      <c r="A108" s="299">
        <f>'A) Base RI'!A109</f>
        <v>5565</v>
      </c>
      <c r="B108" s="299" t="str">
        <f>'A) Base RI'!B109</f>
        <v>Onnens</v>
      </c>
      <c r="C108" s="316">
        <v>0</v>
      </c>
      <c r="D108" s="288">
        <f>'B) D RI'!AR109</f>
        <v>493</v>
      </c>
      <c r="E108" s="289">
        <f>'B) D RI'!S109</f>
        <v>65</v>
      </c>
      <c r="F108" s="14">
        <f>'B) D RI'!R109</f>
        <v>1249473.26</v>
      </c>
      <c r="G108" s="14">
        <f>'B) D RI'!U109</f>
        <v>19222.665538461537</v>
      </c>
      <c r="H108" s="52">
        <f>'B) D RI'!T109</f>
        <v>1127283.6599999999</v>
      </c>
      <c r="I108" s="14">
        <f t="shared" si="12"/>
        <v>34685.651076923074</v>
      </c>
      <c r="J108" s="41">
        <f t="shared" si="14"/>
        <v>41736.213324904325</v>
      </c>
      <c r="K108" s="14">
        <f t="shared" si="9"/>
        <v>34685.651076923074</v>
      </c>
      <c r="L108" s="14">
        <f t="shared" si="13"/>
        <v>7050.5622479812519</v>
      </c>
      <c r="M108" s="14">
        <f>'D) Ecrêtage'!M107</f>
        <v>19222.665538461537</v>
      </c>
      <c r="N108" s="14">
        <f t="shared" si="10"/>
        <v>25805.777796761944</v>
      </c>
      <c r="O108" s="74">
        <f t="shared" si="11"/>
        <v>60491.428873685014</v>
      </c>
      <c r="P108" s="290"/>
      <c r="Q108" s="291"/>
      <c r="R108" s="287"/>
      <c r="S108" s="287"/>
      <c r="T108" s="292"/>
    </row>
    <row r="109" spans="1:20" s="286" customFormat="1" x14ac:dyDescent="0.25">
      <c r="A109" s="299">
        <f>'A) Base RI'!A110</f>
        <v>5566</v>
      </c>
      <c r="B109" s="299" t="str">
        <f>'A) Base RI'!B110</f>
        <v>Provence</v>
      </c>
      <c r="C109" s="316">
        <v>0</v>
      </c>
      <c r="D109" s="288">
        <f>'B) D RI'!AR110</f>
        <v>385</v>
      </c>
      <c r="E109" s="289">
        <f>'B) D RI'!S110</f>
        <v>81</v>
      </c>
      <c r="F109" s="14">
        <f>'B) D RI'!R110</f>
        <v>632944.68999999994</v>
      </c>
      <c r="G109" s="14">
        <f>'B) D RI'!U110</f>
        <v>7814.1319753086409</v>
      </c>
      <c r="H109" s="52">
        <f>'B) D RI'!T110</f>
        <v>582297.78999999992</v>
      </c>
      <c r="I109" s="14">
        <f t="shared" si="12"/>
        <v>14377.723209876542</v>
      </c>
      <c r="J109" s="41">
        <f t="shared" si="14"/>
        <v>32593.188904844152</v>
      </c>
      <c r="K109" s="14">
        <f t="shared" si="9"/>
        <v>14377.723209876542</v>
      </c>
      <c r="L109" s="14">
        <f t="shared" si="13"/>
        <v>18215.46569496761</v>
      </c>
      <c r="M109" s="14">
        <f>'D) Ecrêtage'!M108</f>
        <v>7814.1319753086409</v>
      </c>
      <c r="N109" s="14">
        <f t="shared" si="10"/>
        <v>10490.207667917739</v>
      </c>
      <c r="O109" s="74">
        <f t="shared" si="11"/>
        <v>24867.930877794279</v>
      </c>
      <c r="P109" s="290"/>
      <c r="Q109" s="291"/>
      <c r="R109" s="287"/>
      <c r="S109" s="287"/>
      <c r="T109" s="292"/>
    </row>
    <row r="110" spans="1:20" s="286" customFormat="1" x14ac:dyDescent="0.25">
      <c r="A110" s="299">
        <f>'A) Base RI'!A111</f>
        <v>5568</v>
      </c>
      <c r="B110" s="299" t="str">
        <f>'A) Base RI'!B111</f>
        <v>Sainte-Croix</v>
      </c>
      <c r="C110" s="316">
        <v>0</v>
      </c>
      <c r="D110" s="288">
        <f>'B) D RI'!AR111</f>
        <v>4763</v>
      </c>
      <c r="E110" s="289">
        <f>'B) D RI'!S111</f>
        <v>70</v>
      </c>
      <c r="F110" s="14">
        <f>'B) D RI'!R111</f>
        <v>6540452.0800000001</v>
      </c>
      <c r="G110" s="14">
        <f>'B) D RI'!U111</f>
        <v>93435.029714285716</v>
      </c>
      <c r="H110" s="52">
        <f>'B) D RI'!T111</f>
        <v>5966745.6299999999</v>
      </c>
      <c r="I110" s="14">
        <f t="shared" si="12"/>
        <v>170478.44657142856</v>
      </c>
      <c r="J110" s="41">
        <f t="shared" si="14"/>
        <v>403224.30845135765</v>
      </c>
      <c r="K110" s="14">
        <f t="shared" si="9"/>
        <v>170478.44657142856</v>
      </c>
      <c r="L110" s="14">
        <f t="shared" si="13"/>
        <v>232745.86187992909</v>
      </c>
      <c r="M110" s="14">
        <f>'D) Ecrêtage'!M109</f>
        <v>93435.029714285716</v>
      </c>
      <c r="N110" s="14">
        <f t="shared" si="10"/>
        <v>125433.36460889604</v>
      </c>
      <c r="O110" s="74">
        <f t="shared" si="11"/>
        <v>295911.81118032458</v>
      </c>
      <c r="P110" s="290"/>
      <c r="Q110" s="291"/>
      <c r="R110" s="287"/>
      <c r="S110" s="287"/>
      <c r="T110" s="292"/>
    </row>
    <row r="111" spans="1:20" s="286" customFormat="1" x14ac:dyDescent="0.25">
      <c r="A111" s="299">
        <f>'A) Base RI'!A112</f>
        <v>5571</v>
      </c>
      <c r="B111" s="299" t="str">
        <f>'A) Base RI'!B112</f>
        <v>Tévenon</v>
      </c>
      <c r="C111" s="316">
        <v>0</v>
      </c>
      <c r="D111" s="288">
        <f>'B) D RI'!AR112</f>
        <v>811</v>
      </c>
      <c r="E111" s="289">
        <f>'B) D RI'!S112</f>
        <v>73</v>
      </c>
      <c r="F111" s="14">
        <f>'B) D RI'!R112</f>
        <v>1515931.32</v>
      </c>
      <c r="G111" s="14">
        <f>'B) D RI'!U112</f>
        <v>20766.182465753427</v>
      </c>
      <c r="H111" s="52">
        <f>'B) D RI'!T112</f>
        <v>1383319.57</v>
      </c>
      <c r="I111" s="14">
        <f t="shared" si="12"/>
        <v>37899.166301369864</v>
      </c>
      <c r="J111" s="41">
        <f t="shared" si="14"/>
        <v>68657.340783970401</v>
      </c>
      <c r="K111" s="14">
        <f t="shared" si="9"/>
        <v>37899.166301369864</v>
      </c>
      <c r="L111" s="14">
        <f t="shared" si="13"/>
        <v>30758.174482600538</v>
      </c>
      <c r="M111" s="14">
        <f>'D) Ecrêtage'!M110</f>
        <v>20766.182465753427</v>
      </c>
      <c r="N111" s="14">
        <f t="shared" si="10"/>
        <v>27877.897023491369</v>
      </c>
      <c r="O111" s="74">
        <f t="shared" si="11"/>
        <v>65777.063324861228</v>
      </c>
      <c r="P111" s="290"/>
      <c r="Q111" s="291"/>
      <c r="R111" s="287"/>
      <c r="S111" s="287"/>
      <c r="T111" s="292"/>
    </row>
    <row r="112" spans="1:20" s="286" customFormat="1" x14ac:dyDescent="0.25">
      <c r="A112" s="299">
        <f>'A) Base RI'!A113</f>
        <v>5581</v>
      </c>
      <c r="B112" s="299" t="str">
        <f>'A) Base RI'!B113</f>
        <v>Belmont-sur-Lausanne</v>
      </c>
      <c r="C112" s="316">
        <v>1</v>
      </c>
      <c r="D112" s="288">
        <f>'B) D RI'!AR113</f>
        <v>3602</v>
      </c>
      <c r="E112" s="289">
        <f>'B) D RI'!S113</f>
        <v>69.5</v>
      </c>
      <c r="F112" s="14">
        <f>'B) D RI'!R113</f>
        <v>12025887.449999999</v>
      </c>
      <c r="G112" s="14">
        <f>'B) D RI'!U113</f>
        <v>173034.35179856114</v>
      </c>
      <c r="H112" s="52">
        <f>'B) D RI'!T113</f>
        <v>11227672.25</v>
      </c>
      <c r="I112" s="14">
        <f t="shared" si="12"/>
        <v>323098.48201438849</v>
      </c>
      <c r="J112" s="41">
        <f t="shared" si="14"/>
        <v>304936.79593571072</v>
      </c>
      <c r="K112" s="14">
        <f t="shared" si="9"/>
        <v>0</v>
      </c>
      <c r="L112" s="14">
        <f t="shared" si="13"/>
        <v>304936.79593571072</v>
      </c>
      <c r="M112" s="14">
        <f>'D) Ecrêtage'!M111</f>
        <v>173034.35179856114</v>
      </c>
      <c r="N112" s="14">
        <f t="shared" si="10"/>
        <v>232292.76006421002</v>
      </c>
      <c r="O112" s="74">
        <f t="shared" si="11"/>
        <v>232292.76006421002</v>
      </c>
      <c r="P112" s="290"/>
      <c r="Q112" s="291"/>
      <c r="R112" s="287"/>
      <c r="S112" s="287"/>
      <c r="T112" s="292"/>
    </row>
    <row r="113" spans="1:20" s="286" customFormat="1" x14ac:dyDescent="0.25">
      <c r="A113" s="299">
        <f>'A) Base RI'!A114</f>
        <v>5582</v>
      </c>
      <c r="B113" s="299" t="str">
        <f>'A) Base RI'!B114</f>
        <v>Cheseaux-sur-Lausanne</v>
      </c>
      <c r="C113" s="316">
        <v>0</v>
      </c>
      <c r="D113" s="288">
        <f>'B) D RI'!AR114</f>
        <v>4297</v>
      </c>
      <c r="E113" s="289">
        <f>'B) D RI'!S114</f>
        <v>74.5</v>
      </c>
      <c r="F113" s="14">
        <f>'B) D RI'!R114</f>
        <v>12318310.43</v>
      </c>
      <c r="G113" s="14">
        <f>'B) D RI'!U114</f>
        <v>165346.44872483221</v>
      </c>
      <c r="H113" s="52">
        <f>'B) D RI'!T114</f>
        <v>11546910.43</v>
      </c>
      <c r="I113" s="14">
        <f t="shared" si="12"/>
        <v>309984.17261744966</v>
      </c>
      <c r="J113" s="41">
        <f t="shared" si="14"/>
        <v>363773.85123146838</v>
      </c>
      <c r="K113" s="14">
        <f t="shared" si="9"/>
        <v>309984.17261744966</v>
      </c>
      <c r="L113" s="14">
        <f t="shared" si="13"/>
        <v>53789.678614018718</v>
      </c>
      <c r="M113" s="14">
        <f>'D) Ecrêtage'!M112</f>
        <v>165346.44872483221</v>
      </c>
      <c r="N113" s="14">
        <f t="shared" si="10"/>
        <v>221972.01042380556</v>
      </c>
      <c r="O113" s="74">
        <f t="shared" si="11"/>
        <v>531956.18304125522</v>
      </c>
      <c r="P113" s="290"/>
      <c r="Q113" s="291"/>
      <c r="R113" s="287"/>
      <c r="S113" s="287"/>
      <c r="T113" s="292"/>
    </row>
    <row r="114" spans="1:20" s="286" customFormat="1" x14ac:dyDescent="0.25">
      <c r="A114" s="299">
        <f>'A) Base RI'!A115</f>
        <v>5583</v>
      </c>
      <c r="B114" s="299" t="str">
        <f>'A) Base RI'!B115</f>
        <v>Crissier</v>
      </c>
      <c r="C114" s="316">
        <v>1</v>
      </c>
      <c r="D114" s="288">
        <f>'B) D RI'!AR115</f>
        <v>7542</v>
      </c>
      <c r="E114" s="289">
        <f>'B) D RI'!S115</f>
        <v>65</v>
      </c>
      <c r="F114" s="14">
        <f>'B) D RI'!R115</f>
        <v>21055171.780000001</v>
      </c>
      <c r="G114" s="14">
        <f>'B) D RI'!U115</f>
        <v>323925.7196923077</v>
      </c>
      <c r="H114" s="52">
        <f>'B) D RI'!T115</f>
        <v>18854243.030000001</v>
      </c>
      <c r="I114" s="14">
        <f t="shared" si="12"/>
        <v>580130.55476923077</v>
      </c>
      <c r="J114" s="41">
        <f t="shared" si="14"/>
        <v>638487.87200086901</v>
      </c>
      <c r="K114" s="14">
        <f t="shared" si="9"/>
        <v>0</v>
      </c>
      <c r="L114" s="14">
        <f t="shared" si="13"/>
        <v>638487.87200086901</v>
      </c>
      <c r="M114" s="14">
        <f>'D) Ecrêtage'!M113</f>
        <v>323925.7196923077</v>
      </c>
      <c r="N114" s="14">
        <f t="shared" si="10"/>
        <v>434859.31377781765</v>
      </c>
      <c r="O114" s="74">
        <f t="shared" si="11"/>
        <v>434859.31377781765</v>
      </c>
      <c r="P114" s="290"/>
      <c r="Q114" s="291"/>
      <c r="R114" s="287"/>
      <c r="S114" s="287"/>
      <c r="T114" s="292"/>
    </row>
    <row r="115" spans="1:20" s="286" customFormat="1" x14ac:dyDescent="0.25">
      <c r="A115" s="299">
        <f>'A) Base RI'!A116</f>
        <v>5584</v>
      </c>
      <c r="B115" s="299" t="str">
        <f>'A) Base RI'!B116</f>
        <v>Epalinges</v>
      </c>
      <c r="C115" s="316">
        <v>0</v>
      </c>
      <c r="D115" s="288">
        <f>'B) D RI'!AR116</f>
        <v>9185</v>
      </c>
      <c r="E115" s="289">
        <f>'B) D RI'!S116</f>
        <v>66</v>
      </c>
      <c r="F115" s="14">
        <f>'B) D RI'!R116</f>
        <v>30090958.060000002</v>
      </c>
      <c r="G115" s="14">
        <f>'B) D RI'!U116</f>
        <v>455923.60696969699</v>
      </c>
      <c r="H115" s="52">
        <f>'B) D RI'!T116</f>
        <v>27987797.600000001</v>
      </c>
      <c r="I115" s="14">
        <f t="shared" si="12"/>
        <v>848115.07878787885</v>
      </c>
      <c r="J115" s="41">
        <f t="shared" si="14"/>
        <v>777580.3638727105</v>
      </c>
      <c r="K115" s="14">
        <f t="shared" si="9"/>
        <v>777580.3638727105</v>
      </c>
      <c r="L115" s="14">
        <f t="shared" si="13"/>
        <v>0</v>
      </c>
      <c r="M115" s="14">
        <f>'D) Ecrêtage'!M114</f>
        <v>455923.60696969699</v>
      </c>
      <c r="N115" s="14">
        <f t="shared" si="10"/>
        <v>612062.00930965482</v>
      </c>
      <c r="O115" s="74">
        <f t="shared" si="11"/>
        <v>1389642.3731823652</v>
      </c>
      <c r="P115" s="290"/>
      <c r="Q115" s="291"/>
      <c r="R115" s="287"/>
      <c r="S115" s="287"/>
      <c r="T115" s="292"/>
    </row>
    <row r="116" spans="1:20" s="286" customFormat="1" x14ac:dyDescent="0.25">
      <c r="A116" s="299">
        <f>'A) Base RI'!A117</f>
        <v>5585</v>
      </c>
      <c r="B116" s="299" t="str">
        <f>'A) Base RI'!B117</f>
        <v>Jouxtens-Mézery</v>
      </c>
      <c r="C116" s="316">
        <v>0</v>
      </c>
      <c r="D116" s="288">
        <f>'B) D RI'!AR117</f>
        <v>1405</v>
      </c>
      <c r="E116" s="289">
        <f>'B) D RI'!S117</f>
        <v>53</v>
      </c>
      <c r="F116" s="14">
        <f>'B) D RI'!R117</f>
        <v>8436427.6499999985</v>
      </c>
      <c r="G116" s="14">
        <f>'B) D RI'!U117</f>
        <v>159177.88018867921</v>
      </c>
      <c r="H116" s="52">
        <f>'B) D RI'!T117</f>
        <v>7983488.6499999994</v>
      </c>
      <c r="I116" s="14">
        <f t="shared" si="12"/>
        <v>301263.72264150943</v>
      </c>
      <c r="J116" s="41">
        <f t="shared" si="14"/>
        <v>118943.97509430138</v>
      </c>
      <c r="K116" s="14">
        <f t="shared" si="9"/>
        <v>118943.97509430138</v>
      </c>
      <c r="L116" s="14">
        <f t="shared" si="13"/>
        <v>0</v>
      </c>
      <c r="M116" s="14">
        <f>'D) Ecrêtage'!M115</f>
        <v>133687.63661736436</v>
      </c>
      <c r="N116" s="14">
        <f t="shared" si="10"/>
        <v>179471.126822616</v>
      </c>
      <c r="O116" s="74">
        <f t="shared" si="11"/>
        <v>298415.10191691737</v>
      </c>
      <c r="P116" s="290"/>
      <c r="Q116" s="291"/>
      <c r="R116" s="287"/>
      <c r="S116" s="287"/>
      <c r="T116" s="292"/>
    </row>
    <row r="117" spans="1:20" s="286" customFormat="1" x14ac:dyDescent="0.25">
      <c r="A117" s="299">
        <f>'A) Base RI'!A118</f>
        <v>5586</v>
      </c>
      <c r="B117" s="299" t="str">
        <f>'A) Base RI'!B118</f>
        <v>Lausanne</v>
      </c>
      <c r="C117" s="316">
        <v>1</v>
      </c>
      <c r="D117" s="288">
        <f>'B) D RI'!AR118</f>
        <v>134937</v>
      </c>
      <c r="E117" s="289">
        <f>'B) D RI'!S118</f>
        <v>79</v>
      </c>
      <c r="F117" s="14">
        <f>'B) D RI'!R118</f>
        <v>465900849.26666665</v>
      </c>
      <c r="G117" s="14">
        <f>'B) D RI'!U118</f>
        <v>5897479.10464135</v>
      </c>
      <c r="H117" s="52">
        <f>'B) D RI'!T118</f>
        <v>439311198.39999998</v>
      </c>
      <c r="I117" s="14">
        <f t="shared" si="12"/>
        <v>11121802.491139241</v>
      </c>
      <c r="J117" s="41">
        <f t="shared" si="14"/>
        <v>11423447.09416352</v>
      </c>
      <c r="K117" s="14">
        <f t="shared" si="9"/>
        <v>0</v>
      </c>
      <c r="L117" s="14">
        <f t="shared" si="13"/>
        <v>11423447.09416352</v>
      </c>
      <c r="M117" s="14">
        <f>'D) Ecrêtage'!M116</f>
        <v>5897479.10464135</v>
      </c>
      <c r="N117" s="14">
        <f t="shared" si="10"/>
        <v>7917166.0678855851</v>
      </c>
      <c r="O117" s="74">
        <f t="shared" si="11"/>
        <v>7917166.0678855851</v>
      </c>
      <c r="P117" s="290"/>
      <c r="Q117" s="291"/>
      <c r="R117" s="287"/>
      <c r="S117" s="287"/>
      <c r="T117" s="292"/>
    </row>
    <row r="118" spans="1:20" s="286" customFormat="1" x14ac:dyDescent="0.25">
      <c r="A118" s="299">
        <f>'A) Base RI'!A119</f>
        <v>5587</v>
      </c>
      <c r="B118" s="299" t="str">
        <f>'A) Base RI'!B119</f>
        <v>Le Mont-sur-Lausanne</v>
      </c>
      <c r="C118" s="316">
        <v>0</v>
      </c>
      <c r="D118" s="288">
        <f>'B) D RI'!AR119</f>
        <v>7271</v>
      </c>
      <c r="E118" s="289">
        <f>'B) D RI'!S119</f>
        <v>75</v>
      </c>
      <c r="F118" s="14">
        <f>'B) D RI'!R119</f>
        <v>28533675.261666667</v>
      </c>
      <c r="G118" s="14">
        <f>'B) D RI'!U119</f>
        <v>380449.00348888891</v>
      </c>
      <c r="H118" s="52">
        <f>'B) D RI'!T119</f>
        <v>26699263.469999999</v>
      </c>
      <c r="I118" s="14">
        <f t="shared" si="12"/>
        <v>711980.35919999995</v>
      </c>
      <c r="J118" s="41">
        <f t="shared" si="14"/>
        <v>615545.65331719955</v>
      </c>
      <c r="K118" s="14">
        <f t="shared" si="9"/>
        <v>615545.65331719955</v>
      </c>
      <c r="L118" s="14">
        <f t="shared" si="13"/>
        <v>0</v>
      </c>
      <c r="M118" s="14">
        <f>'D) Ecrêtage'!M117</f>
        <v>380449.00348888891</v>
      </c>
      <c r="N118" s="14">
        <f t="shared" si="10"/>
        <v>510739.90895747184</v>
      </c>
      <c r="O118" s="74">
        <f t="shared" si="11"/>
        <v>1126285.5622746714</v>
      </c>
      <c r="P118" s="290"/>
      <c r="Q118" s="291"/>
      <c r="R118" s="287"/>
      <c r="S118" s="287"/>
      <c r="T118" s="292"/>
    </row>
    <row r="119" spans="1:20" s="286" customFormat="1" x14ac:dyDescent="0.25">
      <c r="A119" s="299">
        <f>'A) Base RI'!A120</f>
        <v>5588</v>
      </c>
      <c r="B119" s="299" t="str">
        <f>'A) Base RI'!B120</f>
        <v>Paudex</v>
      </c>
      <c r="C119" s="316">
        <v>1</v>
      </c>
      <c r="D119" s="288">
        <f>'B) D RI'!AR120</f>
        <v>1485</v>
      </c>
      <c r="E119" s="289">
        <f>'B) D RI'!S120</f>
        <v>61.5</v>
      </c>
      <c r="F119" s="14">
        <f>'B) D RI'!R120</f>
        <v>9396572.2271428555</v>
      </c>
      <c r="G119" s="14">
        <f>'B) D RI'!U120</f>
        <v>152789.79231126595</v>
      </c>
      <c r="H119" s="52">
        <f>'B) D RI'!T120</f>
        <v>8888309.3699999992</v>
      </c>
      <c r="I119" s="14">
        <f t="shared" si="12"/>
        <v>289050.71121951216</v>
      </c>
      <c r="J119" s="41">
        <f t="shared" si="14"/>
        <v>125716.58577582744</v>
      </c>
      <c r="K119" s="14">
        <f t="shared" si="9"/>
        <v>0</v>
      </c>
      <c r="L119" s="14">
        <f t="shared" si="13"/>
        <v>125716.58577582744</v>
      </c>
      <c r="M119" s="14">
        <f>'D) Ecrêtage'!M118</f>
        <v>131472.52830411893</v>
      </c>
      <c r="N119" s="14">
        <f t="shared" si="10"/>
        <v>176497.41889366106</v>
      </c>
      <c r="O119" s="74">
        <f t="shared" si="11"/>
        <v>176497.41889366106</v>
      </c>
      <c r="P119" s="290"/>
      <c r="Q119" s="291"/>
      <c r="R119" s="287"/>
      <c r="S119" s="287"/>
      <c r="T119" s="292"/>
    </row>
    <row r="120" spans="1:20" s="286" customFormat="1" x14ac:dyDescent="0.25">
      <c r="A120" s="299">
        <f>'A) Base RI'!A121</f>
        <v>5589</v>
      </c>
      <c r="B120" s="299" t="str">
        <f>'A) Base RI'!B121</f>
        <v>Prilly</v>
      </c>
      <c r="C120" s="316">
        <v>1</v>
      </c>
      <c r="D120" s="288">
        <f>'B) D RI'!AR121</f>
        <v>11782</v>
      </c>
      <c r="E120" s="289">
        <f>'B) D RI'!S121</f>
        <v>73.5</v>
      </c>
      <c r="F120" s="14">
        <f>'B) D RI'!R121</f>
        <v>33987500.520000003</v>
      </c>
      <c r="G120" s="14">
        <f>'B) D RI'!U121</f>
        <v>462414.97306122456</v>
      </c>
      <c r="H120" s="52">
        <f>'B) D RI'!T121</f>
        <v>31929171.920000002</v>
      </c>
      <c r="I120" s="14">
        <f t="shared" si="12"/>
        <v>868821.00462585036</v>
      </c>
      <c r="J120" s="41">
        <f t="shared" si="14"/>
        <v>997436.23812175007</v>
      </c>
      <c r="K120" s="14">
        <f t="shared" si="9"/>
        <v>0</v>
      </c>
      <c r="L120" s="14">
        <f t="shared" si="13"/>
        <v>997436.23812175007</v>
      </c>
      <c r="M120" s="14">
        <f>'D) Ecrêtage'!M119</f>
        <v>462414.97306122456</v>
      </c>
      <c r="N120" s="14">
        <f t="shared" si="10"/>
        <v>620776.44855431758</v>
      </c>
      <c r="O120" s="74">
        <f t="shared" si="11"/>
        <v>620776.44855431758</v>
      </c>
      <c r="P120" s="290"/>
      <c r="Q120" s="291"/>
      <c r="R120" s="287"/>
      <c r="S120" s="287"/>
      <c r="T120" s="292"/>
    </row>
    <row r="121" spans="1:20" s="286" customFormat="1" x14ac:dyDescent="0.25">
      <c r="A121" s="299">
        <f>'A) Base RI'!A122</f>
        <v>5590</v>
      </c>
      <c r="B121" s="299" t="str">
        <f>'A) Base RI'!B122</f>
        <v>Pully</v>
      </c>
      <c r="C121" s="316">
        <v>1</v>
      </c>
      <c r="D121" s="288">
        <f>'B) D RI'!AR122</f>
        <v>17811</v>
      </c>
      <c r="E121" s="289">
        <f>'B) D RI'!S122</f>
        <v>63</v>
      </c>
      <c r="F121" s="14">
        <f>'B) D RI'!R122</f>
        <v>86101055.861428559</v>
      </c>
      <c r="G121" s="14">
        <f>'B) D RI'!U122</f>
        <v>1366683.426371882</v>
      </c>
      <c r="H121" s="52">
        <f>'B) D RI'!T122</f>
        <v>81316654.789999992</v>
      </c>
      <c r="I121" s="14">
        <f t="shared" si="12"/>
        <v>2581481.1044444442</v>
      </c>
      <c r="J121" s="41">
        <f t="shared" si="14"/>
        <v>1507837.1106082576</v>
      </c>
      <c r="K121" s="14">
        <f t="shared" si="9"/>
        <v>0</v>
      </c>
      <c r="L121" s="14">
        <f t="shared" si="13"/>
        <v>1507837.1106082576</v>
      </c>
      <c r="M121" s="14">
        <f>'D) Ecrêtage'!M120</f>
        <v>1264205.9412925458</v>
      </c>
      <c r="N121" s="14">
        <f t="shared" si="10"/>
        <v>1697153.6827224391</v>
      </c>
      <c r="O121" s="74">
        <f t="shared" si="11"/>
        <v>1697153.6827224391</v>
      </c>
      <c r="P121" s="290"/>
      <c r="Q121" s="291"/>
      <c r="R121" s="287"/>
      <c r="S121" s="287"/>
      <c r="T121" s="292"/>
    </row>
    <row r="122" spans="1:20" s="286" customFormat="1" x14ac:dyDescent="0.25">
      <c r="A122" s="299">
        <f>'A) Base RI'!A123</f>
        <v>5591</v>
      </c>
      <c r="B122" s="299" t="str">
        <f>'A) Base RI'!B123</f>
        <v>Renens</v>
      </c>
      <c r="C122" s="316">
        <v>1</v>
      </c>
      <c r="D122" s="288">
        <f>'B) D RI'!AR123</f>
        <v>20362</v>
      </c>
      <c r="E122" s="289">
        <f>'B) D RI'!S123</f>
        <v>78.5</v>
      </c>
      <c r="F122" s="14">
        <f>'B) D RI'!R123</f>
        <v>42931279.927142859</v>
      </c>
      <c r="G122" s="14">
        <f>'B) D RI'!U123</f>
        <v>546895.28569608741</v>
      </c>
      <c r="H122" s="52">
        <f>'B) D RI'!T123</f>
        <v>39099907.32</v>
      </c>
      <c r="I122" s="14">
        <f t="shared" si="12"/>
        <v>996175.98267515923</v>
      </c>
      <c r="J122" s="41">
        <f t="shared" si="14"/>
        <v>1723798.7337154197</v>
      </c>
      <c r="K122" s="14">
        <f t="shared" si="9"/>
        <v>0</v>
      </c>
      <c r="L122" s="14">
        <f t="shared" si="13"/>
        <v>1723798.7337154197</v>
      </c>
      <c r="M122" s="14">
        <f>'D) Ecrêtage'!M121</f>
        <v>546895.28569608741</v>
      </c>
      <c r="N122" s="14">
        <f t="shared" si="10"/>
        <v>734188.40860191104</v>
      </c>
      <c r="O122" s="74">
        <f t="shared" si="11"/>
        <v>734188.40860191104</v>
      </c>
      <c r="P122" s="290"/>
      <c r="Q122" s="291"/>
      <c r="R122" s="287"/>
      <c r="S122" s="287"/>
      <c r="T122" s="292"/>
    </row>
    <row r="123" spans="1:20" s="286" customFormat="1" x14ac:dyDescent="0.25">
      <c r="A123" s="299">
        <f>'A) Base RI'!A124</f>
        <v>5592</v>
      </c>
      <c r="B123" s="299" t="str">
        <f>'A) Base RI'!B124</f>
        <v>Romanel-sur-Lausanne</v>
      </c>
      <c r="C123" s="316">
        <v>0</v>
      </c>
      <c r="D123" s="288">
        <f>'B) D RI'!AR124</f>
        <v>3351</v>
      </c>
      <c r="E123" s="289">
        <f>'B) D RI'!S124</f>
        <v>70</v>
      </c>
      <c r="F123" s="14">
        <f>'B) D RI'!R124</f>
        <v>7719168.6799999997</v>
      </c>
      <c r="G123" s="14">
        <f>'B) D RI'!U124</f>
        <v>110273.83828571429</v>
      </c>
      <c r="H123" s="52">
        <f>'B) D RI'!T124</f>
        <v>6996550.4799999995</v>
      </c>
      <c r="I123" s="14">
        <f t="shared" si="12"/>
        <v>199901.44228571426</v>
      </c>
      <c r="J123" s="41">
        <f t="shared" si="14"/>
        <v>283687.72992242273</v>
      </c>
      <c r="K123" s="14">
        <f t="shared" si="9"/>
        <v>199901.44228571426</v>
      </c>
      <c r="L123" s="14">
        <f t="shared" si="13"/>
        <v>83786.287636708468</v>
      </c>
      <c r="M123" s="14">
        <f>'D) Ecrêtage'!M122</f>
        <v>110273.83828571429</v>
      </c>
      <c r="N123" s="14">
        <f t="shared" si="10"/>
        <v>148038.89512114745</v>
      </c>
      <c r="O123" s="74">
        <f t="shared" si="11"/>
        <v>347940.33740686171</v>
      </c>
      <c r="P123" s="290"/>
      <c r="Q123" s="291"/>
      <c r="R123" s="287"/>
      <c r="S123" s="287"/>
      <c r="T123" s="292"/>
    </row>
    <row r="124" spans="1:20" s="286" customFormat="1" x14ac:dyDescent="0.25">
      <c r="A124" s="299">
        <f>'A) Base RI'!A125</f>
        <v>5601</v>
      </c>
      <c r="B124" s="299" t="str">
        <f>'A) Base RI'!B125</f>
        <v>Chexbres</v>
      </c>
      <c r="C124" s="316">
        <v>1</v>
      </c>
      <c r="D124" s="288">
        <f>'B) D RI'!AR125</f>
        <v>2218</v>
      </c>
      <c r="E124" s="289">
        <f>'B) D RI'!S125</f>
        <v>64</v>
      </c>
      <c r="F124" s="14">
        <f>'B) D RI'!R125</f>
        <v>6686397.4900000012</v>
      </c>
      <c r="G124" s="14">
        <f>'B) D RI'!U125</f>
        <v>104474.96078125002</v>
      </c>
      <c r="H124" s="52">
        <f>'B) D RI'!T125</f>
        <v>6280365.2400000012</v>
      </c>
      <c r="I124" s="14">
        <f t="shared" si="12"/>
        <v>196261.41375000004</v>
      </c>
      <c r="J124" s="41">
        <f t="shared" si="14"/>
        <v>187770.63114530995</v>
      </c>
      <c r="K124" s="14">
        <f t="shared" si="9"/>
        <v>0</v>
      </c>
      <c r="L124" s="14">
        <f t="shared" si="13"/>
        <v>187770.63114530995</v>
      </c>
      <c r="M124" s="14">
        <f>'D) Ecrêtage'!M123</f>
        <v>104474.96078125002</v>
      </c>
      <c r="N124" s="14">
        <f t="shared" si="10"/>
        <v>140254.09836382829</v>
      </c>
      <c r="O124" s="74">
        <f t="shared" si="11"/>
        <v>140254.09836382829</v>
      </c>
      <c r="P124" s="290"/>
      <c r="Q124" s="291"/>
      <c r="R124" s="287"/>
      <c r="S124" s="287"/>
      <c r="T124" s="292"/>
    </row>
    <row r="125" spans="1:20" s="286" customFormat="1" x14ac:dyDescent="0.25">
      <c r="A125" s="299">
        <f>'A) Base RI'!A126</f>
        <v>5604</v>
      </c>
      <c r="B125" s="299" t="str">
        <f>'A) Base RI'!B126</f>
        <v>Forel (Lavaux)</v>
      </c>
      <c r="C125" s="316">
        <v>0</v>
      </c>
      <c r="D125" s="288">
        <f>'B) D RI'!AR126</f>
        <v>2085</v>
      </c>
      <c r="E125" s="289">
        <f>'B) D RI'!S126</f>
        <v>68</v>
      </c>
      <c r="F125" s="14">
        <f>'B) D RI'!R126</f>
        <v>4454999.59</v>
      </c>
      <c r="G125" s="14">
        <f>'B) D RI'!U126</f>
        <v>65514.699852941172</v>
      </c>
      <c r="H125" s="52">
        <f>'B) D RI'!T126</f>
        <v>4097131.54</v>
      </c>
      <c r="I125" s="14">
        <f t="shared" si="12"/>
        <v>120503.86882352941</v>
      </c>
      <c r="J125" s="41">
        <f t="shared" si="14"/>
        <v>176511.16588727286</v>
      </c>
      <c r="K125" s="14">
        <f t="shared" si="9"/>
        <v>120503.86882352941</v>
      </c>
      <c r="L125" s="14">
        <f t="shared" si="13"/>
        <v>56007.297063743448</v>
      </c>
      <c r="M125" s="14">
        <f>'D) Ecrêtage'!M124</f>
        <v>65514.699852941172</v>
      </c>
      <c r="N125" s="14">
        <f t="shared" si="10"/>
        <v>87951.266875231813</v>
      </c>
      <c r="O125" s="74">
        <f t="shared" si="11"/>
        <v>208455.13569876121</v>
      </c>
      <c r="P125" s="290"/>
      <c r="Q125" s="291"/>
      <c r="R125" s="287"/>
      <c r="S125" s="287"/>
      <c r="T125" s="292"/>
    </row>
    <row r="126" spans="1:20" s="286" customFormat="1" x14ac:dyDescent="0.25">
      <c r="A126" s="299">
        <f>'A) Base RI'!A127</f>
        <v>5606</v>
      </c>
      <c r="B126" s="299" t="str">
        <f>'A) Base RI'!B127</f>
        <v>Lutry</v>
      </c>
      <c r="C126" s="316">
        <v>1</v>
      </c>
      <c r="D126" s="288">
        <f>'B) D RI'!AR127</f>
        <v>9739</v>
      </c>
      <c r="E126" s="289">
        <f>'B) D RI'!S127</f>
        <v>56</v>
      </c>
      <c r="F126" s="14">
        <f>'B) D RI'!R127</f>
        <v>41578356.861428574</v>
      </c>
      <c r="G126" s="14">
        <f>'B) D RI'!U127</f>
        <v>742470.65823979594</v>
      </c>
      <c r="H126" s="52">
        <f>'B) D RI'!T127</f>
        <v>38852908.789999999</v>
      </c>
      <c r="I126" s="14">
        <f t="shared" si="12"/>
        <v>1387603.8853571429</v>
      </c>
      <c r="J126" s="41">
        <f t="shared" si="14"/>
        <v>824480.6928422784</v>
      </c>
      <c r="K126" s="14">
        <f t="shared" si="9"/>
        <v>0</v>
      </c>
      <c r="L126" s="14">
        <f t="shared" si="13"/>
        <v>824480.6928422784</v>
      </c>
      <c r="M126" s="14">
        <f>'D) Ecrêtage'!M125</f>
        <v>687879.74736869638</v>
      </c>
      <c r="N126" s="14">
        <f t="shared" si="10"/>
        <v>923455.27606313559</v>
      </c>
      <c r="O126" s="74">
        <f t="shared" si="11"/>
        <v>923455.27606313559</v>
      </c>
      <c r="P126" s="290"/>
      <c r="Q126" s="291"/>
      <c r="R126" s="287"/>
      <c r="S126" s="287"/>
      <c r="T126" s="292"/>
    </row>
    <row r="127" spans="1:20" s="286" customFormat="1" x14ac:dyDescent="0.25">
      <c r="A127" s="299">
        <f>'A) Base RI'!A128</f>
        <v>5607</v>
      </c>
      <c r="B127" s="299" t="str">
        <f>'A) Base RI'!B128</f>
        <v>Puidoux</v>
      </c>
      <c r="C127" s="316">
        <v>1</v>
      </c>
      <c r="D127" s="288">
        <f>'B) D RI'!AR128</f>
        <v>2858</v>
      </c>
      <c r="E127" s="289">
        <f>'B) D RI'!S128</f>
        <v>68</v>
      </c>
      <c r="F127" s="14">
        <f>'B) D RI'!R128</f>
        <v>6858647.4169565216</v>
      </c>
      <c r="G127" s="14">
        <f>'B) D RI'!U128</f>
        <v>100862.46201406649</v>
      </c>
      <c r="H127" s="52">
        <f>'B) D RI'!T128</f>
        <v>6261542.8300000001</v>
      </c>
      <c r="I127" s="14">
        <f t="shared" si="12"/>
        <v>184163.02441176469</v>
      </c>
      <c r="J127" s="41">
        <f t="shared" si="14"/>
        <v>241951.51659751841</v>
      </c>
      <c r="K127" s="14">
        <f t="shared" si="9"/>
        <v>0</v>
      </c>
      <c r="L127" s="14">
        <f t="shared" si="13"/>
        <v>241951.51659751841</v>
      </c>
      <c r="M127" s="14">
        <f>'D) Ecrêtage'!M126</f>
        <v>100862.46201406649</v>
      </c>
      <c r="N127" s="14">
        <f t="shared" si="10"/>
        <v>135404.4410522297</v>
      </c>
      <c r="O127" s="74">
        <f t="shared" si="11"/>
        <v>135404.4410522297</v>
      </c>
      <c r="P127" s="290"/>
      <c r="Q127" s="291"/>
      <c r="R127" s="287"/>
      <c r="S127" s="287"/>
      <c r="T127" s="292"/>
    </row>
    <row r="128" spans="1:20" s="286" customFormat="1" x14ac:dyDescent="0.25">
      <c r="A128" s="299">
        <f>'A) Base RI'!A129</f>
        <v>5609</v>
      </c>
      <c r="B128" s="299" t="str">
        <f>'A) Base RI'!B129</f>
        <v>Rivaz</v>
      </c>
      <c r="C128" s="316">
        <v>1</v>
      </c>
      <c r="D128" s="288">
        <f>'B) D RI'!AR129</f>
        <v>360</v>
      </c>
      <c r="E128" s="289">
        <f>'B) D RI'!S129</f>
        <v>63.5</v>
      </c>
      <c r="F128" s="14">
        <f>'B) D RI'!R129</f>
        <v>1023762.5199999999</v>
      </c>
      <c r="G128" s="14">
        <f>'B) D RI'!U129</f>
        <v>16122.244409448818</v>
      </c>
      <c r="H128" s="52">
        <f>'B) D RI'!T129</f>
        <v>974095.41999999993</v>
      </c>
      <c r="I128" s="14">
        <f t="shared" si="12"/>
        <v>30680.170708661415</v>
      </c>
      <c r="J128" s="41">
        <f t="shared" si="14"/>
        <v>30476.748066867258</v>
      </c>
      <c r="K128" s="14">
        <f t="shared" si="9"/>
        <v>0</v>
      </c>
      <c r="L128" s="14">
        <f t="shared" si="13"/>
        <v>30476.748066867258</v>
      </c>
      <c r="M128" s="14">
        <f>'D) Ecrêtage'!M127</f>
        <v>16122.244409448818</v>
      </c>
      <c r="N128" s="14">
        <f t="shared" si="10"/>
        <v>21643.567380542456</v>
      </c>
      <c r="O128" s="74">
        <f t="shared" si="11"/>
        <v>21643.567380542456</v>
      </c>
      <c r="P128" s="290"/>
      <c r="Q128" s="291"/>
      <c r="R128" s="287"/>
      <c r="S128" s="287"/>
      <c r="T128" s="292"/>
    </row>
    <row r="129" spans="1:20" s="286" customFormat="1" x14ac:dyDescent="0.25">
      <c r="A129" s="299">
        <f>'A) Base RI'!A130</f>
        <v>5610</v>
      </c>
      <c r="B129" s="299" t="str">
        <f>'A) Base RI'!B130</f>
        <v>St-Saphorin (Lavaux)</v>
      </c>
      <c r="C129" s="316">
        <v>1</v>
      </c>
      <c r="D129" s="288">
        <f>'B) D RI'!AR130</f>
        <v>383</v>
      </c>
      <c r="E129" s="289">
        <f>'B) D RI'!S130</f>
        <v>62</v>
      </c>
      <c r="F129" s="14">
        <f>'B) D RI'!R130</f>
        <v>1300418.2</v>
      </c>
      <c r="G129" s="14">
        <f>'B) D RI'!U130</f>
        <v>20974.487096774192</v>
      </c>
      <c r="H129" s="52">
        <f>'B) D RI'!T130</f>
        <v>1215945.6499999999</v>
      </c>
      <c r="I129" s="14">
        <f t="shared" si="12"/>
        <v>39224.053225806449</v>
      </c>
      <c r="J129" s="41">
        <f t="shared" si="14"/>
        <v>32423.873637805998</v>
      </c>
      <c r="K129" s="14">
        <f t="shared" si="9"/>
        <v>0</v>
      </c>
      <c r="L129" s="14">
        <f t="shared" si="13"/>
        <v>32423.873637805998</v>
      </c>
      <c r="M129" s="14">
        <f>'D) Ecrêtage'!M128</f>
        <v>20953.215883284913</v>
      </c>
      <c r="N129" s="14">
        <f t="shared" si="10"/>
        <v>28128.98305543264</v>
      </c>
      <c r="O129" s="74">
        <f t="shared" si="11"/>
        <v>28128.98305543264</v>
      </c>
      <c r="P129" s="290"/>
      <c r="Q129" s="291"/>
      <c r="R129" s="287"/>
      <c r="S129" s="287"/>
      <c r="T129" s="292"/>
    </row>
    <row r="130" spans="1:20" s="286" customFormat="1" x14ac:dyDescent="0.25">
      <c r="A130" s="299">
        <f>'A) Base RI'!A131</f>
        <v>5611</v>
      </c>
      <c r="B130" s="299" t="str">
        <f>'A) Base RI'!B131</f>
        <v>Savigny</v>
      </c>
      <c r="C130" s="316">
        <v>1</v>
      </c>
      <c r="D130" s="288">
        <f>'B) D RI'!AR131</f>
        <v>3304</v>
      </c>
      <c r="E130" s="289">
        <f>'B) D RI'!S131</f>
        <v>67</v>
      </c>
      <c r="F130" s="14">
        <f>'B) D RI'!R131</f>
        <v>8730931.25</v>
      </c>
      <c r="G130" s="14">
        <f>'B) D RI'!U131</f>
        <v>130312.40671641791</v>
      </c>
      <c r="H130" s="52">
        <f>'B) D RI'!T131</f>
        <v>8112638.7499999991</v>
      </c>
      <c r="I130" s="14">
        <f t="shared" si="12"/>
        <v>242168.32089552237</v>
      </c>
      <c r="J130" s="41">
        <f t="shared" si="14"/>
        <v>279708.82114702614</v>
      </c>
      <c r="K130" s="14">
        <f t="shared" si="9"/>
        <v>0</v>
      </c>
      <c r="L130" s="14">
        <f t="shared" si="13"/>
        <v>279708.82114702614</v>
      </c>
      <c r="M130" s="14">
        <f>'D) Ecrêtage'!M129</f>
        <v>130312.40671641791</v>
      </c>
      <c r="N130" s="14">
        <f t="shared" si="10"/>
        <v>174939.99493237233</v>
      </c>
      <c r="O130" s="74">
        <f t="shared" si="11"/>
        <v>174939.99493237233</v>
      </c>
      <c r="P130" s="290"/>
      <c r="Q130" s="291"/>
      <c r="R130" s="287"/>
      <c r="S130" s="287"/>
      <c r="T130" s="292"/>
    </row>
    <row r="131" spans="1:20" s="286" customFormat="1" x14ac:dyDescent="0.25">
      <c r="A131" s="299">
        <f>'A) Base RI'!A132</f>
        <v>5613</v>
      </c>
      <c r="B131" s="299" t="str">
        <f>'A) Base RI'!B132</f>
        <v>Bourg-en-Lavaux</v>
      </c>
      <c r="C131" s="316">
        <v>1</v>
      </c>
      <c r="D131" s="288">
        <f>'B) D RI'!AR132</f>
        <v>5247</v>
      </c>
      <c r="E131" s="289">
        <f>'B) D RI'!S132</f>
        <v>61</v>
      </c>
      <c r="F131" s="14">
        <f>'B) D RI'!R132</f>
        <v>18035192.243333336</v>
      </c>
      <c r="G131" s="14">
        <f>'B) D RI'!U132</f>
        <v>295658.88923497271</v>
      </c>
      <c r="H131" s="52">
        <f>'B) D RI'!T132</f>
        <v>16828641.210000001</v>
      </c>
      <c r="I131" s="14">
        <f t="shared" si="12"/>
        <v>551758.72819672129</v>
      </c>
      <c r="J131" s="41">
        <f t="shared" si="14"/>
        <v>444198.60307459027</v>
      </c>
      <c r="K131" s="14">
        <f t="shared" si="9"/>
        <v>0</v>
      </c>
      <c r="L131" s="14">
        <f t="shared" si="13"/>
        <v>444198.60307459027</v>
      </c>
      <c r="M131" s="14">
        <f>'D) Ecrêtage'!M130</f>
        <v>293422.02834789746</v>
      </c>
      <c r="N131" s="14">
        <f t="shared" si="10"/>
        <v>393909.14070011128</v>
      </c>
      <c r="O131" s="74">
        <f t="shared" si="11"/>
        <v>393909.14070011128</v>
      </c>
      <c r="P131" s="290"/>
      <c r="Q131" s="291"/>
      <c r="R131" s="287"/>
      <c r="S131" s="287"/>
      <c r="T131" s="292"/>
    </row>
    <row r="132" spans="1:20" s="286" customFormat="1" x14ac:dyDescent="0.25">
      <c r="A132" s="299">
        <f>'A) Base RI'!A133</f>
        <v>5621</v>
      </c>
      <c r="B132" s="299" t="str">
        <f>'A) Base RI'!B133</f>
        <v>Aclens</v>
      </c>
      <c r="C132" s="316">
        <v>0</v>
      </c>
      <c r="D132" s="288">
        <f>'B) D RI'!AR133</f>
        <v>528</v>
      </c>
      <c r="E132" s="289">
        <f>'B) D RI'!S133</f>
        <v>62</v>
      </c>
      <c r="F132" s="14">
        <f>'B) D RI'!R133</f>
        <v>2093079.0227272727</v>
      </c>
      <c r="G132" s="14">
        <f>'B) D RI'!U133</f>
        <v>33759.339076246331</v>
      </c>
      <c r="H132" s="52">
        <f>'B) D RI'!T133</f>
        <v>1809338.75</v>
      </c>
      <c r="I132" s="14">
        <f t="shared" si="12"/>
        <v>58365.766129032258</v>
      </c>
      <c r="J132" s="41">
        <f t="shared" si="14"/>
        <v>44699.230498071978</v>
      </c>
      <c r="K132" s="14">
        <f t="shared" si="9"/>
        <v>44699.230498071978</v>
      </c>
      <c r="L132" s="14">
        <f t="shared" si="13"/>
        <v>0</v>
      </c>
      <c r="M132" s="14">
        <f>'D) Ecrêtage'!M131</f>
        <v>32596.490883992956</v>
      </c>
      <c r="N132" s="14">
        <f t="shared" si="10"/>
        <v>43759.685618179945</v>
      </c>
      <c r="O132" s="74">
        <f t="shared" si="11"/>
        <v>88458.91611625193</v>
      </c>
      <c r="P132" s="290"/>
      <c r="Q132" s="291"/>
      <c r="R132" s="287"/>
      <c r="S132" s="287"/>
      <c r="T132" s="292"/>
    </row>
    <row r="133" spans="1:20" s="286" customFormat="1" x14ac:dyDescent="0.25">
      <c r="A133" s="299">
        <f>'A) Base RI'!A134</f>
        <v>5622</v>
      </c>
      <c r="B133" s="299" t="str">
        <f>'A) Base RI'!B134</f>
        <v>Bremblens</v>
      </c>
      <c r="C133" s="316">
        <v>0</v>
      </c>
      <c r="D133" s="288">
        <f>'B) D RI'!AR134</f>
        <v>511</v>
      </c>
      <c r="E133" s="289">
        <f>'B) D RI'!S134</f>
        <v>66</v>
      </c>
      <c r="F133" s="14">
        <f>'B) D RI'!R134</f>
        <v>1856335.0499999998</v>
      </c>
      <c r="G133" s="14">
        <f>'B) D RI'!U134</f>
        <v>28126.288636363635</v>
      </c>
      <c r="H133" s="52">
        <f>'B) D RI'!T134</f>
        <v>1725551.0499999998</v>
      </c>
      <c r="I133" s="14">
        <f t="shared" si="12"/>
        <v>52289.425757575751</v>
      </c>
      <c r="J133" s="41">
        <f t="shared" si="14"/>
        <v>43260.05072824769</v>
      </c>
      <c r="K133" s="14">
        <f t="shared" si="9"/>
        <v>43260.05072824769</v>
      </c>
      <c r="L133" s="14">
        <f t="shared" si="13"/>
        <v>0</v>
      </c>
      <c r="M133" s="14">
        <f>'D) Ecrêtage'!M132</f>
        <v>28064.668505419701</v>
      </c>
      <c r="N133" s="14">
        <f t="shared" si="10"/>
        <v>37675.86747746155</v>
      </c>
      <c r="O133" s="74">
        <f t="shared" si="11"/>
        <v>80935.91820570924</v>
      </c>
      <c r="P133" s="290"/>
      <c r="Q133" s="291"/>
      <c r="R133" s="287"/>
      <c r="S133" s="287"/>
      <c r="T133" s="292"/>
    </row>
    <row r="134" spans="1:20" s="286" customFormat="1" x14ac:dyDescent="0.25">
      <c r="A134" s="299">
        <f>'A) Base RI'!A135</f>
        <v>5623</v>
      </c>
      <c r="B134" s="299" t="str">
        <f>'A) Base RI'!B135</f>
        <v>Buchillon</v>
      </c>
      <c r="C134" s="316">
        <v>1</v>
      </c>
      <c r="D134" s="288">
        <f>'B) D RI'!AR135</f>
        <v>624</v>
      </c>
      <c r="E134" s="289">
        <f>'B) D RI'!S135</f>
        <v>53</v>
      </c>
      <c r="F134" s="14">
        <f>'B) D RI'!R135</f>
        <v>4560414.13</v>
      </c>
      <c r="G134" s="14">
        <f>'B) D RI'!U135</f>
        <v>86045.549622641513</v>
      </c>
      <c r="H134" s="52">
        <f>'B) D RI'!T135</f>
        <v>4263144.63</v>
      </c>
      <c r="I134" s="14">
        <f t="shared" si="12"/>
        <v>160873.38226415095</v>
      </c>
      <c r="J134" s="41">
        <f t="shared" ref="J134:J169" si="15">+$I$315/$D$315*D134</f>
        <v>52826.363315903247</v>
      </c>
      <c r="K134" s="14">
        <f t="shared" ref="K134:K192" si="16">IF(C134=1,0,IF(J134&gt;I134,I134,J134))</f>
        <v>0</v>
      </c>
      <c r="L134" s="14">
        <f t="shared" si="13"/>
        <v>52826.363315903247</v>
      </c>
      <c r="M134" s="14">
        <f>'D) Ecrêtage'!M133</f>
        <v>69073.160217996425</v>
      </c>
      <c r="N134" s="14">
        <f t="shared" ref="N134:N192" si="17">+$N$5*M134</f>
        <v>92728.379461177043</v>
      </c>
      <c r="O134" s="74">
        <f t="shared" ref="O134:O192" si="18">+N134+K134</f>
        <v>92728.379461177043</v>
      </c>
      <c r="P134" s="290"/>
      <c r="Q134" s="291"/>
      <c r="R134" s="287"/>
      <c r="S134" s="287"/>
      <c r="T134" s="292"/>
    </row>
    <row r="135" spans="1:20" s="286" customFormat="1" x14ac:dyDescent="0.25">
      <c r="A135" s="299">
        <f>'A) Base RI'!A136</f>
        <v>5624</v>
      </c>
      <c r="B135" s="299" t="str">
        <f>'A) Base RI'!B136</f>
        <v>Bussigny</v>
      </c>
      <c r="C135" s="316">
        <v>1</v>
      </c>
      <c r="D135" s="288">
        <f>'B) D RI'!AR136</f>
        <v>8215</v>
      </c>
      <c r="E135" s="289">
        <f>'B) D RI'!S136</f>
        <v>62</v>
      </c>
      <c r="F135" s="14">
        <f>'B) D RI'!R136</f>
        <v>19354839.939999998</v>
      </c>
      <c r="G135" s="14">
        <f>'B) D RI'!U136</f>
        <v>312174.83774193545</v>
      </c>
      <c r="H135" s="52">
        <f>'B) D RI'!T136</f>
        <v>17501337.439999998</v>
      </c>
      <c r="I135" s="14">
        <f t="shared" ref="I135:I193" si="19">+H135/E135*$I$5</f>
        <v>564559.27225806448</v>
      </c>
      <c r="J135" s="41">
        <f t="shared" si="15"/>
        <v>695462.45935920696</v>
      </c>
      <c r="K135" s="14">
        <f t="shared" si="16"/>
        <v>0</v>
      </c>
      <c r="L135" s="14">
        <f t="shared" ref="L135:L193" si="20">+J135-K135</f>
        <v>695462.45935920696</v>
      </c>
      <c r="M135" s="14">
        <f>'D) Ecrêtage'!M134</f>
        <v>312174.83774193545</v>
      </c>
      <c r="N135" s="14">
        <f t="shared" si="17"/>
        <v>419084.15252764919</v>
      </c>
      <c r="O135" s="74">
        <f t="shared" si="18"/>
        <v>419084.15252764919</v>
      </c>
      <c r="P135" s="290"/>
      <c r="Q135" s="291"/>
      <c r="R135" s="287"/>
      <c r="S135" s="287"/>
      <c r="T135" s="292"/>
    </row>
    <row r="136" spans="1:20" s="286" customFormat="1" x14ac:dyDescent="0.25">
      <c r="A136" s="299">
        <f>'A) Base RI'!A137</f>
        <v>5625</v>
      </c>
      <c r="B136" s="299" t="str">
        <f>'A) Base RI'!B137</f>
        <v>Bussy-Chardonney</v>
      </c>
      <c r="C136" s="316">
        <v>0</v>
      </c>
      <c r="D136" s="288">
        <f>'B) D RI'!AR137</f>
        <v>377</v>
      </c>
      <c r="E136" s="289">
        <f>'B) D RI'!S137</f>
        <v>78</v>
      </c>
      <c r="F136" s="14">
        <f>'B) D RI'!R137</f>
        <v>1261464.1416666668</v>
      </c>
      <c r="G136" s="14">
        <f>'B) D RI'!U137</f>
        <v>16172.617200854704</v>
      </c>
      <c r="H136" s="52">
        <f>'B) D RI'!T137</f>
        <v>1172898.3500000001</v>
      </c>
      <c r="I136" s="14">
        <f t="shared" si="19"/>
        <v>30074.316666666669</v>
      </c>
      <c r="J136" s="41">
        <f t="shared" si="15"/>
        <v>31915.927836691546</v>
      </c>
      <c r="K136" s="14">
        <f t="shared" si="16"/>
        <v>30074.316666666669</v>
      </c>
      <c r="L136" s="14">
        <f t="shared" si="20"/>
        <v>1841.6111700248766</v>
      </c>
      <c r="M136" s="14">
        <f>'D) Ecrêtage'!M135</f>
        <v>16172.617200854704</v>
      </c>
      <c r="N136" s="14">
        <f t="shared" si="17"/>
        <v>21711.191147882215</v>
      </c>
      <c r="O136" s="74">
        <f t="shared" si="18"/>
        <v>51785.507814548881</v>
      </c>
      <c r="P136" s="290"/>
      <c r="Q136" s="291"/>
      <c r="R136" s="287"/>
      <c r="S136" s="287"/>
      <c r="T136" s="292"/>
    </row>
    <row r="137" spans="1:20" s="286" customFormat="1" x14ac:dyDescent="0.25">
      <c r="A137" s="299">
        <f>'A) Base RI'!A138</f>
        <v>5627</v>
      </c>
      <c r="B137" s="299" t="str">
        <f>'A) Base RI'!B138</f>
        <v>Chavannes-près-Renens</v>
      </c>
      <c r="C137" s="316">
        <v>1</v>
      </c>
      <c r="D137" s="288">
        <f>'B) D RI'!AR138</f>
        <v>7374</v>
      </c>
      <c r="E137" s="289">
        <f>'B) D RI'!S138</f>
        <v>79</v>
      </c>
      <c r="F137" s="14">
        <f>'B) D RI'!R138</f>
        <v>12838441.873333331</v>
      </c>
      <c r="G137" s="14">
        <f>'B) D RI'!U138</f>
        <v>162511.92244725736</v>
      </c>
      <c r="H137" s="52">
        <f>'B) D RI'!T138</f>
        <v>11832936.339999998</v>
      </c>
      <c r="I137" s="14">
        <f t="shared" si="19"/>
        <v>299568.00860759488</v>
      </c>
      <c r="J137" s="41">
        <f t="shared" si="15"/>
        <v>624265.38956966437</v>
      </c>
      <c r="K137" s="14">
        <f t="shared" si="16"/>
        <v>0</v>
      </c>
      <c r="L137" s="14">
        <f t="shared" si="20"/>
        <v>624265.38956966437</v>
      </c>
      <c r="M137" s="14">
        <f>'D) Ecrêtage'!M136</f>
        <v>162511.92244725736</v>
      </c>
      <c r="N137" s="14">
        <f t="shared" si="17"/>
        <v>218166.75484508142</v>
      </c>
      <c r="O137" s="74">
        <f t="shared" si="18"/>
        <v>218166.75484508142</v>
      </c>
      <c r="P137" s="290"/>
      <c r="Q137" s="291"/>
      <c r="R137" s="287"/>
      <c r="S137" s="287"/>
      <c r="T137" s="292"/>
    </row>
    <row r="138" spans="1:20" s="286" customFormat="1" x14ac:dyDescent="0.25">
      <c r="A138" s="299">
        <f>'A) Base RI'!A139</f>
        <v>5628</v>
      </c>
      <c r="B138" s="299" t="str">
        <f>'A) Base RI'!B139</f>
        <v>Chigny</v>
      </c>
      <c r="C138" s="316">
        <v>0</v>
      </c>
      <c r="D138" s="288">
        <f>'B) D RI'!AR139</f>
        <v>331</v>
      </c>
      <c r="E138" s="289">
        <f>'B) D RI'!S139</f>
        <v>62</v>
      </c>
      <c r="F138" s="14">
        <f>'B) D RI'!R139</f>
        <v>1181985.2575000001</v>
      </c>
      <c r="G138" s="14">
        <f>'B) D RI'!U139</f>
        <v>19064.278346774194</v>
      </c>
      <c r="H138" s="52">
        <f>'B) D RI'!T139</f>
        <v>1099756.07</v>
      </c>
      <c r="I138" s="14">
        <f t="shared" si="19"/>
        <v>35476.002258064516</v>
      </c>
      <c r="J138" s="41">
        <f t="shared" si="15"/>
        <v>28021.676694814061</v>
      </c>
      <c r="K138" s="14">
        <f t="shared" si="16"/>
        <v>28021.676694814061</v>
      </c>
      <c r="L138" s="14">
        <f t="shared" si="20"/>
        <v>0</v>
      </c>
      <c r="M138" s="14">
        <f>'D) Ecrêtage'!M137</f>
        <v>18826.519594643647</v>
      </c>
      <c r="N138" s="14">
        <f t="shared" si="17"/>
        <v>25273.965276755356</v>
      </c>
      <c r="O138" s="74">
        <f t="shared" si="18"/>
        <v>53295.641971569421</v>
      </c>
      <c r="P138" s="290"/>
      <c r="Q138" s="291"/>
      <c r="R138" s="287"/>
      <c r="S138" s="287"/>
      <c r="T138" s="292"/>
    </row>
    <row r="139" spans="1:20" s="286" customFormat="1" x14ac:dyDescent="0.25">
      <c r="A139" s="299">
        <f>'A) Base RI'!A140</f>
        <v>5629</v>
      </c>
      <c r="B139" s="299" t="str">
        <f>'A) Base RI'!B140</f>
        <v>Clarmont</v>
      </c>
      <c r="C139" s="316">
        <v>0</v>
      </c>
      <c r="D139" s="288">
        <f>'B) D RI'!AR140</f>
        <v>160</v>
      </c>
      <c r="E139" s="289">
        <f>'B) D RI'!S140</f>
        <v>75</v>
      </c>
      <c r="F139" s="14">
        <f>'B) D RI'!R140</f>
        <v>568642.42999999993</v>
      </c>
      <c r="G139" s="14">
        <f>'B) D RI'!U140</f>
        <v>7581.8990666666659</v>
      </c>
      <c r="H139" s="52">
        <f>'B) D RI'!T140</f>
        <v>539166.32999999996</v>
      </c>
      <c r="I139" s="14">
        <f t="shared" si="19"/>
        <v>14377.768799999998</v>
      </c>
      <c r="J139" s="41">
        <f t="shared" si="15"/>
        <v>13545.221363052115</v>
      </c>
      <c r="K139" s="14">
        <f t="shared" si="16"/>
        <v>13545.221363052115</v>
      </c>
      <c r="L139" s="14">
        <f t="shared" si="20"/>
        <v>0</v>
      </c>
      <c r="M139" s="14">
        <f>'D) Ecrêtage'!M138</f>
        <v>7581.8990666666659</v>
      </c>
      <c r="N139" s="14">
        <f t="shared" si="17"/>
        <v>10178.442849166688</v>
      </c>
      <c r="O139" s="74">
        <f t="shared" si="18"/>
        <v>23723.664212218802</v>
      </c>
      <c r="P139" s="290"/>
      <c r="Q139" s="291"/>
      <c r="R139" s="287"/>
      <c r="S139" s="287"/>
      <c r="T139" s="292"/>
    </row>
    <row r="140" spans="1:20" s="286" customFormat="1" x14ac:dyDescent="0.25">
      <c r="A140" s="299">
        <f>'A) Base RI'!A141</f>
        <v>5631</v>
      </c>
      <c r="B140" s="299" t="str">
        <f>'A) Base RI'!B141</f>
        <v>Denens</v>
      </c>
      <c r="C140" s="316">
        <v>0</v>
      </c>
      <c r="D140" s="288">
        <f>'B) D RI'!AR141</f>
        <v>714</v>
      </c>
      <c r="E140" s="289">
        <f>'B) D RI'!S141</f>
        <v>68</v>
      </c>
      <c r="F140" s="14">
        <f>'B) D RI'!R141</f>
        <v>2326848.4500000007</v>
      </c>
      <c r="G140" s="14">
        <f>'B) D RI'!U141</f>
        <v>34218.35955882354</v>
      </c>
      <c r="H140" s="52">
        <f>'B) D RI'!T141</f>
        <v>2155101.7500000005</v>
      </c>
      <c r="I140" s="14">
        <f t="shared" si="19"/>
        <v>63385.345588235308</v>
      </c>
      <c r="J140" s="41">
        <f t="shared" si="15"/>
        <v>60445.550332620063</v>
      </c>
      <c r="K140" s="14">
        <f t="shared" si="16"/>
        <v>60445.550332620063</v>
      </c>
      <c r="L140" s="14">
        <f t="shared" si="20"/>
        <v>0</v>
      </c>
      <c r="M140" s="14">
        <f>'D) Ecrêtage'!M139</f>
        <v>34218.35955882354</v>
      </c>
      <c r="N140" s="14">
        <f t="shared" si="17"/>
        <v>45936.989413767733</v>
      </c>
      <c r="O140" s="74">
        <f t="shared" si="18"/>
        <v>106382.5397463878</v>
      </c>
      <c r="P140" s="290"/>
      <c r="Q140" s="291"/>
      <c r="R140" s="287"/>
      <c r="S140" s="287"/>
      <c r="T140" s="292"/>
    </row>
    <row r="141" spans="1:20" s="286" customFormat="1" x14ac:dyDescent="0.25">
      <c r="A141" s="299">
        <f>'A) Base RI'!A142</f>
        <v>5632</v>
      </c>
      <c r="B141" s="299" t="str">
        <f>'A) Base RI'!B142</f>
        <v>Denges</v>
      </c>
      <c r="C141" s="316">
        <v>0</v>
      </c>
      <c r="D141" s="288">
        <f>'B) D RI'!AR142</f>
        <v>1651</v>
      </c>
      <c r="E141" s="289">
        <f>'B) D RI'!S142</f>
        <v>62</v>
      </c>
      <c r="F141" s="14">
        <f>'B) D RI'!R142</f>
        <v>4377175.1499999994</v>
      </c>
      <c r="G141" s="14">
        <f>'B) D RI'!U142</f>
        <v>70599.599193548376</v>
      </c>
      <c r="H141" s="52">
        <f>'B) D RI'!T142</f>
        <v>4033410.8999999994</v>
      </c>
      <c r="I141" s="14">
        <f t="shared" si="19"/>
        <v>130110.02903225804</v>
      </c>
      <c r="J141" s="41">
        <f t="shared" si="15"/>
        <v>139769.75293999401</v>
      </c>
      <c r="K141" s="14">
        <f t="shared" si="16"/>
        <v>130110.02903225804</v>
      </c>
      <c r="L141" s="14">
        <f t="shared" si="20"/>
        <v>9659.72390773597</v>
      </c>
      <c r="M141" s="14">
        <f>'D) Ecrêtage'!M140</f>
        <v>70599.599193548376</v>
      </c>
      <c r="N141" s="14">
        <f t="shared" si="17"/>
        <v>94777.572115785515</v>
      </c>
      <c r="O141" s="74">
        <f t="shared" si="18"/>
        <v>224887.60114804356</v>
      </c>
      <c r="P141" s="290"/>
      <c r="Q141" s="291"/>
      <c r="R141" s="287"/>
      <c r="S141" s="287"/>
      <c r="T141" s="292"/>
    </row>
    <row r="142" spans="1:20" s="286" customFormat="1" x14ac:dyDescent="0.25">
      <c r="A142" s="299">
        <f>'A) Base RI'!A143</f>
        <v>5633</v>
      </c>
      <c r="B142" s="299" t="str">
        <f>'A) Base RI'!B143</f>
        <v>Echandens</v>
      </c>
      <c r="C142" s="316">
        <v>0</v>
      </c>
      <c r="D142" s="288">
        <f>'B) D RI'!AR143</f>
        <v>2631</v>
      </c>
      <c r="E142" s="289">
        <f>'B) D RI'!S143</f>
        <v>62</v>
      </c>
      <c r="F142" s="14">
        <f>'B) D RI'!R143</f>
        <v>7626834.3000000007</v>
      </c>
      <c r="G142" s="14">
        <f>'B) D RI'!U143</f>
        <v>123013.45645161292</v>
      </c>
      <c r="H142" s="52">
        <f>'B) D RI'!T143</f>
        <v>7073748.0000000009</v>
      </c>
      <c r="I142" s="14">
        <f t="shared" si="19"/>
        <v>228185.41935483873</v>
      </c>
      <c r="J142" s="41">
        <f t="shared" si="15"/>
        <v>222734.2337886882</v>
      </c>
      <c r="K142" s="14">
        <f t="shared" si="16"/>
        <v>222734.2337886882</v>
      </c>
      <c r="L142" s="14">
        <f t="shared" si="20"/>
        <v>0</v>
      </c>
      <c r="M142" s="14">
        <f>'D) Ecrêtage'!M141</f>
        <v>123013.45645161292</v>
      </c>
      <c r="N142" s="14">
        <f t="shared" si="17"/>
        <v>165141.40127186748</v>
      </c>
      <c r="O142" s="74">
        <f t="shared" si="18"/>
        <v>387875.63506055565</v>
      </c>
      <c r="P142" s="290"/>
      <c r="Q142" s="291"/>
      <c r="R142" s="287"/>
      <c r="S142" s="287"/>
      <c r="T142" s="292"/>
    </row>
    <row r="143" spans="1:20" s="286" customFormat="1" x14ac:dyDescent="0.25">
      <c r="A143" s="299">
        <f>'A) Base RI'!A144</f>
        <v>5634</v>
      </c>
      <c r="B143" s="299" t="str">
        <f>'A) Base RI'!B144</f>
        <v>Echichens</v>
      </c>
      <c r="C143" s="316">
        <v>0</v>
      </c>
      <c r="D143" s="288">
        <f>'B) D RI'!AR144</f>
        <v>2585</v>
      </c>
      <c r="E143" s="289">
        <f>'B) D RI'!S144</f>
        <v>68</v>
      </c>
      <c r="F143" s="14">
        <f>'B) D RI'!R144</f>
        <v>8272893.7200000007</v>
      </c>
      <c r="G143" s="14">
        <f>'B) D RI'!U144</f>
        <v>121660.2017647059</v>
      </c>
      <c r="H143" s="52">
        <f>'B) D RI'!T144</f>
        <v>7777799.0700000003</v>
      </c>
      <c r="I143" s="14">
        <f t="shared" si="19"/>
        <v>228758.79617647058</v>
      </c>
      <c r="J143" s="41">
        <f t="shared" si="15"/>
        <v>218839.98264681073</v>
      </c>
      <c r="K143" s="14">
        <f t="shared" si="16"/>
        <v>218839.98264681073</v>
      </c>
      <c r="L143" s="14">
        <f t="shared" si="20"/>
        <v>0</v>
      </c>
      <c r="M143" s="14">
        <f>'D) Ecrêtage'!M142</f>
        <v>121660.2017647059</v>
      </c>
      <c r="N143" s="14">
        <f t="shared" si="17"/>
        <v>163324.70266246409</v>
      </c>
      <c r="O143" s="74">
        <f t="shared" si="18"/>
        <v>382164.68530927482</v>
      </c>
      <c r="P143" s="290"/>
      <c r="Q143" s="291"/>
      <c r="R143" s="287"/>
      <c r="S143" s="287"/>
      <c r="T143" s="292"/>
    </row>
    <row r="144" spans="1:20" s="286" customFormat="1" x14ac:dyDescent="0.25">
      <c r="A144" s="299">
        <f>'A) Base RI'!A145</f>
        <v>5635</v>
      </c>
      <c r="B144" s="299" t="str">
        <f>'A) Base RI'!B145</f>
        <v>Ecublens</v>
      </c>
      <c r="C144" s="316">
        <v>1</v>
      </c>
      <c r="D144" s="288">
        <f>'B) D RI'!AR145</f>
        <v>12288</v>
      </c>
      <c r="E144" s="289">
        <f>'B) D RI'!S145</f>
        <v>62</v>
      </c>
      <c r="F144" s="14">
        <f>'B) D RI'!R145</f>
        <v>29145440.523684211</v>
      </c>
      <c r="G144" s="14">
        <f>'B) D RI'!U145</f>
        <v>470087.75038200343</v>
      </c>
      <c r="H144" s="52">
        <f>'B) D RI'!T145</f>
        <v>26923900.550000001</v>
      </c>
      <c r="I144" s="14">
        <f t="shared" si="19"/>
        <v>868512.92096774199</v>
      </c>
      <c r="J144" s="41">
        <f t="shared" si="15"/>
        <v>1040273.0006824024</v>
      </c>
      <c r="K144" s="14">
        <f t="shared" si="16"/>
        <v>0</v>
      </c>
      <c r="L144" s="14">
        <f t="shared" si="20"/>
        <v>1040273.0006824024</v>
      </c>
      <c r="M144" s="14">
        <f>'D) Ecrêtage'!M143</f>
        <v>470087.75038200343</v>
      </c>
      <c r="N144" s="14">
        <f t="shared" si="17"/>
        <v>631076.89238339441</v>
      </c>
      <c r="O144" s="74">
        <f t="shared" si="18"/>
        <v>631076.89238339441</v>
      </c>
      <c r="P144" s="290"/>
      <c r="Q144" s="291"/>
      <c r="R144" s="287"/>
      <c r="S144" s="287"/>
      <c r="T144" s="292"/>
    </row>
    <row r="145" spans="1:20" s="286" customFormat="1" x14ac:dyDescent="0.25">
      <c r="A145" s="299">
        <f>'A) Base RI'!A146</f>
        <v>5636</v>
      </c>
      <c r="B145" s="299" t="str">
        <f>'A) Base RI'!B146</f>
        <v>Etoy</v>
      </c>
      <c r="C145" s="316">
        <v>0</v>
      </c>
      <c r="D145" s="288">
        <f>'B) D RI'!AR146</f>
        <v>2932</v>
      </c>
      <c r="E145" s="289">
        <f>'B) D RI'!S146</f>
        <v>61</v>
      </c>
      <c r="F145" s="14">
        <f>'B) D RI'!R146</f>
        <v>9685521.5800000001</v>
      </c>
      <c r="G145" s="14">
        <f>'B) D RI'!U146</f>
        <v>158779.04229508198</v>
      </c>
      <c r="H145" s="52">
        <f>'B) D RI'!T146</f>
        <v>8590300.4299999997</v>
      </c>
      <c r="I145" s="14">
        <f t="shared" si="19"/>
        <v>281649.19442622951</v>
      </c>
      <c r="J145" s="41">
        <f t="shared" si="15"/>
        <v>248216.18147792999</v>
      </c>
      <c r="K145" s="14">
        <f t="shared" si="16"/>
        <v>248216.18147792999</v>
      </c>
      <c r="L145" s="14">
        <f t="shared" si="20"/>
        <v>0</v>
      </c>
      <c r="M145" s="14">
        <f>'D) Ecrêtage'!M144</f>
        <v>158779.04229508198</v>
      </c>
      <c r="N145" s="14">
        <f t="shared" si="17"/>
        <v>213155.48959904985</v>
      </c>
      <c r="O145" s="74">
        <f t="shared" si="18"/>
        <v>461371.67107697984</v>
      </c>
      <c r="P145" s="290"/>
      <c r="Q145" s="291"/>
      <c r="R145" s="287"/>
      <c r="S145" s="287"/>
      <c r="T145" s="292"/>
    </row>
    <row r="146" spans="1:20" s="286" customFormat="1" x14ac:dyDescent="0.25">
      <c r="A146" s="299">
        <f>'A) Base RI'!A147</f>
        <v>5637</v>
      </c>
      <c r="B146" s="299" t="str">
        <f>'A) Base RI'!B147</f>
        <v>Lavigny</v>
      </c>
      <c r="C146" s="316">
        <v>0</v>
      </c>
      <c r="D146" s="288">
        <f>'B) D RI'!AR147</f>
        <v>981</v>
      </c>
      <c r="E146" s="289">
        <f>'B) D RI'!S147</f>
        <v>74.5</v>
      </c>
      <c r="F146" s="14">
        <f>'B) D RI'!R147</f>
        <v>2315116.4266666672</v>
      </c>
      <c r="G146" s="14">
        <f>'B) D RI'!U147</f>
        <v>31075.388277404931</v>
      </c>
      <c r="H146" s="52">
        <f>'B) D RI'!T147</f>
        <v>2141357.3600000003</v>
      </c>
      <c r="I146" s="14">
        <f t="shared" si="19"/>
        <v>57486.103624161085</v>
      </c>
      <c r="J146" s="41">
        <f t="shared" si="15"/>
        <v>83049.138482213282</v>
      </c>
      <c r="K146" s="14">
        <f t="shared" si="16"/>
        <v>57486.103624161085</v>
      </c>
      <c r="L146" s="14">
        <f t="shared" si="20"/>
        <v>25563.034858052197</v>
      </c>
      <c r="M146" s="14">
        <f>'D) Ecrêtage'!M145</f>
        <v>31075.388277404931</v>
      </c>
      <c r="N146" s="14">
        <f t="shared" si="17"/>
        <v>41717.656858269074</v>
      </c>
      <c r="O146" s="74">
        <f t="shared" si="18"/>
        <v>99203.760482430167</v>
      </c>
      <c r="P146" s="290"/>
      <c r="Q146" s="291"/>
      <c r="R146" s="287"/>
      <c r="S146" s="287"/>
      <c r="T146" s="292"/>
    </row>
    <row r="147" spans="1:20" s="286" customFormat="1" x14ac:dyDescent="0.25">
      <c r="A147" s="299">
        <f>'A) Base RI'!A148</f>
        <v>5638</v>
      </c>
      <c r="B147" s="299" t="str">
        <f>'A) Base RI'!B148</f>
        <v>Lonay</v>
      </c>
      <c r="C147" s="316">
        <v>0</v>
      </c>
      <c r="D147" s="288">
        <f>'B) D RI'!AR148</f>
        <v>2536</v>
      </c>
      <c r="E147" s="289">
        <f>'B) D RI'!S148</f>
        <v>55</v>
      </c>
      <c r="F147" s="14">
        <f>'B) D RI'!R148</f>
        <v>8386156.3800000018</v>
      </c>
      <c r="G147" s="14">
        <f>'B) D RI'!U148</f>
        <v>152475.57054545457</v>
      </c>
      <c r="H147" s="52">
        <f>'B) D RI'!T148</f>
        <v>7751797.9800000014</v>
      </c>
      <c r="I147" s="14">
        <f t="shared" si="19"/>
        <v>281883.56290909095</v>
      </c>
      <c r="J147" s="41">
        <f t="shared" si="15"/>
        <v>214691.75860437602</v>
      </c>
      <c r="K147" s="14">
        <f t="shared" si="16"/>
        <v>214691.75860437602</v>
      </c>
      <c r="L147" s="14">
        <f t="shared" si="20"/>
        <v>0</v>
      </c>
      <c r="M147" s="14">
        <f>'D) Ecrêtage'!M146</f>
        <v>149153.52002347697</v>
      </c>
      <c r="N147" s="14">
        <f t="shared" si="17"/>
        <v>200233.55177404717</v>
      </c>
      <c r="O147" s="74">
        <f t="shared" si="18"/>
        <v>414925.31037842319</v>
      </c>
      <c r="P147" s="290"/>
      <c r="Q147" s="291"/>
      <c r="R147" s="287"/>
      <c r="S147" s="287"/>
      <c r="T147" s="292"/>
    </row>
    <row r="148" spans="1:20" s="286" customFormat="1" x14ac:dyDescent="0.25">
      <c r="A148" s="299">
        <f>'A) Base RI'!A149</f>
        <v>5639</v>
      </c>
      <c r="B148" s="299" t="str">
        <f>'A) Base RI'!B149</f>
        <v>Lully</v>
      </c>
      <c r="C148" s="316">
        <v>0</v>
      </c>
      <c r="D148" s="288">
        <f>'B) D RI'!AR149</f>
        <v>760</v>
      </c>
      <c r="E148" s="289">
        <f>'B) D RI'!S149</f>
        <v>61</v>
      </c>
      <c r="F148" s="14">
        <f>'B) D RI'!R149</f>
        <v>2581424.13</v>
      </c>
      <c r="G148" s="14">
        <f>'B) D RI'!U149</f>
        <v>42318.428360655736</v>
      </c>
      <c r="H148" s="52">
        <f>'B) D RI'!T149</f>
        <v>2402430.9699999997</v>
      </c>
      <c r="I148" s="14">
        <f t="shared" si="19"/>
        <v>78768.228524590158</v>
      </c>
      <c r="J148" s="41">
        <f t="shared" si="15"/>
        <v>64339.801474497544</v>
      </c>
      <c r="K148" s="14">
        <f t="shared" si="16"/>
        <v>64339.801474497544</v>
      </c>
      <c r="L148" s="14">
        <f t="shared" si="20"/>
        <v>0</v>
      </c>
      <c r="M148" s="14">
        <f>'D) Ecrêtage'!M147</f>
        <v>42112.878690942372</v>
      </c>
      <c r="N148" s="14">
        <f t="shared" si="17"/>
        <v>56535.114118592064</v>
      </c>
      <c r="O148" s="74">
        <f t="shared" si="18"/>
        <v>120874.91559308961</v>
      </c>
      <c r="P148" s="290"/>
      <c r="Q148" s="291"/>
      <c r="R148" s="287"/>
      <c r="S148" s="287"/>
      <c r="T148" s="292"/>
    </row>
    <row r="149" spans="1:20" s="286" customFormat="1" x14ac:dyDescent="0.25">
      <c r="A149" s="299">
        <f>'A) Base RI'!A150</f>
        <v>5640</v>
      </c>
      <c r="B149" s="299" t="str">
        <f>'A) Base RI'!B150</f>
        <v>Lussy-sur-Morges</v>
      </c>
      <c r="C149" s="316">
        <v>1</v>
      </c>
      <c r="D149" s="288">
        <f>'B) D RI'!AR150</f>
        <v>646</v>
      </c>
      <c r="E149" s="289">
        <f>'B) D RI'!S150</f>
        <v>66</v>
      </c>
      <c r="F149" s="14">
        <f>'B) D RI'!R150</f>
        <v>2990515.73</v>
      </c>
      <c r="G149" s="14">
        <f>'B) D RI'!U150</f>
        <v>45310.844393939391</v>
      </c>
      <c r="H149" s="52">
        <f>'B) D RI'!T150</f>
        <v>2815287.58</v>
      </c>
      <c r="I149" s="14">
        <f t="shared" si="19"/>
        <v>85311.744848484857</v>
      </c>
      <c r="J149" s="41">
        <f t="shared" si="15"/>
        <v>54688.831253322911</v>
      </c>
      <c r="K149" s="14">
        <f t="shared" si="16"/>
        <v>0</v>
      </c>
      <c r="L149" s="14">
        <f t="shared" si="20"/>
        <v>54688.831253322911</v>
      </c>
      <c r="M149" s="14">
        <f>'D) Ecrêtage'!M148</f>
        <v>42867.270859356686</v>
      </c>
      <c r="N149" s="14">
        <f t="shared" si="17"/>
        <v>57547.860068458664</v>
      </c>
      <c r="O149" s="74">
        <f t="shared" si="18"/>
        <v>57547.860068458664</v>
      </c>
      <c r="P149" s="290"/>
      <c r="Q149" s="291"/>
      <c r="R149" s="287"/>
      <c r="S149" s="287"/>
      <c r="T149" s="292"/>
    </row>
    <row r="150" spans="1:20" s="286" customFormat="1" x14ac:dyDescent="0.25">
      <c r="A150" s="299">
        <f>'A) Base RI'!A151</f>
        <v>5642</v>
      </c>
      <c r="B150" s="299" t="str">
        <f>'A) Base RI'!B151</f>
        <v>Morges</v>
      </c>
      <c r="C150" s="316">
        <v>1</v>
      </c>
      <c r="D150" s="288">
        <f>'B) D RI'!AR151</f>
        <v>15623</v>
      </c>
      <c r="E150" s="289">
        <f>'B) D RI'!S151</f>
        <v>68.5</v>
      </c>
      <c r="F150" s="14">
        <f>'B) D RI'!R151</f>
        <v>49003538.949999996</v>
      </c>
      <c r="G150" s="14">
        <f>'B) D RI'!U151</f>
        <v>715380.13065693423</v>
      </c>
      <c r="H150" s="52">
        <f>'B) D RI'!T151</f>
        <v>45681551.299999997</v>
      </c>
      <c r="I150" s="14">
        <f t="shared" si="19"/>
        <v>1333767.9211678831</v>
      </c>
      <c r="J150" s="41">
        <f t="shared" si="15"/>
        <v>1322606.2084685198</v>
      </c>
      <c r="K150" s="14">
        <f t="shared" si="16"/>
        <v>0</v>
      </c>
      <c r="L150" s="14">
        <f t="shared" si="20"/>
        <v>1322606.2084685198</v>
      </c>
      <c r="M150" s="14">
        <f>'D) Ecrêtage'!M149</f>
        <v>715380.13065693423</v>
      </c>
      <c r="N150" s="14">
        <f t="shared" si="17"/>
        <v>960373.60973762604</v>
      </c>
      <c r="O150" s="74">
        <f t="shared" si="18"/>
        <v>960373.60973762604</v>
      </c>
      <c r="P150" s="290"/>
      <c r="Q150" s="291"/>
      <c r="R150" s="287"/>
      <c r="S150" s="287"/>
      <c r="T150" s="292"/>
    </row>
    <row r="151" spans="1:20" s="286" customFormat="1" x14ac:dyDescent="0.25">
      <c r="A151" s="299">
        <f>'A) Base RI'!A152</f>
        <v>5643</v>
      </c>
      <c r="B151" s="299" t="str">
        <f>'A) Base RI'!B152</f>
        <v>Préverenges</v>
      </c>
      <c r="C151" s="316">
        <v>1</v>
      </c>
      <c r="D151" s="288">
        <f>'B) D RI'!AR152</f>
        <v>5263</v>
      </c>
      <c r="E151" s="289">
        <f>'B) D RI'!S152</f>
        <v>64</v>
      </c>
      <c r="F151" s="14">
        <f>'B) D RI'!R152</f>
        <v>15986786.33</v>
      </c>
      <c r="G151" s="14">
        <f>'B) D RI'!U152</f>
        <v>249793.53640625</v>
      </c>
      <c r="H151" s="52">
        <f>'B) D RI'!T152</f>
        <v>14881917.98</v>
      </c>
      <c r="I151" s="14">
        <f t="shared" si="19"/>
        <v>465059.93687500001</v>
      </c>
      <c r="J151" s="41">
        <f t="shared" si="15"/>
        <v>445553.12521089549</v>
      </c>
      <c r="K151" s="14">
        <f t="shared" si="16"/>
        <v>0</v>
      </c>
      <c r="L151" s="14">
        <f t="shared" si="20"/>
        <v>445553.12521089549</v>
      </c>
      <c r="M151" s="14">
        <f>'D) Ecrêtage'!M150</f>
        <v>249793.53640625</v>
      </c>
      <c r="N151" s="14">
        <f t="shared" si="17"/>
        <v>335339.36709606613</v>
      </c>
      <c r="O151" s="74">
        <f t="shared" si="18"/>
        <v>335339.36709606613</v>
      </c>
      <c r="P151" s="290"/>
      <c r="Q151" s="291"/>
      <c r="R151" s="287"/>
      <c r="S151" s="287"/>
      <c r="T151" s="292"/>
    </row>
    <row r="152" spans="1:20" s="286" customFormat="1" x14ac:dyDescent="0.25">
      <c r="A152" s="299">
        <f>'A) Base RI'!A153</f>
        <v>5644</v>
      </c>
      <c r="B152" s="299" t="str">
        <f>'A) Base RI'!B153</f>
        <v>Reverolle</v>
      </c>
      <c r="C152" s="316">
        <v>0</v>
      </c>
      <c r="D152" s="288">
        <f>'B) D RI'!AR153</f>
        <v>360</v>
      </c>
      <c r="E152" s="289">
        <f>'B) D RI'!S153</f>
        <v>76</v>
      </c>
      <c r="F152" s="14">
        <f>'B) D RI'!R153</f>
        <v>1185209.1800000002</v>
      </c>
      <c r="G152" s="14">
        <f>'B) D RI'!U153</f>
        <v>15594.857631578949</v>
      </c>
      <c r="H152" s="52">
        <f>'B) D RI'!T153</f>
        <v>1119297.6300000001</v>
      </c>
      <c r="I152" s="14">
        <f t="shared" si="19"/>
        <v>29455.200789473689</v>
      </c>
      <c r="J152" s="41">
        <f t="shared" si="15"/>
        <v>30476.748066867258</v>
      </c>
      <c r="K152" s="14">
        <f t="shared" si="16"/>
        <v>29455.200789473689</v>
      </c>
      <c r="L152" s="14">
        <f t="shared" si="20"/>
        <v>1021.5472773935689</v>
      </c>
      <c r="M152" s="14">
        <f>'D) Ecrêtage'!M151</f>
        <v>15594.857631578949</v>
      </c>
      <c r="N152" s="14">
        <f t="shared" si="17"/>
        <v>20935.568483332838</v>
      </c>
      <c r="O152" s="74">
        <f t="shared" si="18"/>
        <v>50390.76927280653</v>
      </c>
      <c r="P152" s="290"/>
      <c r="Q152" s="291"/>
      <c r="R152" s="287"/>
      <c r="S152" s="287"/>
      <c r="T152" s="292"/>
    </row>
    <row r="153" spans="1:20" s="286" customFormat="1" x14ac:dyDescent="0.25">
      <c r="A153" s="299">
        <f>'A) Base RI'!A154</f>
        <v>5645</v>
      </c>
      <c r="B153" s="299" t="str">
        <f>'A) Base RI'!B154</f>
        <v>Romanel-sur-Morges</v>
      </c>
      <c r="C153" s="316">
        <v>0</v>
      </c>
      <c r="D153" s="288">
        <f>'B) D RI'!AR154</f>
        <v>459</v>
      </c>
      <c r="E153" s="289">
        <f>'B) D RI'!S154</f>
        <v>56</v>
      </c>
      <c r="F153" s="14">
        <f>'B) D RI'!R154</f>
        <v>1421201.8949999998</v>
      </c>
      <c r="G153" s="14">
        <f>'B) D RI'!U154</f>
        <v>25378.60526785714</v>
      </c>
      <c r="H153" s="52">
        <f>'B) D RI'!T154</f>
        <v>1277092.7699999998</v>
      </c>
      <c r="I153" s="14">
        <f t="shared" si="19"/>
        <v>45610.456071428562</v>
      </c>
      <c r="J153" s="41">
        <f t="shared" si="15"/>
        <v>38857.853785255757</v>
      </c>
      <c r="K153" s="14">
        <f t="shared" si="16"/>
        <v>38857.853785255757</v>
      </c>
      <c r="L153" s="14">
        <f t="shared" si="20"/>
        <v>0</v>
      </c>
      <c r="M153" s="14">
        <f>'D) Ecrêtage'!M152</f>
        <v>25296.466659002461</v>
      </c>
      <c r="N153" s="14">
        <f t="shared" si="17"/>
        <v>33959.650202479679</v>
      </c>
      <c r="O153" s="74">
        <f t="shared" si="18"/>
        <v>72817.503987735428</v>
      </c>
      <c r="P153" s="290"/>
      <c r="Q153" s="291"/>
      <c r="R153" s="287"/>
      <c r="S153" s="287"/>
      <c r="T153" s="292"/>
    </row>
    <row r="154" spans="1:20" s="286" customFormat="1" x14ac:dyDescent="0.25">
      <c r="A154" s="299">
        <f>'A) Base RI'!A155</f>
        <v>5646</v>
      </c>
      <c r="B154" s="299" t="str">
        <f>'A) Base RI'!B155</f>
        <v>Saint-Prex</v>
      </c>
      <c r="C154" s="316">
        <v>1</v>
      </c>
      <c r="D154" s="288">
        <f>'B) D RI'!AR155</f>
        <v>5604</v>
      </c>
      <c r="E154" s="289">
        <f>'B) D RI'!S155</f>
        <v>55</v>
      </c>
      <c r="F154" s="14">
        <f>'B) D RI'!R155</f>
        <v>16902470.280000001</v>
      </c>
      <c r="G154" s="14">
        <f>'B) D RI'!U155</f>
        <v>307317.64145454549</v>
      </c>
      <c r="H154" s="52">
        <f>'B) D RI'!T155</f>
        <v>15355680.33</v>
      </c>
      <c r="I154" s="14">
        <f t="shared" si="19"/>
        <v>558388.37563636363</v>
      </c>
      <c r="J154" s="41">
        <f t="shared" si="15"/>
        <v>474421.37824090029</v>
      </c>
      <c r="K154" s="14">
        <f t="shared" si="16"/>
        <v>0</v>
      </c>
      <c r="L154" s="14">
        <f t="shared" si="20"/>
        <v>474421.37824090029</v>
      </c>
      <c r="M154" s="14">
        <f>'D) Ecrêtage'!M153</f>
        <v>306907.65312217548</v>
      </c>
      <c r="N154" s="14">
        <f t="shared" si="17"/>
        <v>412013.13547020283</v>
      </c>
      <c r="O154" s="74">
        <f t="shared" si="18"/>
        <v>412013.13547020283</v>
      </c>
      <c r="P154" s="290"/>
      <c r="Q154" s="291"/>
      <c r="R154" s="287"/>
      <c r="S154" s="287"/>
      <c r="T154" s="292"/>
    </row>
    <row r="155" spans="1:20" s="286" customFormat="1" x14ac:dyDescent="0.25">
      <c r="A155" s="299">
        <f>'A) Base RI'!A156</f>
        <v>5648</v>
      </c>
      <c r="B155" s="299" t="str">
        <f>'A) Base RI'!B156</f>
        <v>Saint-Sulpice</v>
      </c>
      <c r="C155" s="316">
        <v>1</v>
      </c>
      <c r="D155" s="288">
        <f>'B) D RI'!AR156</f>
        <v>3898</v>
      </c>
      <c r="E155" s="289">
        <f>'B) D RI'!S156</f>
        <v>55</v>
      </c>
      <c r="F155" s="14">
        <f>'B) D RI'!R156</f>
        <v>16903458.695</v>
      </c>
      <c r="G155" s="14">
        <f>'B) D RI'!U156</f>
        <v>307335.61263636366</v>
      </c>
      <c r="H155" s="52">
        <f>'B) D RI'!T156</f>
        <v>15692901.470000001</v>
      </c>
      <c r="I155" s="14">
        <f t="shared" si="19"/>
        <v>570650.96254545462</v>
      </c>
      <c r="J155" s="41">
        <f t="shared" si="15"/>
        <v>329995.45545735717</v>
      </c>
      <c r="K155" s="14">
        <f t="shared" si="16"/>
        <v>0</v>
      </c>
      <c r="L155" s="14">
        <f t="shared" si="20"/>
        <v>329995.45545735717</v>
      </c>
      <c r="M155" s="14">
        <f>'D) Ecrêtage'!M154</f>
        <v>282446.6454565766</v>
      </c>
      <c r="N155" s="14">
        <f t="shared" si="17"/>
        <v>379175.06068601995</v>
      </c>
      <c r="O155" s="74">
        <f t="shared" si="18"/>
        <v>379175.06068601995</v>
      </c>
      <c r="P155" s="290"/>
      <c r="Q155" s="291"/>
      <c r="R155" s="287"/>
      <c r="S155" s="287"/>
      <c r="T155" s="292"/>
    </row>
    <row r="156" spans="1:20" s="286" customFormat="1" x14ac:dyDescent="0.25">
      <c r="A156" s="299">
        <f>'A) Base RI'!A157</f>
        <v>5649</v>
      </c>
      <c r="B156" s="299" t="str">
        <f>'A) Base RI'!B157</f>
        <v>Tolochenaz</v>
      </c>
      <c r="C156" s="316">
        <v>1</v>
      </c>
      <c r="D156" s="288">
        <f>'B) D RI'!AR157</f>
        <v>1855</v>
      </c>
      <c r="E156" s="289">
        <f>'B) D RI'!S157</f>
        <v>65</v>
      </c>
      <c r="F156" s="14">
        <f>'B) D RI'!R157</f>
        <v>7108408.0700000003</v>
      </c>
      <c r="G156" s="14">
        <f>'B) D RI'!U157</f>
        <v>109360.12415384616</v>
      </c>
      <c r="H156" s="52">
        <f>'B) D RI'!T157</f>
        <v>6531560.9700000007</v>
      </c>
      <c r="I156" s="14">
        <f t="shared" si="19"/>
        <v>200971.1067692308</v>
      </c>
      <c r="J156" s="41">
        <f t="shared" si="15"/>
        <v>157039.91017788547</v>
      </c>
      <c r="K156" s="14">
        <f t="shared" si="16"/>
        <v>0</v>
      </c>
      <c r="L156" s="14">
        <f t="shared" si="20"/>
        <v>157039.91017788547</v>
      </c>
      <c r="M156" s="14">
        <f>'D) Ecrêtage'!M155</f>
        <v>107438.09926130871</v>
      </c>
      <c r="N156" s="14">
        <f t="shared" si="17"/>
        <v>144232.01147085463</v>
      </c>
      <c r="O156" s="74">
        <f t="shared" si="18"/>
        <v>144232.01147085463</v>
      </c>
      <c r="P156" s="290"/>
      <c r="Q156" s="291"/>
      <c r="R156" s="287"/>
      <c r="S156" s="287"/>
      <c r="T156" s="292"/>
    </row>
    <row r="157" spans="1:20" s="286" customFormat="1" x14ac:dyDescent="0.25">
      <c r="A157" s="299">
        <f>'A) Base RI'!A158</f>
        <v>5650</v>
      </c>
      <c r="B157" s="299" t="str">
        <f>'A) Base RI'!B158</f>
        <v>Vaux-sur-Morges</v>
      </c>
      <c r="C157" s="316">
        <v>0</v>
      </c>
      <c r="D157" s="288">
        <f>'B) D RI'!AR158</f>
        <v>203</v>
      </c>
      <c r="E157" s="289">
        <f>'B) D RI'!S158</f>
        <v>39</v>
      </c>
      <c r="F157" s="14">
        <f>'B) D RI'!R158</f>
        <v>7217397.2699999996</v>
      </c>
      <c r="G157" s="14">
        <f>'B) D RI'!U158</f>
        <v>185061.46846153846</v>
      </c>
      <c r="H157" s="52">
        <f>'B) D RI'!T158</f>
        <v>7175216.2299999995</v>
      </c>
      <c r="I157" s="14">
        <f t="shared" si="19"/>
        <v>367959.80666666664</v>
      </c>
      <c r="J157" s="41">
        <f t="shared" si="15"/>
        <v>17185.49960437237</v>
      </c>
      <c r="K157" s="14">
        <f t="shared" si="16"/>
        <v>17185.49960437237</v>
      </c>
      <c r="L157" s="14">
        <f t="shared" si="20"/>
        <v>0</v>
      </c>
      <c r="M157" s="14">
        <f>'D) Ecrêtage'!M156</f>
        <v>112157.36408583977</v>
      </c>
      <c r="N157" s="14">
        <f t="shared" si="17"/>
        <v>150567.46475033098</v>
      </c>
      <c r="O157" s="74">
        <f t="shared" si="18"/>
        <v>167752.96435470335</v>
      </c>
      <c r="P157" s="290"/>
      <c r="Q157" s="291"/>
      <c r="R157" s="287"/>
      <c r="S157" s="287"/>
      <c r="T157" s="292"/>
    </row>
    <row r="158" spans="1:20" s="286" customFormat="1" x14ac:dyDescent="0.25">
      <c r="A158" s="299">
        <f>'A) Base RI'!A159</f>
        <v>5651</v>
      </c>
      <c r="B158" s="299" t="str">
        <f>'A) Base RI'!B159</f>
        <v>Villars-Sainte-Croix</v>
      </c>
      <c r="C158" s="316">
        <v>1</v>
      </c>
      <c r="D158" s="288">
        <f>'B) D RI'!AR159</f>
        <v>709</v>
      </c>
      <c r="E158" s="289">
        <f>'B) D RI'!S159</f>
        <v>59</v>
      </c>
      <c r="F158" s="14">
        <f>'B) D RI'!R159</f>
        <v>2231574.5700000003</v>
      </c>
      <c r="G158" s="14">
        <f>'B) D RI'!U159</f>
        <v>37823.297796610175</v>
      </c>
      <c r="H158" s="52">
        <f>'B) D RI'!T159</f>
        <v>2017643.1700000002</v>
      </c>
      <c r="I158" s="14">
        <f t="shared" si="19"/>
        <v>68394.683728813558</v>
      </c>
      <c r="J158" s="41">
        <f t="shared" si="15"/>
        <v>60022.26216502468</v>
      </c>
      <c r="K158" s="14">
        <f t="shared" si="16"/>
        <v>0</v>
      </c>
      <c r="L158" s="14">
        <f t="shared" si="20"/>
        <v>60022.26216502468</v>
      </c>
      <c r="M158" s="14">
        <f>'D) Ecrêtage'!M157</f>
        <v>37823.297796610175</v>
      </c>
      <c r="N158" s="14">
        <f t="shared" si="17"/>
        <v>50776.496970575477</v>
      </c>
      <c r="O158" s="74">
        <f t="shared" si="18"/>
        <v>50776.496970575477</v>
      </c>
      <c r="P158" s="290"/>
      <c r="Q158" s="291"/>
      <c r="R158" s="287"/>
      <c r="S158" s="287"/>
      <c r="T158" s="292"/>
    </row>
    <row r="159" spans="1:20" s="286" customFormat="1" x14ac:dyDescent="0.25">
      <c r="A159" s="299">
        <f>'A) Base RI'!A160</f>
        <v>5652</v>
      </c>
      <c r="B159" s="299" t="str">
        <f>'A) Base RI'!B160</f>
        <v>Villars-sous-Yens</v>
      </c>
      <c r="C159" s="316">
        <v>0</v>
      </c>
      <c r="D159" s="288">
        <f>'B) D RI'!AR160</f>
        <v>564</v>
      </c>
      <c r="E159" s="289">
        <f>'B) D RI'!S160</f>
        <v>76</v>
      </c>
      <c r="F159" s="14">
        <f>'B) D RI'!R160</f>
        <v>1796661.3866666667</v>
      </c>
      <c r="G159" s="14">
        <f>'B) D RI'!U160</f>
        <v>23640.281403508772</v>
      </c>
      <c r="H159" s="52">
        <f>'B) D RI'!T160</f>
        <v>1700032.47</v>
      </c>
      <c r="I159" s="14">
        <f t="shared" si="19"/>
        <v>44737.696578947369</v>
      </c>
      <c r="J159" s="41">
        <f t="shared" si="15"/>
        <v>47746.905304758708</v>
      </c>
      <c r="K159" s="14">
        <f t="shared" si="16"/>
        <v>44737.696578947369</v>
      </c>
      <c r="L159" s="14">
        <f t="shared" si="20"/>
        <v>3009.2087258113388</v>
      </c>
      <c r="M159" s="14">
        <f>'D) Ecrêtage'!M158</f>
        <v>23640.281403508772</v>
      </c>
      <c r="N159" s="14">
        <f t="shared" si="17"/>
        <v>31736.277558970425</v>
      </c>
      <c r="O159" s="74">
        <f t="shared" si="18"/>
        <v>76473.974137917801</v>
      </c>
      <c r="P159" s="290"/>
      <c r="Q159" s="291"/>
      <c r="R159" s="287"/>
      <c r="S159" s="287"/>
      <c r="T159" s="292"/>
    </row>
    <row r="160" spans="1:20" s="286" customFormat="1" x14ac:dyDescent="0.25">
      <c r="A160" s="299">
        <f>'A) Base RI'!A161</f>
        <v>5653</v>
      </c>
      <c r="B160" s="299" t="str">
        <f>'A) Base RI'!B161</f>
        <v>Vufflens-le-Château</v>
      </c>
      <c r="C160" s="316">
        <v>0</v>
      </c>
      <c r="D160" s="288">
        <f>'B) D RI'!AR161</f>
        <v>821</v>
      </c>
      <c r="E160" s="289">
        <f>'B) D RI'!S161</f>
        <v>55</v>
      </c>
      <c r="F160" s="14">
        <f>'B) D RI'!R161</f>
        <v>3289547.625</v>
      </c>
      <c r="G160" s="14">
        <f>'B) D RI'!U161</f>
        <v>59809.956818181818</v>
      </c>
      <c r="H160" s="52">
        <f>'B) D RI'!T161</f>
        <v>3068890.75</v>
      </c>
      <c r="I160" s="14">
        <f t="shared" si="19"/>
        <v>111596.02727272727</v>
      </c>
      <c r="J160" s="41">
        <f t="shared" si="15"/>
        <v>69503.917119161168</v>
      </c>
      <c r="K160" s="14">
        <f t="shared" si="16"/>
        <v>69503.917119161168</v>
      </c>
      <c r="L160" s="14">
        <f t="shared" si="20"/>
        <v>0</v>
      </c>
      <c r="M160" s="14">
        <f>'D) Ecrêtage'!M159</f>
        <v>56039.298149185466</v>
      </c>
      <c r="N160" s="14">
        <f t="shared" si="17"/>
        <v>75230.860830974692</v>
      </c>
      <c r="O160" s="74">
        <f t="shared" si="18"/>
        <v>144734.77795013587</v>
      </c>
      <c r="P160" s="290"/>
      <c r="Q160" s="291"/>
      <c r="R160" s="287"/>
      <c r="S160" s="287"/>
      <c r="T160" s="292"/>
    </row>
    <row r="161" spans="1:20" s="286" customFormat="1" x14ac:dyDescent="0.25">
      <c r="A161" s="299">
        <f>'A) Base RI'!A162</f>
        <v>5654</v>
      </c>
      <c r="B161" s="299" t="str">
        <f>'A) Base RI'!B162</f>
        <v>Vullierens</v>
      </c>
      <c r="C161" s="316">
        <v>0</v>
      </c>
      <c r="D161" s="288">
        <f>'B) D RI'!AR162</f>
        <v>460</v>
      </c>
      <c r="E161" s="289">
        <f>'B) D RI'!S162</f>
        <v>76</v>
      </c>
      <c r="F161" s="14">
        <f>'B) D RI'!R162</f>
        <v>1288115.6700000002</v>
      </c>
      <c r="G161" s="14">
        <f>'B) D RI'!U162</f>
        <v>16948.890394736845</v>
      </c>
      <c r="H161" s="52">
        <f>'B) D RI'!T162</f>
        <v>1205430.5200000003</v>
      </c>
      <c r="I161" s="14">
        <f t="shared" si="19"/>
        <v>31721.855789473691</v>
      </c>
      <c r="J161" s="41">
        <f t="shared" si="15"/>
        <v>38942.511418774826</v>
      </c>
      <c r="K161" s="14">
        <f t="shared" si="16"/>
        <v>31721.855789473691</v>
      </c>
      <c r="L161" s="14">
        <f t="shared" si="20"/>
        <v>7220.6556293011345</v>
      </c>
      <c r="M161" s="14">
        <f>'D) Ecrêtage'!M160</f>
        <v>16948.890394736845</v>
      </c>
      <c r="N161" s="14">
        <f t="shared" si="17"/>
        <v>22753.311633765075</v>
      </c>
      <c r="O161" s="74">
        <f t="shared" si="18"/>
        <v>54475.167423238767</v>
      </c>
      <c r="P161" s="290"/>
      <c r="Q161" s="291"/>
      <c r="R161" s="287"/>
      <c r="S161" s="287"/>
      <c r="T161" s="292"/>
    </row>
    <row r="162" spans="1:20" s="286" customFormat="1" x14ac:dyDescent="0.25">
      <c r="A162" s="299">
        <f>'A) Base RI'!A163</f>
        <v>5655</v>
      </c>
      <c r="B162" s="299" t="str">
        <f>'A) Base RI'!B163</f>
        <v>Yens</v>
      </c>
      <c r="C162" s="316">
        <v>0</v>
      </c>
      <c r="D162" s="288">
        <f>'B) D RI'!AR163</f>
        <v>1405</v>
      </c>
      <c r="E162" s="289">
        <f>'B) D RI'!S163</f>
        <v>73</v>
      </c>
      <c r="F162" s="14">
        <f>'B) D RI'!R163</f>
        <v>4971831.6000000006</v>
      </c>
      <c r="G162" s="14">
        <f>'B) D RI'!U163</f>
        <v>68107.282191780832</v>
      </c>
      <c r="H162" s="52">
        <f>'B) D RI'!T163</f>
        <v>4636510.0500000007</v>
      </c>
      <c r="I162" s="14">
        <f t="shared" si="19"/>
        <v>127027.67260273975</v>
      </c>
      <c r="J162" s="41">
        <f t="shared" si="15"/>
        <v>118943.97509430138</v>
      </c>
      <c r="K162" s="14">
        <f t="shared" si="16"/>
        <v>118943.97509430138</v>
      </c>
      <c r="L162" s="14">
        <f t="shared" si="20"/>
        <v>0</v>
      </c>
      <c r="M162" s="14">
        <f>'D) Ecrêtage'!M161</f>
        <v>68107.282191780832</v>
      </c>
      <c r="N162" s="14">
        <f t="shared" si="17"/>
        <v>91431.720906023853</v>
      </c>
      <c r="O162" s="74">
        <f t="shared" si="18"/>
        <v>210375.69600032523</v>
      </c>
      <c r="P162" s="290"/>
      <c r="Q162" s="291"/>
      <c r="R162" s="287"/>
      <c r="S162" s="287"/>
      <c r="T162" s="292"/>
    </row>
    <row r="163" spans="1:20" s="286" customFormat="1" x14ac:dyDescent="0.25">
      <c r="A163" s="299">
        <f>'A) Base RI'!A164</f>
        <v>5661</v>
      </c>
      <c r="B163" s="299" t="str">
        <f>'A) Base RI'!B164</f>
        <v>Boulens</v>
      </c>
      <c r="C163" s="316">
        <v>0</v>
      </c>
      <c r="D163" s="288">
        <f>'B) D RI'!AR164</f>
        <v>325</v>
      </c>
      <c r="E163" s="289">
        <f>'B) D RI'!S164</f>
        <v>79</v>
      </c>
      <c r="F163" s="14">
        <f>'B) D RI'!R164</f>
        <v>574920.54</v>
      </c>
      <c r="G163" s="14">
        <f>'B) D RI'!U164</f>
        <v>7277.4751898734185</v>
      </c>
      <c r="H163" s="52">
        <f>'B) D RI'!T164</f>
        <v>534561.44000000006</v>
      </c>
      <c r="I163" s="14">
        <f t="shared" si="19"/>
        <v>13533.20101265823</v>
      </c>
      <c r="J163" s="41">
        <f t="shared" si="15"/>
        <v>27513.730893699609</v>
      </c>
      <c r="K163" s="14">
        <f t="shared" si="16"/>
        <v>13533.20101265823</v>
      </c>
      <c r="L163" s="14">
        <f t="shared" si="20"/>
        <v>13980.529881041379</v>
      </c>
      <c r="M163" s="14">
        <f>'D) Ecrêtage'!M162</f>
        <v>7277.4751898734185</v>
      </c>
      <c r="N163" s="14">
        <f t="shared" si="17"/>
        <v>9769.7640993420628</v>
      </c>
      <c r="O163" s="74">
        <f t="shared" si="18"/>
        <v>23302.965112000293</v>
      </c>
      <c r="P163" s="290"/>
      <c r="Q163" s="291"/>
      <c r="R163" s="287"/>
      <c r="S163" s="287"/>
      <c r="T163" s="292"/>
    </row>
    <row r="164" spans="1:20" s="286" customFormat="1" x14ac:dyDescent="0.25">
      <c r="A164" s="299">
        <f>'A) Base RI'!A165</f>
        <v>5663</v>
      </c>
      <c r="B164" s="299" t="str">
        <f>'A) Base RI'!B165</f>
        <v>Bussy-sur-Moudon</v>
      </c>
      <c r="C164" s="316">
        <v>0</v>
      </c>
      <c r="D164" s="288">
        <f>'B) D RI'!AR165</f>
        <v>198</v>
      </c>
      <c r="E164" s="289">
        <f>'B) D RI'!S165</f>
        <v>80</v>
      </c>
      <c r="F164" s="14">
        <f>'B) D RI'!R165</f>
        <v>399928.31999999995</v>
      </c>
      <c r="G164" s="14">
        <f>'B) D RI'!U165</f>
        <v>4999.1039999999994</v>
      </c>
      <c r="H164" s="52">
        <f>'B) D RI'!T165</f>
        <v>378457.51999999996</v>
      </c>
      <c r="I164" s="14">
        <f t="shared" si="19"/>
        <v>9461.4379999999983</v>
      </c>
      <c r="J164" s="41">
        <f t="shared" si="15"/>
        <v>16762.21143677699</v>
      </c>
      <c r="K164" s="14">
        <f t="shared" si="16"/>
        <v>9461.4379999999983</v>
      </c>
      <c r="L164" s="14">
        <f t="shared" si="20"/>
        <v>7300.7734367769917</v>
      </c>
      <c r="M164" s="14">
        <f>'D) Ecrêtage'!M163</f>
        <v>4999.1039999999994</v>
      </c>
      <c r="N164" s="14">
        <f t="shared" si="17"/>
        <v>6711.1278999670212</v>
      </c>
      <c r="O164" s="74">
        <f t="shared" si="18"/>
        <v>16172.56589996702</v>
      </c>
      <c r="P164" s="290"/>
      <c r="Q164" s="291"/>
      <c r="R164" s="287"/>
      <c r="S164" s="287"/>
      <c r="T164" s="292"/>
    </row>
    <row r="165" spans="1:20" s="286" customFormat="1" x14ac:dyDescent="0.25">
      <c r="A165" s="299">
        <f>'A) Base RI'!A166</f>
        <v>5665</v>
      </c>
      <c r="B165" s="299" t="str">
        <f>'A) Base RI'!B166</f>
        <v>Chavannes-sur-Moudon</v>
      </c>
      <c r="C165" s="316">
        <v>0</v>
      </c>
      <c r="D165" s="288">
        <f>'B) D RI'!AR166</f>
        <v>224</v>
      </c>
      <c r="E165" s="289">
        <f>'B) D RI'!S166</f>
        <v>72</v>
      </c>
      <c r="F165" s="14">
        <f>'B) D RI'!R166</f>
        <v>348085.13999999996</v>
      </c>
      <c r="G165" s="14">
        <f>'B) D RI'!U166</f>
        <v>4834.5158333333329</v>
      </c>
      <c r="H165" s="52">
        <f>'B) D RI'!T166</f>
        <v>325494.83999999997</v>
      </c>
      <c r="I165" s="14">
        <f t="shared" si="19"/>
        <v>9041.5233333333326</v>
      </c>
      <c r="J165" s="41">
        <f t="shared" si="15"/>
        <v>18963.30990827296</v>
      </c>
      <c r="K165" s="14">
        <f t="shared" si="16"/>
        <v>9041.5233333333326</v>
      </c>
      <c r="L165" s="14">
        <f t="shared" si="20"/>
        <v>9921.7865749396278</v>
      </c>
      <c r="M165" s="14">
        <f>'D) Ecrêtage'!M164</f>
        <v>4834.5158333333329</v>
      </c>
      <c r="N165" s="14">
        <f t="shared" si="17"/>
        <v>6490.1738575384006</v>
      </c>
      <c r="O165" s="74">
        <f t="shared" si="18"/>
        <v>15531.697190871733</v>
      </c>
      <c r="P165" s="290"/>
      <c r="Q165" s="291"/>
      <c r="R165" s="287"/>
      <c r="S165" s="287"/>
      <c r="T165" s="292"/>
    </row>
    <row r="166" spans="1:20" s="286" customFormat="1" x14ac:dyDescent="0.25">
      <c r="A166" s="299">
        <f>'A) Base RI'!A167</f>
        <v>5669</v>
      </c>
      <c r="B166" s="299" t="str">
        <f>'A) Base RI'!B167</f>
        <v>Curtilles</v>
      </c>
      <c r="C166" s="316">
        <v>0</v>
      </c>
      <c r="D166" s="288">
        <f>'B) D RI'!AR167</f>
        <v>311</v>
      </c>
      <c r="E166" s="289">
        <f>'B) D RI'!S167</f>
        <v>72</v>
      </c>
      <c r="F166" s="14">
        <f>'B) D RI'!R167</f>
        <v>626961.59</v>
      </c>
      <c r="G166" s="14">
        <f>'B) D RI'!U167</f>
        <v>8707.7998611111107</v>
      </c>
      <c r="H166" s="52">
        <f>'B) D RI'!T167</f>
        <v>584496.18999999994</v>
      </c>
      <c r="I166" s="14">
        <f t="shared" si="19"/>
        <v>16236.005277777776</v>
      </c>
      <c r="J166" s="41">
        <f t="shared" si="15"/>
        <v>26328.524024432547</v>
      </c>
      <c r="K166" s="14">
        <f t="shared" si="16"/>
        <v>16236.005277777776</v>
      </c>
      <c r="L166" s="14">
        <f t="shared" si="20"/>
        <v>10092.51874665477</v>
      </c>
      <c r="M166" s="14">
        <f>'D) Ecrêtage'!M165</f>
        <v>8707.7998611111107</v>
      </c>
      <c r="N166" s="14">
        <f t="shared" si="17"/>
        <v>11689.926553884803</v>
      </c>
      <c r="O166" s="74">
        <f t="shared" si="18"/>
        <v>27925.931831662579</v>
      </c>
      <c r="P166" s="290"/>
      <c r="Q166" s="291"/>
      <c r="R166" s="287"/>
      <c r="S166" s="287"/>
      <c r="T166" s="292"/>
    </row>
    <row r="167" spans="1:20" s="286" customFormat="1" x14ac:dyDescent="0.25">
      <c r="A167" s="299">
        <f>'A) Base RI'!A168</f>
        <v>5671</v>
      </c>
      <c r="B167" s="299" t="str">
        <f>'A) Base RI'!B168</f>
        <v>Dompierre</v>
      </c>
      <c r="C167" s="316">
        <v>0</v>
      </c>
      <c r="D167" s="288">
        <f>'B) D RI'!AR168</f>
        <v>247</v>
      </c>
      <c r="E167" s="289">
        <f>'B) D RI'!S168</f>
        <v>80</v>
      </c>
      <c r="F167" s="14">
        <f>'B) D RI'!R168</f>
        <v>498135.58</v>
      </c>
      <c r="G167" s="14">
        <f>'B) D RI'!U168</f>
        <v>6226.6947500000006</v>
      </c>
      <c r="H167" s="52">
        <f>'B) D RI'!T168</f>
        <v>466075.08</v>
      </c>
      <c r="I167" s="14">
        <f t="shared" si="19"/>
        <v>11651.877</v>
      </c>
      <c r="J167" s="41">
        <f t="shared" si="15"/>
        <v>20910.435479211701</v>
      </c>
      <c r="K167" s="14">
        <f t="shared" si="16"/>
        <v>11651.877</v>
      </c>
      <c r="L167" s="14">
        <f t="shared" si="20"/>
        <v>9258.5584792117006</v>
      </c>
      <c r="M167" s="14">
        <f>'D) Ecrêtage'!M166</f>
        <v>6226.6947500000006</v>
      </c>
      <c r="N167" s="14">
        <f t="shared" si="17"/>
        <v>8359.1269278061009</v>
      </c>
      <c r="O167" s="74">
        <f t="shared" si="18"/>
        <v>20011.003927806101</v>
      </c>
      <c r="P167" s="290"/>
      <c r="Q167" s="291"/>
      <c r="R167" s="287"/>
      <c r="S167" s="287"/>
      <c r="T167" s="292"/>
    </row>
    <row r="168" spans="1:20" s="286" customFormat="1" x14ac:dyDescent="0.25">
      <c r="A168" s="299">
        <f>'A) Base RI'!A169</f>
        <v>5673</v>
      </c>
      <c r="B168" s="299" t="str">
        <f>'A) Base RI'!B169</f>
        <v>Hermenches</v>
      </c>
      <c r="C168" s="316">
        <v>0</v>
      </c>
      <c r="D168" s="288">
        <f>'B) D RI'!AR169</f>
        <v>382</v>
      </c>
      <c r="E168" s="289">
        <f>'B) D RI'!S169</f>
        <v>75</v>
      </c>
      <c r="F168" s="14">
        <f>'B) D RI'!R169</f>
        <v>664072.08666666667</v>
      </c>
      <c r="G168" s="14">
        <f>'B) D RI'!U169</f>
        <v>8854.2944888888887</v>
      </c>
      <c r="H168" s="52">
        <f>'B) D RI'!T169</f>
        <v>620342.92000000004</v>
      </c>
      <c r="I168" s="14">
        <f t="shared" si="19"/>
        <v>16542.477866666668</v>
      </c>
      <c r="J168" s="41">
        <f t="shared" si="15"/>
        <v>32339.216004286922</v>
      </c>
      <c r="K168" s="14">
        <f t="shared" si="16"/>
        <v>16542.477866666668</v>
      </c>
      <c r="L168" s="14">
        <f t="shared" si="20"/>
        <v>15796.738137620254</v>
      </c>
      <c r="M168" s="14">
        <f>'D) Ecrêtage'!M167</f>
        <v>8854.2944888888887</v>
      </c>
      <c r="N168" s="14">
        <f t="shared" si="17"/>
        <v>11886.590632822696</v>
      </c>
      <c r="O168" s="74">
        <f t="shared" si="18"/>
        <v>28429.068499489364</v>
      </c>
      <c r="P168" s="290"/>
      <c r="Q168" s="291"/>
      <c r="R168" s="287"/>
      <c r="S168" s="287"/>
      <c r="T168" s="292"/>
    </row>
    <row r="169" spans="1:20" s="286" customFormat="1" x14ac:dyDescent="0.25">
      <c r="A169" s="299">
        <f>'A) Base RI'!A170</f>
        <v>5674</v>
      </c>
      <c r="B169" s="299" t="str">
        <f>'A) Base RI'!B170</f>
        <v>Lovatens</v>
      </c>
      <c r="C169" s="316">
        <v>0</v>
      </c>
      <c r="D169" s="288">
        <f>'B) D RI'!AR170</f>
        <v>151</v>
      </c>
      <c r="E169" s="289">
        <f>'B) D RI'!S170</f>
        <v>75</v>
      </c>
      <c r="F169" s="14">
        <f>'B) D RI'!R170</f>
        <v>251057.38</v>
      </c>
      <c r="G169" s="14">
        <f>'B) D RI'!U170</f>
        <v>3347.4317333333333</v>
      </c>
      <c r="H169" s="52">
        <f>'B) D RI'!T170</f>
        <v>234405.38</v>
      </c>
      <c r="I169" s="14">
        <f t="shared" si="19"/>
        <v>6250.8101333333334</v>
      </c>
      <c r="J169" s="41">
        <f t="shared" si="15"/>
        <v>12783.302661380432</v>
      </c>
      <c r="K169" s="14">
        <f t="shared" si="16"/>
        <v>6250.8101333333334</v>
      </c>
      <c r="L169" s="14">
        <f t="shared" si="20"/>
        <v>6532.4925280470989</v>
      </c>
      <c r="M169" s="14">
        <f>'D) Ecrêtage'!M168</f>
        <v>3347.4317333333333</v>
      </c>
      <c r="N169" s="14">
        <f t="shared" si="17"/>
        <v>4493.8137911930426</v>
      </c>
      <c r="O169" s="74">
        <f t="shared" si="18"/>
        <v>10744.623924526375</v>
      </c>
      <c r="P169" s="290"/>
      <c r="Q169" s="291"/>
      <c r="R169" s="287"/>
      <c r="S169" s="287"/>
      <c r="T169" s="292"/>
    </row>
    <row r="170" spans="1:20" s="286" customFormat="1" x14ac:dyDescent="0.25">
      <c r="A170" s="299">
        <f>'A) Base RI'!A171</f>
        <v>5675</v>
      </c>
      <c r="B170" s="299" t="str">
        <f>'A) Base RI'!B171</f>
        <v>Lucens</v>
      </c>
      <c r="C170" s="316">
        <v>0</v>
      </c>
      <c r="D170" s="288">
        <f>'B) D RI'!AR171</f>
        <v>3890</v>
      </c>
      <c r="E170" s="289">
        <f>'B) D RI'!S171</f>
        <v>67.8</v>
      </c>
      <c r="F170" s="14">
        <f>'B) D RI'!R171</f>
        <v>6217417.379999999</v>
      </c>
      <c r="G170" s="14">
        <f>'B) D RI'!U171</f>
        <v>91702.321238938035</v>
      </c>
      <c r="H170" s="52">
        <f>'B) D RI'!T171</f>
        <v>5659484.379999999</v>
      </c>
      <c r="I170" s="14">
        <f t="shared" ref="I170" si="21">+H170/E170*$I$5</f>
        <v>166946.44188790559</v>
      </c>
      <c r="J170" s="41">
        <f t="shared" ref="J170" si="22">+$I$315/$D$315*D170</f>
        <v>329318.19438920455</v>
      </c>
      <c r="K170" s="14">
        <f t="shared" ref="K170" si="23">IF(C170=1,0,IF(J170&gt;I170,I170,J170))</f>
        <v>166946.44188790559</v>
      </c>
      <c r="L170" s="14">
        <f t="shared" ref="L170" si="24">+J170-K170</f>
        <v>162371.75250129896</v>
      </c>
      <c r="M170" s="14">
        <f>'D) Ecrêtage'!M169</f>
        <v>91702.321238938035</v>
      </c>
      <c r="N170" s="14">
        <f t="shared" ref="N170" si="25">+$N$5*M170</f>
        <v>123107.26213304934</v>
      </c>
      <c r="O170" s="74">
        <f t="shared" ref="O170" si="26">+N170+K170</f>
        <v>290053.7040209549</v>
      </c>
      <c r="P170" s="290"/>
      <c r="Q170" s="291"/>
      <c r="R170" s="287"/>
      <c r="S170" s="287"/>
      <c r="T170" s="292"/>
    </row>
    <row r="171" spans="1:20" s="286" customFormat="1" x14ac:dyDescent="0.25">
      <c r="A171" s="299">
        <f>'A) Base RI'!A172</f>
        <v>5678</v>
      </c>
      <c r="B171" s="299" t="str">
        <f>'A) Base RI'!B172</f>
        <v>Moudon</v>
      </c>
      <c r="C171" s="316">
        <v>0</v>
      </c>
      <c r="D171" s="288">
        <f>'B) D RI'!AR172</f>
        <v>5770</v>
      </c>
      <c r="E171" s="289">
        <f>'B) D RI'!S172</f>
        <v>75</v>
      </c>
      <c r="F171" s="14">
        <f>'B) D RI'!R172</f>
        <v>9154534.2299999986</v>
      </c>
      <c r="G171" s="14">
        <f>'B) D RI'!U172</f>
        <v>122060.45639999998</v>
      </c>
      <c r="H171" s="52">
        <f>'B) D RI'!T172</f>
        <v>8373596.7799999993</v>
      </c>
      <c r="I171" s="14">
        <f t="shared" si="19"/>
        <v>223295.91413333331</v>
      </c>
      <c r="J171" s="41">
        <f t="shared" ref="J171:J218" si="27">+$I$315/$D$315*D171</f>
        <v>488474.54540506686</v>
      </c>
      <c r="K171" s="14">
        <f t="shared" si="16"/>
        <v>223295.91413333331</v>
      </c>
      <c r="L171" s="14">
        <f t="shared" si="20"/>
        <v>265178.63127173355</v>
      </c>
      <c r="M171" s="14">
        <f>'D) Ecrêtage'!M170</f>
        <v>122060.45639999998</v>
      </c>
      <c r="N171" s="14">
        <f t="shared" si="17"/>
        <v>163862.03096169798</v>
      </c>
      <c r="O171" s="74">
        <f t="shared" si="18"/>
        <v>387157.94509503129</v>
      </c>
      <c r="P171" s="290"/>
      <c r="Q171" s="291"/>
      <c r="R171" s="287"/>
      <c r="S171" s="287"/>
      <c r="T171" s="292"/>
    </row>
    <row r="172" spans="1:20" s="286" customFormat="1" x14ac:dyDescent="0.25">
      <c r="A172" s="299">
        <f>'A) Base RI'!A173</f>
        <v>5680</v>
      </c>
      <c r="B172" s="299" t="str">
        <f>'A) Base RI'!B173</f>
        <v>Ogens</v>
      </c>
      <c r="C172" s="316">
        <v>0</v>
      </c>
      <c r="D172" s="288">
        <f>'B) D RI'!AR173</f>
        <v>283</v>
      </c>
      <c r="E172" s="289">
        <f>'B) D RI'!S173</f>
        <v>78</v>
      </c>
      <c r="F172" s="14">
        <f>'B) D RI'!R173</f>
        <v>636742.77666666673</v>
      </c>
      <c r="G172" s="14">
        <f>'B) D RI'!U173</f>
        <v>8163.3689316239324</v>
      </c>
      <c r="H172" s="52">
        <f>'B) D RI'!T173</f>
        <v>600427.51</v>
      </c>
      <c r="I172" s="14">
        <f t="shared" si="19"/>
        <v>15395.57717948718</v>
      </c>
      <c r="J172" s="41">
        <f t="shared" si="27"/>
        <v>23958.110285898427</v>
      </c>
      <c r="K172" s="14">
        <f t="shared" si="16"/>
        <v>15395.57717948718</v>
      </c>
      <c r="L172" s="14">
        <f t="shared" si="20"/>
        <v>8562.533106411247</v>
      </c>
      <c r="M172" s="14">
        <f>'D) Ecrêtage'!M171</f>
        <v>8163.3689316239324</v>
      </c>
      <c r="N172" s="14">
        <f t="shared" si="17"/>
        <v>10959.046460074716</v>
      </c>
      <c r="O172" s="74">
        <f t="shared" si="18"/>
        <v>26354.623639561898</v>
      </c>
      <c r="P172" s="290"/>
      <c r="Q172" s="291"/>
      <c r="R172" s="287"/>
      <c r="S172" s="287"/>
      <c r="T172" s="292"/>
    </row>
    <row r="173" spans="1:20" s="286" customFormat="1" x14ac:dyDescent="0.25">
      <c r="A173" s="299">
        <f>'A) Base RI'!A174</f>
        <v>5683</v>
      </c>
      <c r="B173" s="299" t="str">
        <f>'A) Base RI'!B174</f>
        <v>Prévonloup</v>
      </c>
      <c r="C173" s="316">
        <v>0</v>
      </c>
      <c r="D173" s="288">
        <f>'B) D RI'!AR174</f>
        <v>172</v>
      </c>
      <c r="E173" s="289">
        <f>'B) D RI'!S174</f>
        <v>74</v>
      </c>
      <c r="F173" s="14">
        <f>'B) D RI'!R174</f>
        <v>267769.14</v>
      </c>
      <c r="G173" s="14">
        <f>'B) D RI'!U174</f>
        <v>3618.5018918918922</v>
      </c>
      <c r="H173" s="52">
        <f>'B) D RI'!T174</f>
        <v>248373.89</v>
      </c>
      <c r="I173" s="14">
        <f t="shared" si="19"/>
        <v>6712.8078378378386</v>
      </c>
      <c r="J173" s="41">
        <f t="shared" si="27"/>
        <v>14561.112965281023</v>
      </c>
      <c r="K173" s="14">
        <f t="shared" si="16"/>
        <v>6712.8078378378386</v>
      </c>
      <c r="L173" s="14">
        <f t="shared" si="20"/>
        <v>7848.3051274431846</v>
      </c>
      <c r="M173" s="14">
        <f>'D) Ecrêtage'!M172</f>
        <v>3618.5018918918922</v>
      </c>
      <c r="N173" s="14">
        <f t="shared" si="17"/>
        <v>4857.7163033133802</v>
      </c>
      <c r="O173" s="74">
        <f t="shared" si="18"/>
        <v>11570.524141151218</v>
      </c>
      <c r="P173" s="290"/>
      <c r="Q173" s="291"/>
      <c r="R173" s="287"/>
      <c r="S173" s="287"/>
      <c r="T173" s="292"/>
    </row>
    <row r="174" spans="1:20" s="286" customFormat="1" x14ac:dyDescent="0.25">
      <c r="A174" s="299">
        <f>'A) Base RI'!A175</f>
        <v>5684</v>
      </c>
      <c r="B174" s="299" t="str">
        <f>'A) Base RI'!B175</f>
        <v>Rossenges</v>
      </c>
      <c r="C174" s="316">
        <v>0</v>
      </c>
      <c r="D174" s="288">
        <f>'B) D RI'!AR175</f>
        <v>65</v>
      </c>
      <c r="E174" s="289">
        <f>'B) D RI'!S175</f>
        <v>60</v>
      </c>
      <c r="F174" s="14">
        <f>'B) D RI'!R175</f>
        <v>156704.37999999998</v>
      </c>
      <c r="G174" s="14">
        <f>'B) D RI'!U175</f>
        <v>2611.7396666666664</v>
      </c>
      <c r="H174" s="52">
        <f>'B) D RI'!T175</f>
        <v>149204.37999999998</v>
      </c>
      <c r="I174" s="14">
        <f t="shared" si="19"/>
        <v>4973.4793333333328</v>
      </c>
      <c r="J174" s="41">
        <f t="shared" si="27"/>
        <v>5502.7461787399216</v>
      </c>
      <c r="K174" s="14">
        <f t="shared" si="16"/>
        <v>4973.4793333333328</v>
      </c>
      <c r="L174" s="14">
        <f t="shared" si="20"/>
        <v>529.2668454065888</v>
      </c>
      <c r="M174" s="14">
        <f>'D) Ecrêtage'!M173</f>
        <v>2611.7396666666664</v>
      </c>
      <c r="N174" s="14">
        <f t="shared" si="17"/>
        <v>3506.1720949228575</v>
      </c>
      <c r="O174" s="74">
        <f t="shared" si="18"/>
        <v>8479.6514282561911</v>
      </c>
      <c r="P174" s="290"/>
      <c r="Q174" s="291"/>
      <c r="R174" s="287"/>
      <c r="S174" s="287"/>
      <c r="T174" s="292"/>
    </row>
    <row r="175" spans="1:20" s="286" customFormat="1" x14ac:dyDescent="0.25">
      <c r="A175" s="299">
        <f>'A) Base RI'!A176</f>
        <v>5688</v>
      </c>
      <c r="B175" s="299" t="str">
        <f>'A) Base RI'!B176</f>
        <v>Syens</v>
      </c>
      <c r="C175" s="316">
        <v>0</v>
      </c>
      <c r="D175" s="288">
        <f>'B) D RI'!AR176</f>
        <v>139</v>
      </c>
      <c r="E175" s="289">
        <f>'B) D RI'!S176</f>
        <v>75.599999999999994</v>
      </c>
      <c r="F175" s="14">
        <f>'B) D RI'!R176</f>
        <v>407154.14000000013</v>
      </c>
      <c r="G175" s="14">
        <f>'B) D RI'!U176</f>
        <v>5385.636772486775</v>
      </c>
      <c r="H175" s="52">
        <f>'B) D RI'!T176</f>
        <v>388196.74000000011</v>
      </c>
      <c r="I175" s="14">
        <f t="shared" si="19"/>
        <v>10269.75502645503</v>
      </c>
      <c r="J175" s="41">
        <f t="shared" si="27"/>
        <v>11767.411059151524</v>
      </c>
      <c r="K175" s="14">
        <f t="shared" si="16"/>
        <v>10269.75502645503</v>
      </c>
      <c r="L175" s="14">
        <f t="shared" si="20"/>
        <v>1497.6560326964936</v>
      </c>
      <c r="M175" s="14">
        <f>'D) Ecrêtage'!M174</f>
        <v>5385.636772486775</v>
      </c>
      <c r="N175" s="14">
        <f t="shared" si="17"/>
        <v>7230.0350628681344</v>
      </c>
      <c r="O175" s="74">
        <f t="shared" si="18"/>
        <v>17499.790089323164</v>
      </c>
      <c r="P175" s="290"/>
      <c r="Q175" s="291"/>
      <c r="R175" s="287"/>
      <c r="S175" s="287"/>
      <c r="T175" s="292"/>
    </row>
    <row r="176" spans="1:20" s="286" customFormat="1" x14ac:dyDescent="0.25">
      <c r="A176" s="299">
        <f>'A) Base RI'!A177</f>
        <v>5690</v>
      </c>
      <c r="B176" s="299" t="str">
        <f>'A) Base RI'!B177</f>
        <v>Villars-le-Comte</v>
      </c>
      <c r="C176" s="316">
        <v>0</v>
      </c>
      <c r="D176" s="288">
        <f>'B) D RI'!AR177</f>
        <v>150</v>
      </c>
      <c r="E176" s="289">
        <f>'B) D RI'!S177</f>
        <v>76</v>
      </c>
      <c r="F176" s="14">
        <f>'B) D RI'!R177</f>
        <v>256549.31</v>
      </c>
      <c r="G176" s="14">
        <f>'B) D RI'!U177</f>
        <v>3375.6488157894737</v>
      </c>
      <c r="H176" s="52">
        <f>'B) D RI'!T177</f>
        <v>237451.21</v>
      </c>
      <c r="I176" s="14">
        <f t="shared" si="19"/>
        <v>6248.7160526315783</v>
      </c>
      <c r="J176" s="41">
        <f t="shared" si="27"/>
        <v>12698.645027861357</v>
      </c>
      <c r="K176" s="14">
        <f t="shared" si="16"/>
        <v>6248.7160526315783</v>
      </c>
      <c r="L176" s="14">
        <f t="shared" si="20"/>
        <v>6449.9289752297791</v>
      </c>
      <c r="M176" s="14">
        <f>'D) Ecrêtage'!M175</f>
        <v>3375.6488157894737</v>
      </c>
      <c r="N176" s="14">
        <f t="shared" si="17"/>
        <v>4531.6942692401235</v>
      </c>
      <c r="O176" s="74">
        <f t="shared" si="18"/>
        <v>10780.410321871703</v>
      </c>
      <c r="P176" s="290"/>
      <c r="Q176" s="291"/>
      <c r="R176" s="287"/>
      <c r="S176" s="287"/>
      <c r="T176" s="292"/>
    </row>
    <row r="177" spans="1:20" s="286" customFormat="1" x14ac:dyDescent="0.25">
      <c r="A177" s="299">
        <f>'A) Base RI'!A178</f>
        <v>5692</v>
      </c>
      <c r="B177" s="299" t="str">
        <f>'A) Base RI'!B178</f>
        <v>Vucherens</v>
      </c>
      <c r="C177" s="316">
        <v>0</v>
      </c>
      <c r="D177" s="288">
        <f>'B) D RI'!AR178</f>
        <v>543</v>
      </c>
      <c r="E177" s="289">
        <f>'B) D RI'!S178</f>
        <v>79</v>
      </c>
      <c r="F177" s="14">
        <f>'B) D RI'!R178</f>
        <v>1194945.1800000002</v>
      </c>
      <c r="G177" s="14">
        <f>'B) D RI'!U178</f>
        <v>15125.888354430383</v>
      </c>
      <c r="H177" s="52">
        <f>'B) D RI'!T178</f>
        <v>1115377.0300000003</v>
      </c>
      <c r="I177" s="14">
        <f t="shared" si="19"/>
        <v>28237.393164556968</v>
      </c>
      <c r="J177" s="41">
        <f t="shared" si="27"/>
        <v>45969.095000858113</v>
      </c>
      <c r="K177" s="14">
        <f t="shared" si="16"/>
        <v>28237.393164556968</v>
      </c>
      <c r="L177" s="14">
        <f t="shared" si="20"/>
        <v>17731.701836301145</v>
      </c>
      <c r="M177" s="14">
        <f>'D) Ecrêtage'!M176</f>
        <v>15125.888354430383</v>
      </c>
      <c r="N177" s="14">
        <f t="shared" si="17"/>
        <v>20305.993103404933</v>
      </c>
      <c r="O177" s="74">
        <f t="shared" si="18"/>
        <v>48543.386267961905</v>
      </c>
      <c r="P177" s="290"/>
      <c r="Q177" s="291"/>
      <c r="R177" s="287"/>
      <c r="S177" s="287"/>
      <c r="T177" s="292"/>
    </row>
    <row r="178" spans="1:20" s="286" customFormat="1" x14ac:dyDescent="0.25">
      <c r="A178" s="299">
        <f>'A) Base RI'!A179</f>
        <v>5693</v>
      </c>
      <c r="B178" s="299" t="str">
        <f>'A) Base RI'!B179</f>
        <v>Montanaire</v>
      </c>
      <c r="C178" s="316">
        <v>0</v>
      </c>
      <c r="D178" s="288">
        <f>'B) D RI'!AR179</f>
        <v>2421</v>
      </c>
      <c r="E178" s="289">
        <f>'B) D RI'!S179</f>
        <v>72</v>
      </c>
      <c r="F178" s="14">
        <f>'B) D RI'!R179</f>
        <v>4535121.2800000012</v>
      </c>
      <c r="G178" s="14">
        <f>'B) D RI'!U179</f>
        <v>62987.795555555575</v>
      </c>
      <c r="H178" s="52">
        <f>'B) D RI'!T179</f>
        <v>4227606.8800000008</v>
      </c>
      <c r="I178" s="14">
        <f t="shared" si="19"/>
        <v>117433.52444444447</v>
      </c>
      <c r="J178" s="41">
        <f t="shared" si="27"/>
        <v>204956.13074968231</v>
      </c>
      <c r="K178" s="14">
        <f t="shared" si="16"/>
        <v>117433.52444444447</v>
      </c>
      <c r="L178" s="14">
        <f t="shared" si="20"/>
        <v>87522.606305237845</v>
      </c>
      <c r="M178" s="14">
        <f>'D) Ecrêtage'!M177</f>
        <v>62987.795555555575</v>
      </c>
      <c r="N178" s="14">
        <f t="shared" si="17"/>
        <v>84558.983391885398</v>
      </c>
      <c r="O178" s="74">
        <f t="shared" si="18"/>
        <v>201992.50783632987</v>
      </c>
      <c r="P178" s="290"/>
      <c r="Q178" s="291"/>
      <c r="R178" s="287"/>
      <c r="S178" s="287"/>
      <c r="T178" s="292"/>
    </row>
    <row r="179" spans="1:20" s="286" customFormat="1" x14ac:dyDescent="0.25">
      <c r="A179" s="299">
        <f>'A) Base RI'!A180</f>
        <v>5701</v>
      </c>
      <c r="B179" s="299" t="str">
        <f>'A) Base RI'!B180</f>
        <v>Arnex-sur-Nyon</v>
      </c>
      <c r="C179" s="316">
        <v>0</v>
      </c>
      <c r="D179" s="288">
        <f>'B) D RI'!AR180</f>
        <v>208</v>
      </c>
      <c r="E179" s="289">
        <f>'B) D RI'!S180</f>
        <v>65</v>
      </c>
      <c r="F179" s="14">
        <f>'B) D RI'!R180</f>
        <v>935119.65999999992</v>
      </c>
      <c r="G179" s="14">
        <f>'B) D RI'!U180</f>
        <v>14386.456307692306</v>
      </c>
      <c r="H179" s="52">
        <f>'B) D RI'!T180</f>
        <v>870415.25999999989</v>
      </c>
      <c r="I179" s="14">
        <f t="shared" si="19"/>
        <v>26782.007999999998</v>
      </c>
      <c r="J179" s="41">
        <f t="shared" si="27"/>
        <v>17608.787771967749</v>
      </c>
      <c r="K179" s="14">
        <f t="shared" si="16"/>
        <v>17608.787771967749</v>
      </c>
      <c r="L179" s="14">
        <f t="shared" si="20"/>
        <v>0</v>
      </c>
      <c r="M179" s="14">
        <f>'D) Ecrêtage'!M178</f>
        <v>13660.306397009143</v>
      </c>
      <c r="N179" s="14">
        <f t="shared" si="17"/>
        <v>18338.498935622472</v>
      </c>
      <c r="O179" s="74">
        <f t="shared" si="18"/>
        <v>35947.286707590218</v>
      </c>
      <c r="P179" s="290"/>
      <c r="Q179" s="291"/>
      <c r="R179" s="287"/>
      <c r="S179" s="287"/>
      <c r="T179" s="292"/>
    </row>
    <row r="180" spans="1:20" s="286" customFormat="1" x14ac:dyDescent="0.25">
      <c r="A180" s="299">
        <f>'A) Base RI'!A181</f>
        <v>5702</v>
      </c>
      <c r="B180" s="299" t="str">
        <f>'A) Base RI'!B181</f>
        <v>Arzier-Le Muids</v>
      </c>
      <c r="C180" s="316">
        <v>0</v>
      </c>
      <c r="D180" s="288">
        <f>'B) D RI'!AR181</f>
        <v>2506</v>
      </c>
      <c r="E180" s="289">
        <f>'B) D RI'!S181</f>
        <v>64</v>
      </c>
      <c r="F180" s="14">
        <f>'B) D RI'!R181</f>
        <v>8789547.3966666665</v>
      </c>
      <c r="G180" s="14">
        <f>'B) D RI'!U181</f>
        <v>137336.67807291666</v>
      </c>
      <c r="H180" s="52">
        <f>'B) D RI'!T181</f>
        <v>8111044.3300000001</v>
      </c>
      <c r="I180" s="14">
        <f t="shared" si="19"/>
        <v>253470.1353125</v>
      </c>
      <c r="J180" s="41">
        <f t="shared" si="27"/>
        <v>212152.02959880375</v>
      </c>
      <c r="K180" s="14">
        <f t="shared" si="16"/>
        <v>212152.02959880375</v>
      </c>
      <c r="L180" s="14">
        <f t="shared" si="20"/>
        <v>0</v>
      </c>
      <c r="M180" s="14">
        <f>'D) Ecrêtage'!M179</f>
        <v>137174.35355135452</v>
      </c>
      <c r="N180" s="14">
        <f t="shared" si="17"/>
        <v>184151.92628087668</v>
      </c>
      <c r="O180" s="74">
        <f t="shared" si="18"/>
        <v>396303.95587968046</v>
      </c>
      <c r="P180" s="290"/>
      <c r="Q180" s="291"/>
      <c r="R180" s="287"/>
      <c r="S180" s="287"/>
      <c r="T180" s="292"/>
    </row>
    <row r="181" spans="1:20" s="286" customFormat="1" x14ac:dyDescent="0.25">
      <c r="A181" s="299">
        <f>'A) Base RI'!A182</f>
        <v>5703</v>
      </c>
      <c r="B181" s="299" t="str">
        <f>'A) Base RI'!B182</f>
        <v>Bassins</v>
      </c>
      <c r="C181" s="316">
        <v>0</v>
      </c>
      <c r="D181" s="288">
        <f>'B) D RI'!AR182</f>
        <v>1320</v>
      </c>
      <c r="E181" s="289">
        <f>'B) D RI'!S182</f>
        <v>71</v>
      </c>
      <c r="F181" s="14">
        <f>'B) D RI'!R182</f>
        <v>3664852.9899999993</v>
      </c>
      <c r="G181" s="14">
        <f>'B) D RI'!U182</f>
        <v>51617.647746478862</v>
      </c>
      <c r="H181" s="52">
        <f>'B) D RI'!T182</f>
        <v>3379254.7399999993</v>
      </c>
      <c r="I181" s="14">
        <f t="shared" si="19"/>
        <v>95190.274366197162</v>
      </c>
      <c r="J181" s="41">
        <f t="shared" si="27"/>
        <v>111748.07624517995</v>
      </c>
      <c r="K181" s="14">
        <f t="shared" si="16"/>
        <v>95190.274366197162</v>
      </c>
      <c r="L181" s="14">
        <f t="shared" si="20"/>
        <v>16557.801878982791</v>
      </c>
      <c r="M181" s="14">
        <f>'D) Ecrêtage'!M180</f>
        <v>51617.647746478862</v>
      </c>
      <c r="N181" s="14">
        <f t="shared" si="17"/>
        <v>69294.94483852791</v>
      </c>
      <c r="O181" s="74">
        <f t="shared" si="18"/>
        <v>164485.21920472506</v>
      </c>
      <c r="P181" s="290"/>
      <c r="Q181" s="291"/>
      <c r="R181" s="287"/>
      <c r="S181" s="287"/>
      <c r="T181" s="292"/>
    </row>
    <row r="182" spans="1:20" s="286" customFormat="1" x14ac:dyDescent="0.25">
      <c r="A182" s="299">
        <f>'A) Base RI'!A183</f>
        <v>5704</v>
      </c>
      <c r="B182" s="299" t="str">
        <f>'A) Base RI'!B183</f>
        <v>Begnins</v>
      </c>
      <c r="C182" s="316">
        <v>0</v>
      </c>
      <c r="D182" s="288">
        <f>'B) D RI'!AR183</f>
        <v>1802</v>
      </c>
      <c r="E182" s="289">
        <f>'B) D RI'!S183</f>
        <v>67</v>
      </c>
      <c r="F182" s="14">
        <f>'B) D RI'!R183</f>
        <v>7315900.2066666679</v>
      </c>
      <c r="G182" s="14">
        <f>'B) D RI'!U183</f>
        <v>109192.54039800997</v>
      </c>
      <c r="H182" s="52">
        <f>'B) D RI'!T183</f>
        <v>6897647.4400000013</v>
      </c>
      <c r="I182" s="14">
        <f t="shared" si="19"/>
        <v>205899.9235820896</v>
      </c>
      <c r="J182" s="41">
        <f t="shared" si="27"/>
        <v>152553.05560137445</v>
      </c>
      <c r="K182" s="14">
        <f t="shared" si="16"/>
        <v>152553.05560137445</v>
      </c>
      <c r="L182" s="14">
        <f t="shared" si="20"/>
        <v>0</v>
      </c>
      <c r="M182" s="14">
        <f>'D) Ecrêtage'!M181</f>
        <v>106633.49455692498</v>
      </c>
      <c r="N182" s="14">
        <f t="shared" si="17"/>
        <v>143151.85689114706</v>
      </c>
      <c r="O182" s="74">
        <f t="shared" si="18"/>
        <v>295704.91249252151</v>
      </c>
      <c r="P182" s="290"/>
      <c r="Q182" s="291"/>
      <c r="R182" s="287"/>
      <c r="S182" s="287"/>
      <c r="T182" s="292"/>
    </row>
    <row r="183" spans="1:20" s="286" customFormat="1" x14ac:dyDescent="0.25">
      <c r="A183" s="299">
        <f>'A) Base RI'!A184</f>
        <v>5705</v>
      </c>
      <c r="B183" s="299" t="str">
        <f>'A) Base RI'!B184</f>
        <v>Bogis-Bossey</v>
      </c>
      <c r="C183" s="316">
        <v>0</v>
      </c>
      <c r="D183" s="288">
        <f>'B) D RI'!AR184</f>
        <v>830</v>
      </c>
      <c r="E183" s="289">
        <f>'B) D RI'!S184</f>
        <v>64</v>
      </c>
      <c r="F183" s="14">
        <f>'B) D RI'!R184</f>
        <v>3161206.8799999994</v>
      </c>
      <c r="G183" s="14">
        <f>'B) D RI'!U184</f>
        <v>49393.857499999991</v>
      </c>
      <c r="H183" s="52">
        <f>'B) D RI'!T184</f>
        <v>2955957.4799999995</v>
      </c>
      <c r="I183" s="14">
        <f t="shared" si="19"/>
        <v>92373.671249999985</v>
      </c>
      <c r="J183" s="41">
        <f t="shared" si="27"/>
        <v>70265.835820832843</v>
      </c>
      <c r="K183" s="14">
        <f t="shared" si="16"/>
        <v>70265.835820832843</v>
      </c>
      <c r="L183" s="14">
        <f t="shared" si="20"/>
        <v>0</v>
      </c>
      <c r="M183" s="14">
        <f>'D) Ecrêtage'!M182</f>
        <v>48425.798700716397</v>
      </c>
      <c r="N183" s="14">
        <f t="shared" si="17"/>
        <v>65009.995538913492</v>
      </c>
      <c r="O183" s="74">
        <f t="shared" si="18"/>
        <v>135275.83135974634</v>
      </c>
      <c r="P183" s="290"/>
      <c r="Q183" s="291"/>
      <c r="R183" s="287"/>
      <c r="S183" s="287"/>
      <c r="T183" s="292"/>
    </row>
    <row r="184" spans="1:20" s="286" customFormat="1" x14ac:dyDescent="0.25">
      <c r="A184" s="299">
        <f>'A) Base RI'!A185</f>
        <v>5706</v>
      </c>
      <c r="B184" s="299" t="str">
        <f>'A) Base RI'!B185</f>
        <v>Borex</v>
      </c>
      <c r="C184" s="316">
        <v>0</v>
      </c>
      <c r="D184" s="288">
        <f>'B) D RI'!AR185</f>
        <v>1049</v>
      </c>
      <c r="E184" s="289">
        <f>'B) D RI'!S185</f>
        <v>55</v>
      </c>
      <c r="F184" s="14">
        <f>'B) D RI'!R185</f>
        <v>3358571.2433333332</v>
      </c>
      <c r="G184" s="14">
        <f>'B) D RI'!U185</f>
        <v>61064.931696969696</v>
      </c>
      <c r="H184" s="52">
        <f>'B) D RI'!T185</f>
        <v>3136202.61</v>
      </c>
      <c r="I184" s="14">
        <f t="shared" si="19"/>
        <v>114043.73127272727</v>
      </c>
      <c r="J184" s="41">
        <f t="shared" si="27"/>
        <v>88805.85756151042</v>
      </c>
      <c r="K184" s="14">
        <f t="shared" si="16"/>
        <v>88805.85756151042</v>
      </c>
      <c r="L184" s="14">
        <f t="shared" si="20"/>
        <v>0</v>
      </c>
      <c r="M184" s="14">
        <f>'D) Ecrêtage'!M183</f>
        <v>60160.097854151689</v>
      </c>
      <c r="N184" s="14">
        <f t="shared" si="17"/>
        <v>80762.894945522959</v>
      </c>
      <c r="O184" s="74">
        <f t="shared" si="18"/>
        <v>169568.75250703338</v>
      </c>
      <c r="P184" s="290"/>
      <c r="Q184" s="291"/>
      <c r="R184" s="287"/>
      <c r="S184" s="287"/>
      <c r="T184" s="292"/>
    </row>
    <row r="185" spans="1:20" s="286" customFormat="1" x14ac:dyDescent="0.25">
      <c r="A185" s="299">
        <f>'A) Base RI'!A186</f>
        <v>5707</v>
      </c>
      <c r="B185" s="299" t="str">
        <f>'A) Base RI'!B186</f>
        <v>Chavannes-de-Bogis</v>
      </c>
      <c r="C185" s="316">
        <v>0</v>
      </c>
      <c r="D185" s="288">
        <f>'B) D RI'!AR186</f>
        <v>1155</v>
      </c>
      <c r="E185" s="289">
        <f>'B) D RI'!S186</f>
        <v>59</v>
      </c>
      <c r="F185" s="14">
        <f>'B) D RI'!R186</f>
        <v>5315851.01</v>
      </c>
      <c r="G185" s="14">
        <f>'B) D RI'!U186</f>
        <v>90099.169661016946</v>
      </c>
      <c r="H185" s="52">
        <f>'B) D RI'!T186</f>
        <v>4796569.41</v>
      </c>
      <c r="I185" s="14">
        <f t="shared" si="19"/>
        <v>162595.57322033899</v>
      </c>
      <c r="J185" s="41">
        <f t="shared" si="27"/>
        <v>97779.566714532455</v>
      </c>
      <c r="K185" s="14">
        <f t="shared" si="16"/>
        <v>97779.566714532455</v>
      </c>
      <c r="L185" s="14">
        <f t="shared" si="20"/>
        <v>0</v>
      </c>
      <c r="M185" s="14">
        <f>'D) Ecrêtage'!M184</f>
        <v>83013.30450324282</v>
      </c>
      <c r="N185" s="14">
        <f t="shared" si="17"/>
        <v>111442.55128922522</v>
      </c>
      <c r="O185" s="74">
        <f t="shared" si="18"/>
        <v>209222.11800375767</v>
      </c>
      <c r="P185" s="290"/>
      <c r="Q185" s="291"/>
      <c r="R185" s="287"/>
      <c r="S185" s="287"/>
      <c r="T185" s="292"/>
    </row>
    <row r="186" spans="1:20" s="286" customFormat="1" x14ac:dyDescent="0.25">
      <c r="A186" s="299">
        <f>'A) Base RI'!A187</f>
        <v>5708</v>
      </c>
      <c r="B186" s="299" t="str">
        <f>'A) Base RI'!B187</f>
        <v>Chavannes-des-Bois</v>
      </c>
      <c r="C186" s="316">
        <v>0</v>
      </c>
      <c r="D186" s="288">
        <f>'B) D RI'!AR187</f>
        <v>807</v>
      </c>
      <c r="E186" s="289">
        <f>'B) D RI'!S187</f>
        <v>61</v>
      </c>
      <c r="F186" s="14">
        <f>'B) D RI'!R187</f>
        <v>3779341.51</v>
      </c>
      <c r="G186" s="14">
        <f>'B) D RI'!U187</f>
        <v>61956.418196721308</v>
      </c>
      <c r="H186" s="52">
        <f>'B) D RI'!T187</f>
        <v>3527718.9099999997</v>
      </c>
      <c r="I186" s="14">
        <f t="shared" si="19"/>
        <v>115662.91508196721</v>
      </c>
      <c r="J186" s="41">
        <f t="shared" si="27"/>
        <v>68318.710249894109</v>
      </c>
      <c r="K186" s="14">
        <f t="shared" si="16"/>
        <v>68318.710249894109</v>
      </c>
      <c r="L186" s="14">
        <f t="shared" si="20"/>
        <v>0</v>
      </c>
      <c r="M186" s="14">
        <f>'D) Ecrêtage'!M185</f>
        <v>57303.315617106862</v>
      </c>
      <c r="N186" s="14">
        <f t="shared" si="17"/>
        <v>76927.761494576203</v>
      </c>
      <c r="O186" s="74">
        <f t="shared" si="18"/>
        <v>145246.4717444703</v>
      </c>
      <c r="P186" s="290"/>
      <c r="Q186" s="291"/>
      <c r="R186" s="287"/>
      <c r="S186" s="287"/>
      <c r="T186" s="292"/>
    </row>
    <row r="187" spans="1:20" s="286" customFormat="1" x14ac:dyDescent="0.25">
      <c r="A187" s="299">
        <f>'A) Base RI'!A188</f>
        <v>5709</v>
      </c>
      <c r="B187" s="299" t="str">
        <f>'A) Base RI'!B188</f>
        <v>Chéserex</v>
      </c>
      <c r="C187" s="316">
        <v>0</v>
      </c>
      <c r="D187" s="288">
        <f>'B) D RI'!AR188</f>
        <v>1174</v>
      </c>
      <c r="E187" s="289">
        <f>'B) D RI'!S188</f>
        <v>52</v>
      </c>
      <c r="F187" s="14">
        <f>'B) D RI'!R188</f>
        <v>6010958.8399999999</v>
      </c>
      <c r="G187" s="14">
        <f>'B) D RI'!U188</f>
        <v>115595.36230769231</v>
      </c>
      <c r="H187" s="52">
        <f>'B) D RI'!T188</f>
        <v>5716026.79</v>
      </c>
      <c r="I187" s="14">
        <f t="shared" si="19"/>
        <v>219847.18423076923</v>
      </c>
      <c r="J187" s="41">
        <f t="shared" si="27"/>
        <v>99388.061751394896</v>
      </c>
      <c r="K187" s="14">
        <f t="shared" si="16"/>
        <v>99388.061751394896</v>
      </c>
      <c r="L187" s="14">
        <f t="shared" si="20"/>
        <v>0</v>
      </c>
      <c r="M187" s="14">
        <f>'D) Ecrêtage'!M186</f>
        <v>100633.87651707719</v>
      </c>
      <c r="N187" s="14">
        <f t="shared" si="17"/>
        <v>135097.5727601572</v>
      </c>
      <c r="O187" s="74">
        <f t="shared" si="18"/>
        <v>234485.63451155211</v>
      </c>
      <c r="P187" s="290"/>
      <c r="Q187" s="291"/>
      <c r="R187" s="287"/>
      <c r="S187" s="287"/>
      <c r="T187" s="292"/>
    </row>
    <row r="188" spans="1:20" s="286" customFormat="1" x14ac:dyDescent="0.25">
      <c r="A188" s="299">
        <f>'A) Base RI'!A189</f>
        <v>5710</v>
      </c>
      <c r="B188" s="299" t="str">
        <f>'A) Base RI'!B189</f>
        <v>Coinsins</v>
      </c>
      <c r="C188" s="316">
        <v>0</v>
      </c>
      <c r="D188" s="288">
        <f>'B) D RI'!AR189</f>
        <v>435</v>
      </c>
      <c r="E188" s="289">
        <f>'B) D RI'!S189</f>
        <v>41</v>
      </c>
      <c r="F188" s="14">
        <f>'B) D RI'!R189</f>
        <v>4622286.91</v>
      </c>
      <c r="G188" s="14">
        <f>'B) D RI'!U189</f>
        <v>112738.70512195122</v>
      </c>
      <c r="H188" s="52">
        <f>'B) D RI'!T189</f>
        <v>4504585.91</v>
      </c>
      <c r="I188" s="14">
        <f t="shared" si="19"/>
        <v>219735.89804878051</v>
      </c>
      <c r="J188" s="41">
        <f t="shared" si="27"/>
        <v>36826.070580797939</v>
      </c>
      <c r="K188" s="14">
        <f t="shared" si="16"/>
        <v>36826.070580797939</v>
      </c>
      <c r="L188" s="14">
        <f t="shared" si="20"/>
        <v>0</v>
      </c>
      <c r="M188" s="14">
        <f>'D) Ecrêtage'!M187</f>
        <v>78275.084040994145</v>
      </c>
      <c r="N188" s="14">
        <f t="shared" si="17"/>
        <v>105081.65070776267</v>
      </c>
      <c r="O188" s="74">
        <f t="shared" si="18"/>
        <v>141907.7212885606</v>
      </c>
      <c r="P188" s="290"/>
      <c r="Q188" s="291"/>
      <c r="R188" s="287"/>
      <c r="S188" s="287"/>
      <c r="T188" s="292"/>
    </row>
    <row r="189" spans="1:20" s="286" customFormat="1" x14ac:dyDescent="0.25">
      <c r="A189" s="299">
        <f>'A) Base RI'!A190</f>
        <v>5711</v>
      </c>
      <c r="B189" s="299" t="str">
        <f>'A) Base RI'!B190</f>
        <v>Commugny</v>
      </c>
      <c r="C189" s="316">
        <v>0</v>
      </c>
      <c r="D189" s="288">
        <f>'B) D RI'!AR190</f>
        <v>2591</v>
      </c>
      <c r="E189" s="289">
        <f>'B) D RI'!S190</f>
        <v>58</v>
      </c>
      <c r="F189" s="14">
        <f>'B) D RI'!R190</f>
        <v>13740968.244615385</v>
      </c>
      <c r="G189" s="14">
        <f>'B) D RI'!U190</f>
        <v>236913.245596817</v>
      </c>
      <c r="H189" s="52">
        <f>'B) D RI'!T190</f>
        <v>12950069.360000001</v>
      </c>
      <c r="I189" s="14">
        <f t="shared" si="19"/>
        <v>446554.11586206901</v>
      </c>
      <c r="J189" s="41">
        <f t="shared" si="27"/>
        <v>219347.92844792519</v>
      </c>
      <c r="K189" s="14">
        <f t="shared" si="16"/>
        <v>219347.92844792519</v>
      </c>
      <c r="L189" s="14">
        <f t="shared" si="20"/>
        <v>0</v>
      </c>
      <c r="M189" s="14">
        <f>'D) Ecrêtage'!M188</f>
        <v>210519.71244284327</v>
      </c>
      <c r="N189" s="14">
        <f t="shared" si="17"/>
        <v>282615.58784698223</v>
      </c>
      <c r="O189" s="74">
        <f t="shared" si="18"/>
        <v>501963.51629490743</v>
      </c>
      <c r="P189" s="290"/>
      <c r="Q189" s="291"/>
      <c r="R189" s="287"/>
      <c r="S189" s="287"/>
      <c r="T189" s="292"/>
    </row>
    <row r="190" spans="1:20" s="286" customFormat="1" x14ac:dyDescent="0.25">
      <c r="A190" s="299">
        <f>'A) Base RI'!A191</f>
        <v>5712</v>
      </c>
      <c r="B190" s="299" t="str">
        <f>'A) Base RI'!B191</f>
        <v>Coppet</v>
      </c>
      <c r="C190" s="316">
        <v>0</v>
      </c>
      <c r="D190" s="288">
        <f>'B) D RI'!AR191</f>
        <v>2936</v>
      </c>
      <c r="E190" s="289">
        <f>'B) D RI'!S191</f>
        <v>53</v>
      </c>
      <c r="F190" s="14">
        <f>'B) D RI'!R191</f>
        <v>16411045.706666667</v>
      </c>
      <c r="G190" s="14">
        <f>'B) D RI'!U191</f>
        <v>309642.37182389939</v>
      </c>
      <c r="H190" s="52">
        <f>'B) D RI'!T191</f>
        <v>15356963.24</v>
      </c>
      <c r="I190" s="14">
        <f t="shared" si="19"/>
        <v>579508.04679245281</v>
      </c>
      <c r="J190" s="41">
        <f t="shared" si="27"/>
        <v>248554.8120120063</v>
      </c>
      <c r="K190" s="14">
        <f t="shared" si="16"/>
        <v>248554.8120120063</v>
      </c>
      <c r="L190" s="14">
        <f t="shared" si="20"/>
        <v>0</v>
      </c>
      <c r="M190" s="14">
        <f>'D) Ecrêtage'!M189</f>
        <v>264743.7101481721</v>
      </c>
      <c r="N190" s="14">
        <f t="shared" si="17"/>
        <v>355409.46928013104</v>
      </c>
      <c r="O190" s="74">
        <f t="shared" si="18"/>
        <v>603964.28129213734</v>
      </c>
      <c r="P190" s="290"/>
      <c r="Q190" s="291"/>
      <c r="R190" s="287"/>
      <c r="S190" s="287"/>
      <c r="T190" s="292"/>
    </row>
    <row r="191" spans="1:20" s="286" customFormat="1" x14ac:dyDescent="0.25">
      <c r="A191" s="299">
        <f>'A) Base RI'!A192</f>
        <v>5713</v>
      </c>
      <c r="B191" s="299" t="str">
        <f>'A) Base RI'!B192</f>
        <v>Crans-près-Céligny</v>
      </c>
      <c r="C191" s="316">
        <v>1</v>
      </c>
      <c r="D191" s="288">
        <f>'B) D RI'!AR192</f>
        <v>2044</v>
      </c>
      <c r="E191" s="289">
        <f>'B) D RI'!S192</f>
        <v>53</v>
      </c>
      <c r="F191" s="14">
        <f>'B) D RI'!R192</f>
        <v>13744575.939999999</v>
      </c>
      <c r="G191" s="14">
        <f>'B) D RI'!U192</f>
        <v>259331.62150943396</v>
      </c>
      <c r="H191" s="52">
        <f>'B) D RI'!T192</f>
        <v>13043273.889999999</v>
      </c>
      <c r="I191" s="14">
        <f t="shared" si="19"/>
        <v>492199.0147169811</v>
      </c>
      <c r="J191" s="41">
        <f t="shared" si="27"/>
        <v>173040.20291299076</v>
      </c>
      <c r="K191" s="14">
        <f t="shared" si="16"/>
        <v>0</v>
      </c>
      <c r="L191" s="14">
        <f t="shared" si="20"/>
        <v>173040.20291299076</v>
      </c>
      <c r="M191" s="14">
        <f>'D) Ecrêtage'!M190</f>
        <v>212144.04426696996</v>
      </c>
      <c r="N191" s="14">
        <f t="shared" si="17"/>
        <v>284796.19833712222</v>
      </c>
      <c r="O191" s="74">
        <f t="shared" si="18"/>
        <v>284796.19833712222</v>
      </c>
      <c r="P191" s="290"/>
      <c r="Q191" s="291"/>
      <c r="R191" s="287"/>
      <c r="S191" s="287"/>
      <c r="T191" s="292"/>
    </row>
    <row r="192" spans="1:20" s="286" customFormat="1" x14ac:dyDescent="0.25">
      <c r="A192" s="299">
        <f>'A) Base RI'!A193</f>
        <v>5714</v>
      </c>
      <c r="B192" s="299" t="str">
        <f>'A) Base RI'!B193</f>
        <v>Crassier</v>
      </c>
      <c r="C192" s="316">
        <v>0</v>
      </c>
      <c r="D192" s="288">
        <f>'B) D RI'!AR193</f>
        <v>1141</v>
      </c>
      <c r="E192" s="289">
        <f>'B) D RI'!S193</f>
        <v>64</v>
      </c>
      <c r="F192" s="14">
        <f>'B) D RI'!R193</f>
        <v>4799395.8999999994</v>
      </c>
      <c r="G192" s="14">
        <f>'B) D RI'!U193</f>
        <v>74990.560937499991</v>
      </c>
      <c r="H192" s="52">
        <f>'B) D RI'!T193</f>
        <v>4542058.05</v>
      </c>
      <c r="I192" s="14">
        <f t="shared" si="19"/>
        <v>141939.31406249999</v>
      </c>
      <c r="J192" s="41">
        <f t="shared" si="27"/>
        <v>96594.359845265397</v>
      </c>
      <c r="K192" s="14">
        <f t="shared" si="16"/>
        <v>96594.359845265397</v>
      </c>
      <c r="L192" s="14">
        <f t="shared" si="20"/>
        <v>0</v>
      </c>
      <c r="M192" s="14">
        <f>'D) Ecrêtage'!M191</f>
        <v>72000.97268941706</v>
      </c>
      <c r="N192" s="14">
        <f t="shared" si="17"/>
        <v>96658.868597394743</v>
      </c>
      <c r="O192" s="74">
        <f t="shared" si="18"/>
        <v>193253.22844266013</v>
      </c>
      <c r="P192" s="290"/>
      <c r="Q192" s="291"/>
      <c r="R192" s="287"/>
      <c r="S192" s="287"/>
      <c r="T192" s="292"/>
    </row>
    <row r="193" spans="1:20" s="286" customFormat="1" x14ac:dyDescent="0.25">
      <c r="A193" s="299">
        <f>'A) Base RI'!A194</f>
        <v>5715</v>
      </c>
      <c r="B193" s="299" t="str">
        <f>'A) Base RI'!B194</f>
        <v>Duillier</v>
      </c>
      <c r="C193" s="316">
        <v>0</v>
      </c>
      <c r="D193" s="288">
        <f>'B) D RI'!AR194</f>
        <v>998</v>
      </c>
      <c r="E193" s="289">
        <f>'B) D RI'!S194</f>
        <v>66</v>
      </c>
      <c r="F193" s="14">
        <f>'B) D RI'!R194</f>
        <v>3848675.9299999997</v>
      </c>
      <c r="G193" s="14">
        <f>'B) D RI'!U194</f>
        <v>58313.27166666666</v>
      </c>
      <c r="H193" s="52">
        <f>'B) D RI'!T194</f>
        <v>3615461.63</v>
      </c>
      <c r="I193" s="14">
        <f t="shared" si="19"/>
        <v>109559.44333333333</v>
      </c>
      <c r="J193" s="41">
        <f t="shared" si="27"/>
        <v>84488.31825203757</v>
      </c>
      <c r="K193" s="14">
        <f t="shared" ref="K193:K253" si="28">IF(C193=1,0,IF(J193&gt;I193,I193,J193))</f>
        <v>84488.31825203757</v>
      </c>
      <c r="L193" s="14">
        <f t="shared" si="20"/>
        <v>0</v>
      </c>
      <c r="M193" s="14">
        <f>'D) Ecrêtage'!M192</f>
        <v>57401.609046070247</v>
      </c>
      <c r="N193" s="14">
        <f t="shared" ref="N193:N253" si="29">+$N$5*M193</f>
        <v>77059.71709571984</v>
      </c>
      <c r="O193" s="74">
        <f t="shared" ref="O193:O253" si="30">+N193+K193</f>
        <v>161548.0353477574</v>
      </c>
      <c r="P193" s="290"/>
      <c r="Q193" s="291"/>
      <c r="R193" s="287"/>
      <c r="S193" s="287"/>
      <c r="T193" s="292"/>
    </row>
    <row r="194" spans="1:20" s="286" customFormat="1" x14ac:dyDescent="0.25">
      <c r="A194" s="299">
        <f>'A) Base RI'!A195</f>
        <v>5716</v>
      </c>
      <c r="B194" s="299" t="str">
        <f>'A) Base RI'!B195</f>
        <v>Eysins</v>
      </c>
      <c r="C194" s="316">
        <v>0</v>
      </c>
      <c r="D194" s="288">
        <f>'B) D RI'!AR195</f>
        <v>1469</v>
      </c>
      <c r="E194" s="289">
        <f>'B) D RI'!S195</f>
        <v>61</v>
      </c>
      <c r="F194" s="14">
        <f>'B) D RI'!R195</f>
        <v>7585991.5100000007</v>
      </c>
      <c r="G194" s="14">
        <f>'B) D RI'!U195</f>
        <v>124360.51655737706</v>
      </c>
      <c r="H194" s="52">
        <f>'B) D RI'!T195</f>
        <v>6932350.2600000007</v>
      </c>
      <c r="I194" s="14">
        <f t="shared" ref="I194:I254" si="31">+H194/E194*$I$5</f>
        <v>227290.17245901641</v>
      </c>
      <c r="J194" s="41">
        <f t="shared" si="27"/>
        <v>124362.06363952222</v>
      </c>
      <c r="K194" s="14">
        <f t="shared" si="28"/>
        <v>124362.06363952222</v>
      </c>
      <c r="L194" s="14">
        <f t="shared" ref="L194:L254" si="32">+J194-K194</f>
        <v>0</v>
      </c>
      <c r="M194" s="14">
        <f>'D) Ecrêtage'!M193</f>
        <v>112427.98831677147</v>
      </c>
      <c r="N194" s="14">
        <f t="shared" si="29"/>
        <v>150930.76861970694</v>
      </c>
      <c r="O194" s="74">
        <f t="shared" si="30"/>
        <v>275292.83225922915</v>
      </c>
      <c r="P194" s="290"/>
      <c r="Q194" s="291"/>
      <c r="R194" s="287"/>
      <c r="S194" s="287"/>
      <c r="T194" s="292"/>
    </row>
    <row r="195" spans="1:20" s="286" customFormat="1" x14ac:dyDescent="0.25">
      <c r="A195" s="299">
        <f>'A) Base RI'!A196</f>
        <v>5717</v>
      </c>
      <c r="B195" s="299" t="str">
        <f>'A) Base RI'!B196</f>
        <v>Founex</v>
      </c>
      <c r="C195" s="316">
        <v>0</v>
      </c>
      <c r="D195" s="288">
        <f>'B) D RI'!AR196</f>
        <v>3372</v>
      </c>
      <c r="E195" s="289">
        <f>'B) D RI'!S196</f>
        <v>57</v>
      </c>
      <c r="F195" s="14">
        <f>'B) D RI'!R196</f>
        <v>19698954.18</v>
      </c>
      <c r="G195" s="14">
        <f>'B) D RI'!U196</f>
        <v>345595.68736842106</v>
      </c>
      <c r="H195" s="52">
        <f>'B) D RI'!T196</f>
        <v>18520010.379999999</v>
      </c>
      <c r="I195" s="14">
        <f t="shared" si="31"/>
        <v>649824.92561403511</v>
      </c>
      <c r="J195" s="41">
        <f t="shared" si="27"/>
        <v>285465.5402263233</v>
      </c>
      <c r="K195" s="14">
        <f t="shared" si="28"/>
        <v>285465.5402263233</v>
      </c>
      <c r="L195" s="14">
        <f t="shared" si="32"/>
        <v>0</v>
      </c>
      <c r="M195" s="14">
        <f>'D) Ecrêtage'!M194</f>
        <v>297680.06872799026</v>
      </c>
      <c r="N195" s="14">
        <f t="shared" si="29"/>
        <v>399625.41577541019</v>
      </c>
      <c r="O195" s="74">
        <f t="shared" si="30"/>
        <v>685090.95600173343</v>
      </c>
      <c r="P195" s="290"/>
      <c r="Q195" s="291"/>
      <c r="R195" s="287"/>
      <c r="S195" s="287"/>
      <c r="T195" s="292"/>
    </row>
    <row r="196" spans="1:20" s="286" customFormat="1" x14ac:dyDescent="0.25">
      <c r="A196" s="299">
        <f>'A) Base RI'!A197</f>
        <v>5718</v>
      </c>
      <c r="B196" s="299" t="str">
        <f>'A) Base RI'!B197</f>
        <v>Genolier</v>
      </c>
      <c r="C196" s="316">
        <v>0</v>
      </c>
      <c r="D196" s="288">
        <f>'B) D RI'!AR197</f>
        <v>1890</v>
      </c>
      <c r="E196" s="289">
        <f>'B) D RI'!S197</f>
        <v>55</v>
      </c>
      <c r="F196" s="14">
        <f>'B) D RI'!R197</f>
        <v>8116010.6799999997</v>
      </c>
      <c r="G196" s="14">
        <f>'B) D RI'!U197</f>
        <v>147563.83054545455</v>
      </c>
      <c r="H196" s="52">
        <f>'B) D RI'!T197</f>
        <v>7523818.8799999999</v>
      </c>
      <c r="I196" s="14">
        <f t="shared" si="31"/>
        <v>273593.41381818184</v>
      </c>
      <c r="J196" s="41">
        <f t="shared" si="27"/>
        <v>160002.92735105311</v>
      </c>
      <c r="K196" s="14">
        <f t="shared" si="28"/>
        <v>160002.92735105311</v>
      </c>
      <c r="L196" s="14">
        <f t="shared" si="32"/>
        <v>0</v>
      </c>
      <c r="M196" s="14">
        <f>'D) Ecrêtage'!M195</f>
        <v>135930.25960105986</v>
      </c>
      <c r="N196" s="14">
        <f t="shared" si="29"/>
        <v>182481.77226527655</v>
      </c>
      <c r="O196" s="74">
        <f t="shared" si="30"/>
        <v>342484.69961632963</v>
      </c>
      <c r="P196" s="290"/>
      <c r="Q196" s="291"/>
      <c r="R196" s="287"/>
      <c r="S196" s="287"/>
      <c r="T196" s="292"/>
    </row>
    <row r="197" spans="1:20" s="286" customFormat="1" x14ac:dyDescent="0.25">
      <c r="A197" s="299">
        <f>'A) Base RI'!A198</f>
        <v>5719</v>
      </c>
      <c r="B197" s="299" t="str">
        <f>'A) Base RI'!B198</f>
        <v>Gingins</v>
      </c>
      <c r="C197" s="316">
        <v>0</v>
      </c>
      <c r="D197" s="288">
        <f>'B) D RI'!AR198</f>
        <v>1204</v>
      </c>
      <c r="E197" s="289">
        <f>'B) D RI'!S198</f>
        <v>57</v>
      </c>
      <c r="F197" s="14">
        <f>'B) D RI'!R198</f>
        <v>5501339.3899999997</v>
      </c>
      <c r="G197" s="14">
        <f>'B) D RI'!U198</f>
        <v>96514.726140350875</v>
      </c>
      <c r="H197" s="52">
        <f>'B) D RI'!T198</f>
        <v>5146175.3899999997</v>
      </c>
      <c r="I197" s="14">
        <f t="shared" si="31"/>
        <v>180567.55754385964</v>
      </c>
      <c r="J197" s="41">
        <f t="shared" si="27"/>
        <v>101927.79075696717</v>
      </c>
      <c r="K197" s="14">
        <f t="shared" si="28"/>
        <v>101927.79075696717</v>
      </c>
      <c r="L197" s="14">
        <f t="shared" si="32"/>
        <v>0</v>
      </c>
      <c r="M197" s="14">
        <f>'D) Ecrêtage'!M196</f>
        <v>88352.891449777657</v>
      </c>
      <c r="N197" s="14">
        <f t="shared" si="29"/>
        <v>118610.76601954283</v>
      </c>
      <c r="O197" s="74">
        <f t="shared" si="30"/>
        <v>220538.55677651</v>
      </c>
      <c r="P197" s="290"/>
      <c r="Q197" s="291"/>
      <c r="R197" s="287"/>
      <c r="S197" s="287"/>
      <c r="T197" s="292"/>
    </row>
    <row r="198" spans="1:20" s="286" customFormat="1" x14ac:dyDescent="0.25">
      <c r="A198" s="299">
        <f>'A) Base RI'!A199</f>
        <v>5720</v>
      </c>
      <c r="B198" s="299" t="str">
        <f>'A) Base RI'!B199</f>
        <v>Givrins</v>
      </c>
      <c r="C198" s="316">
        <v>0</v>
      </c>
      <c r="D198" s="288">
        <f>'B) D RI'!AR199</f>
        <v>971</v>
      </c>
      <c r="E198" s="289">
        <f>'B) D RI'!S199</f>
        <v>61</v>
      </c>
      <c r="F198" s="14">
        <f>'B) D RI'!R199</f>
        <v>4943309.7911111116</v>
      </c>
      <c r="G198" s="14">
        <f>'B) D RI'!U199</f>
        <v>81037.865428051009</v>
      </c>
      <c r="H198" s="52">
        <f>'B) D RI'!T199</f>
        <v>4666786.6800000006</v>
      </c>
      <c r="I198" s="14">
        <f t="shared" si="31"/>
        <v>153009.39934426232</v>
      </c>
      <c r="J198" s="41">
        <f t="shared" si="27"/>
        <v>82202.562147022516</v>
      </c>
      <c r="K198" s="14">
        <f t="shared" si="28"/>
        <v>82202.562147022516</v>
      </c>
      <c r="L198" s="14">
        <f t="shared" si="32"/>
        <v>0</v>
      </c>
      <c r="M198" s="14">
        <f>'D) Ecrêtage'!M197</f>
        <v>73498.475925076491</v>
      </c>
      <c r="N198" s="14">
        <f t="shared" si="29"/>
        <v>98669.216000674394</v>
      </c>
      <c r="O198" s="74">
        <f t="shared" si="30"/>
        <v>180871.77814769692</v>
      </c>
      <c r="P198" s="290"/>
      <c r="Q198" s="291"/>
      <c r="R198" s="287"/>
      <c r="S198" s="287"/>
      <c r="T198" s="292"/>
    </row>
    <row r="199" spans="1:20" s="286" customFormat="1" x14ac:dyDescent="0.25">
      <c r="A199" s="299">
        <f>'A) Base RI'!A200</f>
        <v>5721</v>
      </c>
      <c r="B199" s="299" t="str">
        <f>'A) Base RI'!B200</f>
        <v>Gland</v>
      </c>
      <c r="C199" s="316">
        <v>0</v>
      </c>
      <c r="D199" s="288">
        <f>'B) D RI'!AR200</f>
        <v>12663</v>
      </c>
      <c r="E199" s="289">
        <f>'B) D RI'!S200</f>
        <v>62.5</v>
      </c>
      <c r="F199" s="14">
        <f>'B) D RI'!R200</f>
        <v>34785928.334545448</v>
      </c>
      <c r="G199" s="14">
        <f>'B) D RI'!U200</f>
        <v>556574.85335272714</v>
      </c>
      <c r="H199" s="52">
        <f>'B) D RI'!T200</f>
        <v>32368860.379999995</v>
      </c>
      <c r="I199" s="14">
        <f t="shared" si="31"/>
        <v>1035803.5321599998</v>
      </c>
      <c r="J199" s="41">
        <f t="shared" si="27"/>
        <v>1072019.6132520558</v>
      </c>
      <c r="K199" s="14">
        <f t="shared" si="28"/>
        <v>1035803.5321599998</v>
      </c>
      <c r="L199" s="14">
        <f t="shared" si="32"/>
        <v>36216.081092056003</v>
      </c>
      <c r="M199" s="14">
        <f>'D) Ecrêtage'!M198</f>
        <v>556574.85335272714</v>
      </c>
      <c r="N199" s="14">
        <f t="shared" si="29"/>
        <v>747182.90052688261</v>
      </c>
      <c r="O199" s="74">
        <f t="shared" si="30"/>
        <v>1782986.4326868826</v>
      </c>
      <c r="P199" s="290"/>
      <c r="Q199" s="291"/>
      <c r="R199" s="287"/>
      <c r="S199" s="287"/>
      <c r="T199" s="292"/>
    </row>
    <row r="200" spans="1:20" s="286" customFormat="1" x14ac:dyDescent="0.25">
      <c r="A200" s="299">
        <f>'A) Base RI'!A201</f>
        <v>5722</v>
      </c>
      <c r="B200" s="299" t="str">
        <f>'A) Base RI'!B201</f>
        <v>Grens</v>
      </c>
      <c r="C200" s="316">
        <v>0</v>
      </c>
      <c r="D200" s="288">
        <f>'B) D RI'!AR201</f>
        <v>380</v>
      </c>
      <c r="E200" s="289">
        <f>'B) D RI'!S201</f>
        <v>57</v>
      </c>
      <c r="F200" s="14">
        <f>'B) D RI'!R201</f>
        <v>1304632.3399999999</v>
      </c>
      <c r="G200" s="14">
        <f>'B) D RI'!U201</f>
        <v>22888.286666666663</v>
      </c>
      <c r="H200" s="52">
        <f>'B) D RI'!T201</f>
        <v>1219686.94</v>
      </c>
      <c r="I200" s="14">
        <f t="shared" si="31"/>
        <v>42796.032982456141</v>
      </c>
      <c r="J200" s="41">
        <f t="shared" si="27"/>
        <v>32169.900737248772</v>
      </c>
      <c r="K200" s="14">
        <f t="shared" si="28"/>
        <v>32169.900737248772</v>
      </c>
      <c r="L200" s="14">
        <f t="shared" si="32"/>
        <v>0</v>
      </c>
      <c r="M200" s="14">
        <f>'D) Ecrêtage'!M199</f>
        <v>22380.908870006704</v>
      </c>
      <c r="N200" s="14">
        <f t="shared" si="29"/>
        <v>30045.612562595496</v>
      </c>
      <c r="O200" s="74">
        <f t="shared" si="30"/>
        <v>62215.513299844271</v>
      </c>
      <c r="P200" s="290"/>
      <c r="Q200" s="291"/>
      <c r="R200" s="287"/>
      <c r="S200" s="287"/>
      <c r="T200" s="292"/>
    </row>
    <row r="201" spans="1:20" s="286" customFormat="1" x14ac:dyDescent="0.25">
      <c r="A201" s="299">
        <f>'A) Base RI'!A202</f>
        <v>5723</v>
      </c>
      <c r="B201" s="299" t="str">
        <f>'A) Base RI'!B202</f>
        <v>Mies</v>
      </c>
      <c r="C201" s="316">
        <v>0</v>
      </c>
      <c r="D201" s="288">
        <f>'B) D RI'!AR202</f>
        <v>1778</v>
      </c>
      <c r="E201" s="289">
        <f>'B) D RI'!S202</f>
        <v>49</v>
      </c>
      <c r="F201" s="14">
        <f>'B) D RI'!R202</f>
        <v>13026096.549999999</v>
      </c>
      <c r="G201" s="14">
        <f>'B) D RI'!U202</f>
        <v>265838.70510204078</v>
      </c>
      <c r="H201" s="52">
        <f>'B) D RI'!T202</f>
        <v>12290808.899999999</v>
      </c>
      <c r="I201" s="14">
        <f t="shared" si="31"/>
        <v>501665.66938775504</v>
      </c>
      <c r="J201" s="41">
        <f t="shared" si="27"/>
        <v>150521.27239691661</v>
      </c>
      <c r="K201" s="14">
        <f t="shared" si="28"/>
        <v>150521.27239691661</v>
      </c>
      <c r="L201" s="14">
        <f t="shared" si="32"/>
        <v>0</v>
      </c>
      <c r="M201" s="14">
        <f>'D) Ecrêtage'!M200</f>
        <v>208613.39926680108</v>
      </c>
      <c r="N201" s="14">
        <f t="shared" si="29"/>
        <v>280056.42693698482</v>
      </c>
      <c r="O201" s="74">
        <f t="shared" si="30"/>
        <v>430577.6993339014</v>
      </c>
      <c r="P201" s="290"/>
      <c r="Q201" s="291"/>
      <c r="R201" s="287"/>
      <c r="S201" s="287"/>
      <c r="T201" s="292"/>
    </row>
    <row r="202" spans="1:20" s="286" customFormat="1" x14ac:dyDescent="0.25">
      <c r="A202" s="299">
        <f>'A) Base RI'!A203</f>
        <v>5724</v>
      </c>
      <c r="B202" s="299" t="str">
        <f>'A) Base RI'!B203</f>
        <v>Nyon</v>
      </c>
      <c r="C202" s="316">
        <v>1</v>
      </c>
      <c r="D202" s="288">
        <f>'B) D RI'!AR203</f>
        <v>19861</v>
      </c>
      <c r="E202" s="289">
        <f>'B) D RI'!S203</f>
        <v>61</v>
      </c>
      <c r="F202" s="14">
        <f>'B) D RI'!R203</f>
        <v>83780288.066923067</v>
      </c>
      <c r="G202" s="14">
        <f>'B) D RI'!U203</f>
        <v>1373447.3453593946</v>
      </c>
      <c r="H202" s="52">
        <f>'B) D RI'!T203</f>
        <v>78747496.489999995</v>
      </c>
      <c r="I202" s="14">
        <f t="shared" si="31"/>
        <v>2581885.1308196718</v>
      </c>
      <c r="J202" s="41">
        <f t="shared" si="27"/>
        <v>1681385.2593223627</v>
      </c>
      <c r="K202" s="14">
        <f t="shared" si="28"/>
        <v>0</v>
      </c>
      <c r="L202" s="14">
        <f t="shared" si="32"/>
        <v>1681385.2593223627</v>
      </c>
      <c r="M202" s="14">
        <f>'D) Ecrêtage'!M201</f>
        <v>1304185.770987886</v>
      </c>
      <c r="N202" s="14">
        <f t="shared" si="29"/>
        <v>1750825.2507682983</v>
      </c>
      <c r="O202" s="74">
        <f t="shared" si="30"/>
        <v>1750825.2507682983</v>
      </c>
      <c r="P202" s="290"/>
      <c r="Q202" s="291"/>
      <c r="R202" s="287"/>
      <c r="S202" s="287"/>
      <c r="T202" s="292"/>
    </row>
    <row r="203" spans="1:20" s="286" customFormat="1" x14ac:dyDescent="0.25">
      <c r="A203" s="299">
        <f>'A) Base RI'!A204</f>
        <v>5725</v>
      </c>
      <c r="B203" s="299" t="str">
        <f>'A) Base RI'!B204</f>
        <v>Prangins</v>
      </c>
      <c r="C203" s="316">
        <v>1</v>
      </c>
      <c r="D203" s="288">
        <f>'B) D RI'!AR204</f>
        <v>3976</v>
      </c>
      <c r="E203" s="289">
        <f>'B) D RI'!S204</f>
        <v>56</v>
      </c>
      <c r="F203" s="14">
        <f>'B) D RI'!R204</f>
        <v>15627987.658571428</v>
      </c>
      <c r="G203" s="14">
        <f>'B) D RI'!U204</f>
        <v>279071.20818877552</v>
      </c>
      <c r="H203" s="52">
        <f>'B) D RI'!T204</f>
        <v>14500711.729999999</v>
      </c>
      <c r="I203" s="14">
        <f t="shared" si="31"/>
        <v>517882.56178571424</v>
      </c>
      <c r="J203" s="41">
        <f t="shared" si="27"/>
        <v>336598.75087184506</v>
      </c>
      <c r="K203" s="14">
        <f t="shared" si="28"/>
        <v>0</v>
      </c>
      <c r="L203" s="14">
        <f t="shared" si="32"/>
        <v>336598.75087184506</v>
      </c>
      <c r="M203" s="14">
        <f>'D) Ecrêtage'!M202</f>
        <v>263974.0731358112</v>
      </c>
      <c r="N203" s="14">
        <f t="shared" si="29"/>
        <v>354376.25764330523</v>
      </c>
      <c r="O203" s="74">
        <f t="shared" si="30"/>
        <v>354376.25764330523</v>
      </c>
      <c r="P203" s="290"/>
      <c r="Q203" s="291"/>
      <c r="R203" s="287"/>
      <c r="S203" s="287"/>
      <c r="T203" s="292"/>
    </row>
    <row r="204" spans="1:20" s="286" customFormat="1" x14ac:dyDescent="0.25">
      <c r="A204" s="299">
        <f>'A) Base RI'!A205</f>
        <v>5726</v>
      </c>
      <c r="B204" s="299" t="str">
        <f>'A) Base RI'!B205</f>
        <v>La Rippe</v>
      </c>
      <c r="C204" s="316">
        <v>0</v>
      </c>
      <c r="D204" s="288">
        <f>'B) D RI'!AR205</f>
        <v>1104</v>
      </c>
      <c r="E204" s="289">
        <f>'B) D RI'!S205</f>
        <v>65</v>
      </c>
      <c r="F204" s="14">
        <f>'B) D RI'!R205</f>
        <v>3927954.8600000003</v>
      </c>
      <c r="G204" s="14">
        <f>'B) D RI'!U205</f>
        <v>60430.074769230778</v>
      </c>
      <c r="H204" s="52">
        <f>'B) D RI'!T205</f>
        <v>3702233.0600000005</v>
      </c>
      <c r="I204" s="14">
        <f t="shared" si="31"/>
        <v>113914.8633846154</v>
      </c>
      <c r="J204" s="41">
        <f t="shared" si="27"/>
        <v>93462.027405059591</v>
      </c>
      <c r="K204" s="14">
        <f t="shared" si="28"/>
        <v>93462.027405059591</v>
      </c>
      <c r="L204" s="14">
        <f t="shared" si="32"/>
        <v>0</v>
      </c>
      <c r="M204" s="14">
        <f>'D) Ecrêtage'!M203</f>
        <v>60375.551317460784</v>
      </c>
      <c r="N204" s="14">
        <f t="shared" si="29"/>
        <v>81052.13392690006</v>
      </c>
      <c r="O204" s="74">
        <f t="shared" si="30"/>
        <v>174514.16133195965</v>
      </c>
      <c r="P204" s="290"/>
      <c r="Q204" s="291"/>
      <c r="R204" s="287"/>
      <c r="S204" s="287"/>
      <c r="T204" s="292"/>
    </row>
    <row r="205" spans="1:20" s="286" customFormat="1" x14ac:dyDescent="0.25">
      <c r="A205" s="299">
        <f>'A) Base RI'!A206</f>
        <v>5727</v>
      </c>
      <c r="B205" s="299" t="str">
        <f>'A) Base RI'!B206</f>
        <v>Saint-Cergue</v>
      </c>
      <c r="C205" s="316">
        <v>0</v>
      </c>
      <c r="D205" s="288">
        <f>'B) D RI'!AR206</f>
        <v>2406</v>
      </c>
      <c r="E205" s="289">
        <f>'B) D RI'!S206</f>
        <v>66</v>
      </c>
      <c r="F205" s="14">
        <f>'B) D RI'!R206</f>
        <v>6097381.7233333327</v>
      </c>
      <c r="G205" s="14">
        <f>'B) D RI'!U206</f>
        <v>92384.571565656559</v>
      </c>
      <c r="H205" s="52">
        <f>'B) D RI'!T206</f>
        <v>5643794.7899999991</v>
      </c>
      <c r="I205" s="14">
        <f t="shared" si="31"/>
        <v>171024.08454545451</v>
      </c>
      <c r="J205" s="41">
        <f t="shared" si="27"/>
        <v>203686.26624689618</v>
      </c>
      <c r="K205" s="14">
        <f t="shared" si="28"/>
        <v>171024.08454545451</v>
      </c>
      <c r="L205" s="14">
        <f t="shared" si="32"/>
        <v>32662.181701441674</v>
      </c>
      <c r="M205" s="14">
        <f>'D) Ecrêtage'!M204</f>
        <v>92384.571565656559</v>
      </c>
      <c r="N205" s="14">
        <f t="shared" si="29"/>
        <v>124023.16010244592</v>
      </c>
      <c r="O205" s="74">
        <f t="shared" si="30"/>
        <v>295047.24464790046</v>
      </c>
      <c r="P205" s="290"/>
      <c r="Q205" s="291"/>
      <c r="R205" s="287"/>
      <c r="S205" s="287"/>
      <c r="T205" s="292"/>
    </row>
    <row r="206" spans="1:20" s="286" customFormat="1" x14ac:dyDescent="0.25">
      <c r="A206" s="299">
        <f>'A) Base RI'!A207</f>
        <v>5728</v>
      </c>
      <c r="B206" s="299" t="str">
        <f>'A) Base RI'!B207</f>
        <v>Signy-Avenex</v>
      </c>
      <c r="C206" s="316">
        <v>0</v>
      </c>
      <c r="D206" s="288">
        <f>'B) D RI'!AR207</f>
        <v>481</v>
      </c>
      <c r="E206" s="289">
        <f>'B) D RI'!S207</f>
        <v>56</v>
      </c>
      <c r="F206" s="14">
        <f>'B) D RI'!R207</f>
        <v>1883430.98</v>
      </c>
      <c r="G206" s="14">
        <f>'B) D RI'!U207</f>
        <v>33632.696071428574</v>
      </c>
      <c r="H206" s="52">
        <f>'B) D RI'!T207</f>
        <v>1639304.58</v>
      </c>
      <c r="I206" s="14">
        <f t="shared" si="31"/>
        <v>58546.592142857146</v>
      </c>
      <c r="J206" s="41">
        <f t="shared" si="27"/>
        <v>40720.32172267542</v>
      </c>
      <c r="K206" s="14">
        <f t="shared" si="28"/>
        <v>40720.32172267542</v>
      </c>
      <c r="L206" s="14">
        <f t="shared" si="32"/>
        <v>0</v>
      </c>
      <c r="M206" s="14">
        <f>'D) Ecrêtage'!M205</f>
        <v>31844.633660866617</v>
      </c>
      <c r="N206" s="14">
        <f t="shared" si="29"/>
        <v>42750.342746554372</v>
      </c>
      <c r="O206" s="74">
        <f t="shared" si="30"/>
        <v>83470.664469229785</v>
      </c>
      <c r="P206" s="290"/>
      <c r="Q206" s="291"/>
      <c r="R206" s="287"/>
      <c r="S206" s="287"/>
      <c r="T206" s="292"/>
    </row>
    <row r="207" spans="1:20" s="286" customFormat="1" x14ac:dyDescent="0.25">
      <c r="A207" s="299">
        <f>'A) Base RI'!A208</f>
        <v>5729</v>
      </c>
      <c r="B207" s="299" t="str">
        <f>'A) Base RI'!B208</f>
        <v>Tannay</v>
      </c>
      <c r="C207" s="316">
        <v>0</v>
      </c>
      <c r="D207" s="288">
        <f>'B) D RI'!AR208</f>
        <v>1448</v>
      </c>
      <c r="E207" s="289">
        <f>'B) D RI'!S208</f>
        <v>61</v>
      </c>
      <c r="F207" s="14">
        <f>'B) D RI'!R208</f>
        <v>8444722.3766666669</v>
      </c>
      <c r="G207" s="14">
        <f>'B) D RI'!U208</f>
        <v>138438.0717486339</v>
      </c>
      <c r="H207" s="52">
        <f>'B) D RI'!T208</f>
        <v>7917527.1100000003</v>
      </c>
      <c r="I207" s="14">
        <f t="shared" si="31"/>
        <v>259591.05278688527</v>
      </c>
      <c r="J207" s="41">
        <f t="shared" si="27"/>
        <v>122584.25333562164</v>
      </c>
      <c r="K207" s="14">
        <f t="shared" si="28"/>
        <v>122584.25333562164</v>
      </c>
      <c r="L207" s="14">
        <f t="shared" si="32"/>
        <v>0</v>
      </c>
      <c r="M207" s="14">
        <f>'D) Ecrêtage'!M206</f>
        <v>121490.26557201984</v>
      </c>
      <c r="N207" s="14">
        <f t="shared" si="29"/>
        <v>163096.56907613552</v>
      </c>
      <c r="O207" s="74">
        <f t="shared" si="30"/>
        <v>285680.8224117572</v>
      </c>
      <c r="P207" s="290"/>
      <c r="Q207" s="291"/>
      <c r="R207" s="287"/>
      <c r="S207" s="287"/>
      <c r="T207" s="292"/>
    </row>
    <row r="208" spans="1:20" s="286" customFormat="1" x14ac:dyDescent="0.25">
      <c r="A208" s="299">
        <f>'A) Base RI'!A209</f>
        <v>5730</v>
      </c>
      <c r="B208" s="299" t="str">
        <f>'A) Base RI'!B209</f>
        <v>Trélex</v>
      </c>
      <c r="C208" s="316">
        <v>0</v>
      </c>
      <c r="D208" s="288">
        <f>'B) D RI'!AR209</f>
        <v>1394</v>
      </c>
      <c r="E208" s="289">
        <f>'B) D RI'!S209</f>
        <v>53</v>
      </c>
      <c r="F208" s="14">
        <f>'B) D RI'!R209</f>
        <v>7898175.4499999993</v>
      </c>
      <c r="G208" s="14">
        <f>'B) D RI'!U209</f>
        <v>149022.17830188677</v>
      </c>
      <c r="H208" s="52">
        <f>'B) D RI'!T209</f>
        <v>7519152.4499999993</v>
      </c>
      <c r="I208" s="14">
        <f t="shared" si="31"/>
        <v>283741.6018867924</v>
      </c>
      <c r="J208" s="41">
        <f t="shared" si="27"/>
        <v>118012.74112559155</v>
      </c>
      <c r="K208" s="14">
        <f t="shared" si="28"/>
        <v>118012.74112559155</v>
      </c>
      <c r="L208" s="14">
        <f t="shared" si="32"/>
        <v>0</v>
      </c>
      <c r="M208" s="14">
        <f>'D) Ecrêtage'!M207</f>
        <v>126974.54932555581</v>
      </c>
      <c r="N208" s="14">
        <f t="shared" si="29"/>
        <v>170459.03437185474</v>
      </c>
      <c r="O208" s="74">
        <f t="shared" si="30"/>
        <v>288471.7754974463</v>
      </c>
      <c r="P208" s="290"/>
      <c r="Q208" s="291"/>
      <c r="R208" s="287"/>
      <c r="S208" s="287"/>
      <c r="T208" s="292"/>
    </row>
    <row r="209" spans="1:20" s="286" customFormat="1" x14ac:dyDescent="0.25">
      <c r="A209" s="299">
        <f>'A) Base RI'!A210</f>
        <v>5731</v>
      </c>
      <c r="B209" s="299" t="str">
        <f>'A) Base RI'!B210</f>
        <v>Le Vaud</v>
      </c>
      <c r="C209" s="316">
        <v>0</v>
      </c>
      <c r="D209" s="288">
        <f>'B) D RI'!AR210</f>
        <v>1243</v>
      </c>
      <c r="E209" s="289">
        <f>'B) D RI'!S210</f>
        <v>75</v>
      </c>
      <c r="F209" s="14">
        <f>'B) D RI'!R210</f>
        <v>3483741.21</v>
      </c>
      <c r="G209" s="14">
        <f>'B) D RI'!U210</f>
        <v>46449.882799999999</v>
      </c>
      <c r="H209" s="52">
        <f>'B) D RI'!T210</f>
        <v>3253136.21</v>
      </c>
      <c r="I209" s="14">
        <f t="shared" si="31"/>
        <v>86750.298933333339</v>
      </c>
      <c r="J209" s="41">
        <f t="shared" si="27"/>
        <v>105229.43846421111</v>
      </c>
      <c r="K209" s="14">
        <f t="shared" si="28"/>
        <v>86750.298933333339</v>
      </c>
      <c r="L209" s="14">
        <f t="shared" si="32"/>
        <v>18479.139530877772</v>
      </c>
      <c r="M209" s="14">
        <f>'D) Ecrêtage'!M208</f>
        <v>46449.882799999999</v>
      </c>
      <c r="N209" s="14">
        <f t="shared" si="29"/>
        <v>62357.395327098275</v>
      </c>
      <c r="O209" s="74">
        <f t="shared" si="30"/>
        <v>149107.69426043163</v>
      </c>
      <c r="P209" s="290"/>
      <c r="Q209" s="291"/>
      <c r="R209" s="287"/>
      <c r="S209" s="287"/>
      <c r="T209" s="292"/>
    </row>
    <row r="210" spans="1:20" s="286" customFormat="1" x14ac:dyDescent="0.25">
      <c r="A210" s="299">
        <f>'A) Base RI'!A211</f>
        <v>5732</v>
      </c>
      <c r="B210" s="299" t="str">
        <f>'A) Base RI'!B211</f>
        <v>Vich</v>
      </c>
      <c r="C210" s="316">
        <v>0</v>
      </c>
      <c r="D210" s="288">
        <f>'B) D RI'!AR211</f>
        <v>882</v>
      </c>
      <c r="E210" s="289">
        <f>'B) D RI'!S211</f>
        <v>68</v>
      </c>
      <c r="F210" s="14">
        <f>'B) D RI'!R211</f>
        <v>3895916.8500000006</v>
      </c>
      <c r="G210" s="14">
        <f>'B) D RI'!U211</f>
        <v>57292.894852941186</v>
      </c>
      <c r="H210" s="52">
        <f>'B) D RI'!T211</f>
        <v>3626338.9500000007</v>
      </c>
      <c r="I210" s="14">
        <f t="shared" si="31"/>
        <v>106657.02794117649</v>
      </c>
      <c r="J210" s="41">
        <f t="shared" si="27"/>
        <v>74668.032763824784</v>
      </c>
      <c r="K210" s="14">
        <f t="shared" si="28"/>
        <v>74668.032763824784</v>
      </c>
      <c r="L210" s="14">
        <f t="shared" si="32"/>
        <v>0</v>
      </c>
      <c r="M210" s="14">
        <f>'D) Ecrêtage'!M209</f>
        <v>55139.937699210619</v>
      </c>
      <c r="N210" s="14">
        <f t="shared" si="29"/>
        <v>74023.499870299915</v>
      </c>
      <c r="O210" s="74">
        <f t="shared" si="30"/>
        <v>148691.53263412468</v>
      </c>
      <c r="P210" s="290"/>
      <c r="Q210" s="291"/>
      <c r="R210" s="287"/>
      <c r="S210" s="287"/>
      <c r="T210" s="292"/>
    </row>
    <row r="211" spans="1:20" s="286" customFormat="1" x14ac:dyDescent="0.25">
      <c r="A211" s="299">
        <f>'A) Base RI'!A212</f>
        <v>5741</v>
      </c>
      <c r="B211" s="299" t="str">
        <f>'A) Base RI'!B212</f>
        <v>L'Abergement</v>
      </c>
      <c r="C211" s="316">
        <v>0</v>
      </c>
      <c r="D211" s="288">
        <f>'B) D RI'!AR212</f>
        <v>250</v>
      </c>
      <c r="E211" s="289">
        <f>'B) D RI'!S212</f>
        <v>81</v>
      </c>
      <c r="F211" s="14">
        <f>'B) D RI'!R212</f>
        <v>566586.00833333342</v>
      </c>
      <c r="G211" s="14">
        <f>'B) D RI'!U212</f>
        <v>6994.8889917695487</v>
      </c>
      <c r="H211" s="52">
        <f>'B) D RI'!T212</f>
        <v>531333.55000000005</v>
      </c>
      <c r="I211" s="14">
        <f t="shared" si="31"/>
        <v>13119.346913580248</v>
      </c>
      <c r="J211" s="41">
        <f t="shared" si="27"/>
        <v>21164.408379768931</v>
      </c>
      <c r="K211" s="14">
        <f t="shared" si="28"/>
        <v>13119.346913580248</v>
      </c>
      <c r="L211" s="14">
        <f t="shared" si="32"/>
        <v>8045.061466188683</v>
      </c>
      <c r="M211" s="14">
        <f>'D) Ecrêtage'!M210</f>
        <v>6994.8889917695487</v>
      </c>
      <c r="N211" s="14">
        <f t="shared" si="29"/>
        <v>9390.4016939509183</v>
      </c>
      <c r="O211" s="74">
        <f t="shared" si="30"/>
        <v>22509.748607531168</v>
      </c>
      <c r="P211" s="290"/>
      <c r="Q211" s="291"/>
      <c r="R211" s="287"/>
      <c r="S211" s="287"/>
      <c r="T211" s="292"/>
    </row>
    <row r="212" spans="1:20" s="286" customFormat="1" x14ac:dyDescent="0.25">
      <c r="A212" s="299">
        <f>'A) Base RI'!A213</f>
        <v>5742</v>
      </c>
      <c r="B212" s="299" t="str">
        <f>'A) Base RI'!B213</f>
        <v>Agiez</v>
      </c>
      <c r="C212" s="316">
        <v>0</v>
      </c>
      <c r="D212" s="288">
        <f>'B) D RI'!AR213</f>
        <v>308</v>
      </c>
      <c r="E212" s="289">
        <f>'B) D RI'!S213</f>
        <v>76</v>
      </c>
      <c r="F212" s="14">
        <f>'B) D RI'!R213</f>
        <v>704827.27</v>
      </c>
      <c r="G212" s="14">
        <f>'B) D RI'!U213</f>
        <v>9274.0430263157905</v>
      </c>
      <c r="H212" s="52">
        <f>'B) D RI'!T213</f>
        <v>657678.87</v>
      </c>
      <c r="I212" s="14">
        <f t="shared" si="31"/>
        <v>17307.338684210525</v>
      </c>
      <c r="J212" s="41">
        <f t="shared" si="27"/>
        <v>26074.551123875321</v>
      </c>
      <c r="K212" s="14">
        <f t="shared" si="28"/>
        <v>17307.338684210525</v>
      </c>
      <c r="L212" s="14">
        <f t="shared" si="32"/>
        <v>8767.212439664796</v>
      </c>
      <c r="M212" s="14">
        <f>'D) Ecrêtage'!M211</f>
        <v>9274.0430263157905</v>
      </c>
      <c r="N212" s="14">
        <f t="shared" si="29"/>
        <v>12450.088835799876</v>
      </c>
      <c r="O212" s="74">
        <f t="shared" si="30"/>
        <v>29757.427520010402</v>
      </c>
      <c r="P212" s="290"/>
      <c r="Q212" s="291"/>
      <c r="R212" s="287"/>
      <c r="S212" s="287"/>
      <c r="T212" s="292"/>
    </row>
    <row r="213" spans="1:20" s="286" customFormat="1" x14ac:dyDescent="0.25">
      <c r="A213" s="299">
        <f>'A) Base RI'!A214</f>
        <v>5743</v>
      </c>
      <c r="B213" s="299" t="str">
        <f>'A) Base RI'!B214</f>
        <v>Arnex-sur-Orbe</v>
      </c>
      <c r="C213" s="316">
        <v>0</v>
      </c>
      <c r="D213" s="288">
        <f>'B) D RI'!AR214</f>
        <v>625</v>
      </c>
      <c r="E213" s="289">
        <f>'B) D RI'!S214</f>
        <v>73</v>
      </c>
      <c r="F213" s="14">
        <f>'B) D RI'!R214</f>
        <v>1266464.9075000002</v>
      </c>
      <c r="G213" s="14">
        <f>'B) D RI'!U214</f>
        <v>17348.834349315071</v>
      </c>
      <c r="H213" s="52">
        <f>'B) D RI'!T214</f>
        <v>1192922.2200000002</v>
      </c>
      <c r="I213" s="14">
        <f t="shared" si="31"/>
        <v>32682.800547945211</v>
      </c>
      <c r="J213" s="41">
        <f t="shared" si="27"/>
        <v>52911.020949422324</v>
      </c>
      <c r="K213" s="14">
        <f t="shared" si="28"/>
        <v>32682.800547945211</v>
      </c>
      <c r="L213" s="14">
        <f t="shared" si="32"/>
        <v>20228.220401477112</v>
      </c>
      <c r="M213" s="14">
        <f>'D) Ecrêtage'!M212</f>
        <v>17348.834349315071</v>
      </c>
      <c r="N213" s="14">
        <f t="shared" si="29"/>
        <v>23290.222854654476</v>
      </c>
      <c r="O213" s="74">
        <f t="shared" si="30"/>
        <v>55973.023402599691</v>
      </c>
      <c r="P213" s="290"/>
      <c r="Q213" s="291"/>
      <c r="R213" s="287"/>
      <c r="S213" s="287"/>
      <c r="T213" s="292"/>
    </row>
    <row r="214" spans="1:20" s="286" customFormat="1" x14ac:dyDescent="0.25">
      <c r="A214" s="299">
        <f>'A) Base RI'!A215</f>
        <v>5744</v>
      </c>
      <c r="B214" s="299" t="str">
        <f>'A) Base RI'!B215</f>
        <v>Ballaigues</v>
      </c>
      <c r="C214" s="316">
        <v>0</v>
      </c>
      <c r="D214" s="288">
        <f>'B) D RI'!AR215</f>
        <v>1069</v>
      </c>
      <c r="E214" s="289">
        <f>'B) D RI'!S215</f>
        <v>66</v>
      </c>
      <c r="F214" s="14">
        <f>'B) D RI'!R215</f>
        <v>3512022.25</v>
      </c>
      <c r="G214" s="14">
        <f>'B) D RI'!U215</f>
        <v>53212.458333333336</v>
      </c>
      <c r="H214" s="52">
        <f>'B) D RI'!T215</f>
        <v>3367393.25</v>
      </c>
      <c r="I214" s="14">
        <f t="shared" si="31"/>
        <v>102042.2196969697</v>
      </c>
      <c r="J214" s="41">
        <f t="shared" si="27"/>
        <v>90499.010231891938</v>
      </c>
      <c r="K214" s="14">
        <f t="shared" si="28"/>
        <v>90499.010231891938</v>
      </c>
      <c r="L214" s="14">
        <f t="shared" si="32"/>
        <v>0</v>
      </c>
      <c r="M214" s="14">
        <f>'D) Ecrêtage'!M213</f>
        <v>53212.458333333336</v>
      </c>
      <c r="N214" s="14">
        <f t="shared" si="29"/>
        <v>71435.924066926003</v>
      </c>
      <c r="O214" s="74">
        <f t="shared" si="30"/>
        <v>161934.93429881794</v>
      </c>
      <c r="P214" s="290"/>
      <c r="Q214" s="291"/>
      <c r="R214" s="287"/>
      <c r="S214" s="287"/>
      <c r="T214" s="292"/>
    </row>
    <row r="215" spans="1:20" s="286" customFormat="1" x14ac:dyDescent="0.25">
      <c r="A215" s="299">
        <f>'A) Base RI'!A216</f>
        <v>5745</v>
      </c>
      <c r="B215" s="299" t="str">
        <f>'A) Base RI'!B216</f>
        <v>Baulmes</v>
      </c>
      <c r="C215" s="316">
        <v>0</v>
      </c>
      <c r="D215" s="288">
        <f>'B) D RI'!AR216</f>
        <v>1034</v>
      </c>
      <c r="E215" s="289">
        <f>'B) D RI'!S216</f>
        <v>78</v>
      </c>
      <c r="F215" s="14">
        <f>'B) D RI'!R216</f>
        <v>2146727.83</v>
      </c>
      <c r="G215" s="14">
        <f>'B) D RI'!U216</f>
        <v>27522.151666666668</v>
      </c>
      <c r="H215" s="52">
        <f>'B) D RI'!T216</f>
        <v>2026959.6300000001</v>
      </c>
      <c r="I215" s="14">
        <f t="shared" si="31"/>
        <v>51973.323846153849</v>
      </c>
      <c r="J215" s="41">
        <f t="shared" si="27"/>
        <v>87535.993058724285</v>
      </c>
      <c r="K215" s="14">
        <f t="shared" si="28"/>
        <v>51973.323846153849</v>
      </c>
      <c r="L215" s="14">
        <f t="shared" si="32"/>
        <v>35562.669212570436</v>
      </c>
      <c r="M215" s="14">
        <f>'D) Ecrêtage'!M214</f>
        <v>27522.151666666668</v>
      </c>
      <c r="N215" s="14">
        <f t="shared" si="29"/>
        <v>36947.556985669944</v>
      </c>
      <c r="O215" s="74">
        <f t="shared" si="30"/>
        <v>88920.880831823801</v>
      </c>
      <c r="P215" s="290"/>
      <c r="Q215" s="291"/>
      <c r="R215" s="287"/>
      <c r="S215" s="287"/>
      <c r="T215" s="292"/>
    </row>
    <row r="216" spans="1:20" s="286" customFormat="1" x14ac:dyDescent="0.25">
      <c r="A216" s="299">
        <f>'A) Base RI'!A217</f>
        <v>5746</v>
      </c>
      <c r="B216" s="299" t="str">
        <f>'A) Base RI'!B217</f>
        <v>Bavois</v>
      </c>
      <c r="C216" s="316">
        <v>0</v>
      </c>
      <c r="D216" s="288">
        <f>'B) D RI'!AR217</f>
        <v>939</v>
      </c>
      <c r="E216" s="289">
        <f>'B) D RI'!S217</f>
        <v>73</v>
      </c>
      <c r="F216" s="14">
        <f>'B) D RI'!R217</f>
        <v>1746896.1016666666</v>
      </c>
      <c r="G216" s="14">
        <f>'B) D RI'!U217</f>
        <v>23930.083584474884</v>
      </c>
      <c r="H216" s="52">
        <f>'B) D RI'!T217</f>
        <v>1590438.0599999998</v>
      </c>
      <c r="I216" s="14">
        <f t="shared" si="31"/>
        <v>43573.645479452047</v>
      </c>
      <c r="J216" s="41">
        <f t="shared" si="27"/>
        <v>79493.517874412093</v>
      </c>
      <c r="K216" s="14">
        <f t="shared" si="28"/>
        <v>43573.645479452047</v>
      </c>
      <c r="L216" s="14">
        <f t="shared" si="32"/>
        <v>35919.872394960046</v>
      </c>
      <c r="M216" s="14">
        <f>'D) Ecrêtage'!M215</f>
        <v>23930.083584474884</v>
      </c>
      <c r="N216" s="14">
        <f t="shared" si="29"/>
        <v>32125.327177092582</v>
      </c>
      <c r="O216" s="74">
        <f t="shared" si="30"/>
        <v>75698.972656544633</v>
      </c>
      <c r="P216" s="290"/>
      <c r="Q216" s="291"/>
      <c r="R216" s="287"/>
      <c r="S216" s="287"/>
      <c r="T216" s="292"/>
    </row>
    <row r="217" spans="1:20" s="286" customFormat="1" x14ac:dyDescent="0.25">
      <c r="A217" s="299">
        <f>'A) Base RI'!A218</f>
        <v>5747</v>
      </c>
      <c r="B217" s="299" t="str">
        <f>'A) Base RI'!B218</f>
        <v>Bofflens</v>
      </c>
      <c r="C217" s="316">
        <v>0</v>
      </c>
      <c r="D217" s="288">
        <f>'B) D RI'!AR218</f>
        <v>187</v>
      </c>
      <c r="E217" s="289">
        <f>'B) D RI'!S218</f>
        <v>69</v>
      </c>
      <c r="F217" s="14">
        <f>'B) D RI'!R218</f>
        <v>357657.49</v>
      </c>
      <c r="G217" s="14">
        <f>'B) D RI'!U218</f>
        <v>5183.441884057971</v>
      </c>
      <c r="H217" s="52">
        <f>'B) D RI'!T218</f>
        <v>331737.64</v>
      </c>
      <c r="I217" s="14">
        <f t="shared" si="31"/>
        <v>9615.5837681159428</v>
      </c>
      <c r="J217" s="41">
        <f t="shared" si="27"/>
        <v>15830.977468067158</v>
      </c>
      <c r="K217" s="14">
        <f t="shared" si="28"/>
        <v>9615.5837681159428</v>
      </c>
      <c r="L217" s="14">
        <f t="shared" si="32"/>
        <v>6215.3936999512152</v>
      </c>
      <c r="M217" s="14">
        <f>'D) Ecrêtage'!M216</f>
        <v>5183.441884057971</v>
      </c>
      <c r="N217" s="14">
        <f t="shared" si="29"/>
        <v>6958.5952694641037</v>
      </c>
      <c r="O217" s="74">
        <f t="shared" si="30"/>
        <v>16574.179037580048</v>
      </c>
      <c r="P217" s="290"/>
      <c r="Q217" s="291"/>
      <c r="R217" s="287"/>
      <c r="S217" s="287"/>
      <c r="T217" s="292"/>
    </row>
    <row r="218" spans="1:20" s="286" customFormat="1" x14ac:dyDescent="0.25">
      <c r="A218" s="299">
        <f>'A) Base RI'!A219</f>
        <v>5748</v>
      </c>
      <c r="B218" s="299" t="str">
        <f>'A) Base RI'!B219</f>
        <v>Bretonnières</v>
      </c>
      <c r="C218" s="316">
        <v>0</v>
      </c>
      <c r="D218" s="288">
        <f>'B) D RI'!AR219</f>
        <v>252</v>
      </c>
      <c r="E218" s="289">
        <f>'B) D RI'!S219</f>
        <v>72</v>
      </c>
      <c r="F218" s="14">
        <f>'B) D RI'!R219</f>
        <v>442141.49000000005</v>
      </c>
      <c r="G218" s="14">
        <f>'B) D RI'!U219</f>
        <v>6140.8540277777784</v>
      </c>
      <c r="H218" s="52">
        <f>'B) D RI'!T219</f>
        <v>410190.49000000005</v>
      </c>
      <c r="I218" s="14">
        <f t="shared" si="31"/>
        <v>11394.180277777779</v>
      </c>
      <c r="J218" s="41">
        <f t="shared" si="27"/>
        <v>21333.723646807081</v>
      </c>
      <c r="K218" s="14">
        <f t="shared" si="28"/>
        <v>11394.180277777779</v>
      </c>
      <c r="L218" s="14">
        <f t="shared" si="32"/>
        <v>9939.5433690293012</v>
      </c>
      <c r="M218" s="14">
        <f>'D) Ecrêtage'!M217</f>
        <v>6140.8540277777784</v>
      </c>
      <c r="N218" s="14">
        <f t="shared" si="29"/>
        <v>8243.8886639374396</v>
      </c>
      <c r="O218" s="74">
        <f t="shared" si="30"/>
        <v>19638.068941715217</v>
      </c>
      <c r="P218" s="290"/>
      <c r="Q218" s="291"/>
      <c r="R218" s="287"/>
      <c r="S218" s="287"/>
      <c r="T218" s="292"/>
    </row>
    <row r="219" spans="1:20" s="286" customFormat="1" x14ac:dyDescent="0.25">
      <c r="A219" s="299">
        <f>'A) Base RI'!A220</f>
        <v>5749</v>
      </c>
      <c r="B219" s="299" t="str">
        <f>'A) Base RI'!B220</f>
        <v>Chavornay</v>
      </c>
      <c r="C219" s="316">
        <v>0</v>
      </c>
      <c r="D219" s="288">
        <f>'B) D RI'!AR220</f>
        <v>4672</v>
      </c>
      <c r="E219" s="289">
        <f>'B) D RI'!S220</f>
        <v>72.42</v>
      </c>
      <c r="F219" s="14">
        <f>'B) D RI'!R220</f>
        <v>9005204.4299999997</v>
      </c>
      <c r="G219" s="14">
        <f>'B) D RI'!U220</f>
        <v>124346.92667771333</v>
      </c>
      <c r="H219" s="52">
        <f>'B) D RI'!T220</f>
        <v>8307039.9299999997</v>
      </c>
      <c r="I219" s="14">
        <f t="shared" ref="I219" si="33">+H219/E219*$I$5</f>
        <v>229412.8674399337</v>
      </c>
      <c r="J219" s="41">
        <f t="shared" ref="J219" si="34">+$I$315/$D$315*D219</f>
        <v>395520.46380112175</v>
      </c>
      <c r="K219" s="14">
        <f t="shared" ref="K219" si="35">IF(C219=1,0,IF(J219&gt;I219,I219,J219))</f>
        <v>229412.8674399337</v>
      </c>
      <c r="L219" s="14">
        <f t="shared" ref="L219" si="36">+J219-K219</f>
        <v>166107.59636118804</v>
      </c>
      <c r="M219" s="14">
        <f>'D) Ecrêtage'!M218</f>
        <v>124346.92667771333</v>
      </c>
      <c r="N219" s="14">
        <f t="shared" ref="N219" si="37">+$N$5*M219</f>
        <v>166931.5399123434</v>
      </c>
      <c r="O219" s="74">
        <f t="shared" ref="O219" si="38">+N219+K219</f>
        <v>396344.40735227708</v>
      </c>
      <c r="P219" s="290"/>
      <c r="Q219" s="291"/>
      <c r="R219" s="287"/>
      <c r="S219" s="287"/>
      <c r="T219" s="292"/>
    </row>
    <row r="220" spans="1:20" s="286" customFormat="1" x14ac:dyDescent="0.25">
      <c r="A220" s="299">
        <f>'A) Base RI'!A221</f>
        <v>5750</v>
      </c>
      <c r="B220" s="299" t="str">
        <f>'A) Base RI'!B221</f>
        <v>Les Clées</v>
      </c>
      <c r="C220" s="316">
        <v>0</v>
      </c>
      <c r="D220" s="288">
        <f>'B) D RI'!AR221</f>
        <v>186</v>
      </c>
      <c r="E220" s="289">
        <f>'B) D RI'!S221</f>
        <v>80</v>
      </c>
      <c r="F220" s="14">
        <f>'B) D RI'!R221</f>
        <v>349289.17333333334</v>
      </c>
      <c r="G220" s="14">
        <f>'B) D RI'!U221</f>
        <v>4366.1146666666664</v>
      </c>
      <c r="H220" s="52">
        <f>'B) D RI'!T221</f>
        <v>328472.09000000003</v>
      </c>
      <c r="I220" s="14">
        <f t="shared" si="31"/>
        <v>8211.8022500000006</v>
      </c>
      <c r="J220" s="41">
        <f t="shared" ref="J220:J243" si="39">+$I$315/$D$315*D220</f>
        <v>15746.319834548083</v>
      </c>
      <c r="K220" s="14">
        <f t="shared" si="28"/>
        <v>8211.8022500000006</v>
      </c>
      <c r="L220" s="14">
        <f t="shared" si="32"/>
        <v>7534.5175845480826</v>
      </c>
      <c r="M220" s="14">
        <f>'D) Ecrêtage'!M219</f>
        <v>4366.1146666666664</v>
      </c>
      <c r="N220" s="14">
        <f t="shared" si="29"/>
        <v>5861.3611467018654</v>
      </c>
      <c r="O220" s="74">
        <f t="shared" si="30"/>
        <v>14073.163396701866</v>
      </c>
      <c r="P220" s="290"/>
      <c r="Q220" s="291"/>
      <c r="R220" s="287"/>
      <c r="S220" s="287"/>
      <c r="T220" s="292"/>
    </row>
    <row r="221" spans="1:20" s="286" customFormat="1" x14ac:dyDescent="0.25">
      <c r="A221" s="299">
        <f>'A) Base RI'!A222</f>
        <v>5752</v>
      </c>
      <c r="B221" s="299" t="str">
        <f>'A) Base RI'!B222</f>
        <v>Croy</v>
      </c>
      <c r="C221" s="316">
        <v>0</v>
      </c>
      <c r="D221" s="288">
        <f>'B) D RI'!AR222</f>
        <v>335</v>
      </c>
      <c r="E221" s="289">
        <f>'B) D RI'!S222</f>
        <v>74</v>
      </c>
      <c r="F221" s="14">
        <f>'B) D RI'!R222</f>
        <v>953588.14714285708</v>
      </c>
      <c r="G221" s="14">
        <f>'B) D RI'!U222</f>
        <v>12886.326312741312</v>
      </c>
      <c r="H221" s="52">
        <f>'B) D RI'!T222</f>
        <v>910075.28999999992</v>
      </c>
      <c r="I221" s="14">
        <f t="shared" si="31"/>
        <v>24596.629459459458</v>
      </c>
      <c r="J221" s="41">
        <f t="shared" si="39"/>
        <v>28360.307228890364</v>
      </c>
      <c r="K221" s="14">
        <f t="shared" si="28"/>
        <v>24596.629459459458</v>
      </c>
      <c r="L221" s="14">
        <f t="shared" si="32"/>
        <v>3763.6777694309058</v>
      </c>
      <c r="M221" s="14">
        <f>'D) Ecrêtage'!M220</f>
        <v>12886.326312741312</v>
      </c>
      <c r="N221" s="14">
        <f t="shared" si="29"/>
        <v>17299.456871774899</v>
      </c>
      <c r="O221" s="74">
        <f t="shared" si="30"/>
        <v>41896.086331234357</v>
      </c>
      <c r="P221" s="290"/>
      <c r="Q221" s="291"/>
      <c r="R221" s="287"/>
      <c r="S221" s="287"/>
      <c r="T221" s="292"/>
    </row>
    <row r="222" spans="1:20" s="286" customFormat="1" x14ac:dyDescent="0.25">
      <c r="A222" s="299">
        <f>'A) Base RI'!A223</f>
        <v>5754</v>
      </c>
      <c r="B222" s="299" t="str">
        <f>'A) Base RI'!B223</f>
        <v>Juriens</v>
      </c>
      <c r="C222" s="316">
        <v>0</v>
      </c>
      <c r="D222" s="288">
        <f>'B) D RI'!AR223</f>
        <v>302</v>
      </c>
      <c r="E222" s="289">
        <f>'B) D RI'!S223</f>
        <v>79</v>
      </c>
      <c r="F222" s="14">
        <f>'B) D RI'!R223</f>
        <v>511589.11</v>
      </c>
      <c r="G222" s="14">
        <f>'B) D RI'!U223</f>
        <v>6475.8115189873415</v>
      </c>
      <c r="H222" s="52">
        <f>'B) D RI'!T223</f>
        <v>474360.61</v>
      </c>
      <c r="I222" s="14">
        <f t="shared" si="31"/>
        <v>12009.129367088608</v>
      </c>
      <c r="J222" s="41">
        <f t="shared" si="39"/>
        <v>25566.605322760865</v>
      </c>
      <c r="K222" s="14">
        <f t="shared" si="28"/>
        <v>12009.129367088608</v>
      </c>
      <c r="L222" s="14">
        <f t="shared" si="32"/>
        <v>13557.475955672257</v>
      </c>
      <c r="M222" s="14">
        <f>'D) Ecrêtage'!M221</f>
        <v>6475.8115189873415</v>
      </c>
      <c r="N222" s="14">
        <f t="shared" si="29"/>
        <v>8693.5577575509069</v>
      </c>
      <c r="O222" s="74">
        <f t="shared" si="30"/>
        <v>20702.687124639517</v>
      </c>
      <c r="P222" s="290"/>
      <c r="Q222" s="291"/>
      <c r="R222" s="287"/>
      <c r="S222" s="287"/>
      <c r="T222" s="292"/>
    </row>
    <row r="223" spans="1:20" s="286" customFormat="1" x14ac:dyDescent="0.25">
      <c r="A223" s="299">
        <f>'A) Base RI'!A224</f>
        <v>5755</v>
      </c>
      <c r="B223" s="299" t="str">
        <f>'A) Base RI'!B224</f>
        <v>Lignerolle</v>
      </c>
      <c r="C223" s="316">
        <v>0</v>
      </c>
      <c r="D223" s="288">
        <f>'B) D RI'!AR224</f>
        <v>394</v>
      </c>
      <c r="E223" s="289">
        <f>'B) D RI'!S224</f>
        <v>81</v>
      </c>
      <c r="F223" s="14">
        <f>'B) D RI'!R224</f>
        <v>718590.7428571427</v>
      </c>
      <c r="G223" s="14">
        <f>'B) D RI'!U224</f>
        <v>8871.4906525573169</v>
      </c>
      <c r="H223" s="52">
        <f>'B) D RI'!T224</f>
        <v>669799.09999999986</v>
      </c>
      <c r="I223" s="14">
        <f t="shared" si="31"/>
        <v>16538.249382716047</v>
      </c>
      <c r="J223" s="41">
        <f t="shared" si="39"/>
        <v>33355.107606515834</v>
      </c>
      <c r="K223" s="14">
        <f t="shared" si="28"/>
        <v>16538.249382716047</v>
      </c>
      <c r="L223" s="14">
        <f t="shared" si="32"/>
        <v>16816.858223799787</v>
      </c>
      <c r="M223" s="14">
        <f>'D) Ecrêtage'!M222</f>
        <v>8871.4906525573169</v>
      </c>
      <c r="N223" s="14">
        <f t="shared" si="29"/>
        <v>11909.675900456174</v>
      </c>
      <c r="O223" s="74">
        <f t="shared" si="30"/>
        <v>28447.925283172219</v>
      </c>
      <c r="P223" s="290"/>
      <c r="Q223" s="291"/>
      <c r="R223" s="287"/>
      <c r="S223" s="287"/>
      <c r="T223" s="292"/>
    </row>
    <row r="224" spans="1:20" s="286" customFormat="1" x14ac:dyDescent="0.25">
      <c r="A224" s="299">
        <f>'A) Base RI'!A225</f>
        <v>5756</v>
      </c>
      <c r="B224" s="299" t="str">
        <f>'A) Base RI'!B225</f>
        <v>Montcherand</v>
      </c>
      <c r="C224" s="316">
        <v>1</v>
      </c>
      <c r="D224" s="288">
        <f>'B) D RI'!AR225</f>
        <v>474</v>
      </c>
      <c r="E224" s="289">
        <f>'B) D RI'!S225</f>
        <v>69</v>
      </c>
      <c r="F224" s="14">
        <f>'B) D RI'!R225</f>
        <v>1021768.9166666666</v>
      </c>
      <c r="G224" s="14">
        <f>'B) D RI'!U225</f>
        <v>14808.245169082125</v>
      </c>
      <c r="H224" s="52">
        <f>'B) D RI'!T225</f>
        <v>942332</v>
      </c>
      <c r="I224" s="14">
        <f t="shared" si="31"/>
        <v>27313.971014492752</v>
      </c>
      <c r="J224" s="41">
        <f t="shared" si="39"/>
        <v>40127.718288041891</v>
      </c>
      <c r="K224" s="14">
        <f t="shared" si="28"/>
        <v>0</v>
      </c>
      <c r="L224" s="14">
        <f t="shared" si="32"/>
        <v>40127.718288041891</v>
      </c>
      <c r="M224" s="14">
        <f>'D) Ecrêtage'!M223</f>
        <v>14808.245169082125</v>
      </c>
      <c r="N224" s="14">
        <f t="shared" si="29"/>
        <v>19879.567879319759</v>
      </c>
      <c r="O224" s="74">
        <f t="shared" si="30"/>
        <v>19879.567879319759</v>
      </c>
      <c r="P224" s="290"/>
      <c r="Q224" s="291"/>
      <c r="R224" s="287"/>
      <c r="S224" s="287"/>
      <c r="T224" s="292"/>
    </row>
    <row r="225" spans="1:20" s="286" customFormat="1" x14ac:dyDescent="0.25">
      <c r="A225" s="299">
        <f>'A) Base RI'!A226</f>
        <v>5757</v>
      </c>
      <c r="B225" s="299" t="str">
        <f>'A) Base RI'!B226</f>
        <v>Orbe</v>
      </c>
      <c r="C225" s="316">
        <v>1</v>
      </c>
      <c r="D225" s="288">
        <f>'B) D RI'!AR226</f>
        <v>6767</v>
      </c>
      <c r="E225" s="289">
        <f>'B) D RI'!S226</f>
        <v>72</v>
      </c>
      <c r="F225" s="14">
        <f>'B) D RI'!R226</f>
        <v>15150987.480000002</v>
      </c>
      <c r="G225" s="14">
        <f>'B) D RI'!U226</f>
        <v>210430.38166666671</v>
      </c>
      <c r="H225" s="52">
        <f>'B) D RI'!T226</f>
        <v>14041945.580000002</v>
      </c>
      <c r="I225" s="14">
        <f t="shared" si="31"/>
        <v>390054.04388888896</v>
      </c>
      <c r="J225" s="41">
        <f t="shared" si="39"/>
        <v>572878.2060235854</v>
      </c>
      <c r="K225" s="14">
        <f t="shared" si="28"/>
        <v>0</v>
      </c>
      <c r="L225" s="14">
        <f t="shared" si="32"/>
        <v>572878.2060235854</v>
      </c>
      <c r="M225" s="14">
        <f>'D) Ecrêtage'!M224</f>
        <v>210430.38166666671</v>
      </c>
      <c r="N225" s="14">
        <f t="shared" si="29"/>
        <v>282495.66430381843</v>
      </c>
      <c r="O225" s="74">
        <f t="shared" si="30"/>
        <v>282495.66430381843</v>
      </c>
      <c r="P225" s="290"/>
      <c r="Q225" s="291"/>
      <c r="R225" s="287"/>
      <c r="S225" s="287"/>
      <c r="T225" s="292"/>
    </row>
    <row r="226" spans="1:20" s="286" customFormat="1" x14ac:dyDescent="0.25">
      <c r="A226" s="299">
        <f>'A) Base RI'!A227</f>
        <v>5758</v>
      </c>
      <c r="B226" s="299" t="str">
        <f>'A) Base RI'!B227</f>
        <v>La Praz</v>
      </c>
      <c r="C226" s="316">
        <v>0</v>
      </c>
      <c r="D226" s="288">
        <f>'B) D RI'!AR227</f>
        <v>160</v>
      </c>
      <c r="E226" s="289">
        <f>'B) D RI'!S227</f>
        <v>83</v>
      </c>
      <c r="F226" s="14">
        <f>'B) D RI'!R227</f>
        <v>320729.29444444441</v>
      </c>
      <c r="G226" s="14">
        <f>'B) D RI'!U227</f>
        <v>3864.2083668005353</v>
      </c>
      <c r="H226" s="52">
        <f>'B) D RI'!T227</f>
        <v>298829.34999999998</v>
      </c>
      <c r="I226" s="14">
        <f t="shared" si="31"/>
        <v>7200.7072289156622</v>
      </c>
      <c r="J226" s="41">
        <f t="shared" si="39"/>
        <v>13545.221363052115</v>
      </c>
      <c r="K226" s="14">
        <f t="shared" si="28"/>
        <v>7200.7072289156622</v>
      </c>
      <c r="L226" s="14">
        <f t="shared" si="32"/>
        <v>6344.5141341364524</v>
      </c>
      <c r="M226" s="14">
        <f>'D) Ecrêtage'!M225</f>
        <v>3864.2083668005353</v>
      </c>
      <c r="N226" s="14">
        <f t="shared" si="29"/>
        <v>5187.568928696237</v>
      </c>
      <c r="O226" s="74">
        <f t="shared" si="30"/>
        <v>12388.276157611899</v>
      </c>
      <c r="P226" s="290"/>
      <c r="Q226" s="291"/>
      <c r="R226" s="287"/>
      <c r="S226" s="287"/>
      <c r="T226" s="292"/>
    </row>
    <row r="227" spans="1:20" s="286" customFormat="1" x14ac:dyDescent="0.25">
      <c r="A227" s="299">
        <f>'A) Base RI'!A228</f>
        <v>5759</v>
      </c>
      <c r="B227" s="299" t="str">
        <f>'A) Base RI'!B228</f>
        <v>Premier</v>
      </c>
      <c r="C227" s="316">
        <v>0</v>
      </c>
      <c r="D227" s="288">
        <f>'B) D RI'!AR228</f>
        <v>185</v>
      </c>
      <c r="E227" s="289">
        <f>'B) D RI'!S228</f>
        <v>81</v>
      </c>
      <c r="F227" s="14">
        <f>'B) D RI'!R228</f>
        <v>369256.72999999992</v>
      </c>
      <c r="G227" s="14">
        <f>'B) D RI'!U228</f>
        <v>4558.7250617283944</v>
      </c>
      <c r="H227" s="52">
        <f>'B) D RI'!T228</f>
        <v>343737.42999999993</v>
      </c>
      <c r="I227" s="14">
        <f t="shared" si="31"/>
        <v>8487.3439506172817</v>
      </c>
      <c r="J227" s="41">
        <f t="shared" si="39"/>
        <v>15661.662201029008</v>
      </c>
      <c r="K227" s="14">
        <f t="shared" si="28"/>
        <v>8487.3439506172817</v>
      </c>
      <c r="L227" s="14">
        <f t="shared" si="32"/>
        <v>7174.3182504117267</v>
      </c>
      <c r="M227" s="14">
        <f>'D) Ecrêtage'!M226</f>
        <v>4558.7250617283944</v>
      </c>
      <c r="N227" s="14">
        <f t="shared" si="29"/>
        <v>6119.9340821963924</v>
      </c>
      <c r="O227" s="74">
        <f t="shared" si="30"/>
        <v>14607.278032813674</v>
      </c>
      <c r="P227" s="290"/>
      <c r="Q227" s="291"/>
      <c r="R227" s="287"/>
      <c r="S227" s="287"/>
      <c r="T227" s="292"/>
    </row>
    <row r="228" spans="1:20" s="286" customFormat="1" x14ac:dyDescent="0.25">
      <c r="A228" s="299">
        <f>'A) Base RI'!A229</f>
        <v>5760</v>
      </c>
      <c r="B228" s="299" t="str">
        <f>'A) Base RI'!B229</f>
        <v>Rances</v>
      </c>
      <c r="C228" s="316">
        <v>0</v>
      </c>
      <c r="D228" s="288">
        <f>'B) D RI'!AR229</f>
        <v>460</v>
      </c>
      <c r="E228" s="289">
        <f>'B) D RI'!S229</f>
        <v>78</v>
      </c>
      <c r="F228" s="14">
        <f>'B) D RI'!R229</f>
        <v>894681.44000000006</v>
      </c>
      <c r="G228" s="14">
        <f>'B) D RI'!U229</f>
        <v>11470.274871794873</v>
      </c>
      <c r="H228" s="52">
        <f>'B) D RI'!T229</f>
        <v>835153.34000000008</v>
      </c>
      <c r="I228" s="14">
        <f t="shared" si="31"/>
        <v>21414.188205128208</v>
      </c>
      <c r="J228" s="41">
        <f t="shared" si="39"/>
        <v>38942.511418774826</v>
      </c>
      <c r="K228" s="14">
        <f t="shared" si="28"/>
        <v>21414.188205128208</v>
      </c>
      <c r="L228" s="14">
        <f t="shared" si="32"/>
        <v>17528.323213646618</v>
      </c>
      <c r="M228" s="14">
        <f>'D) Ecrêtage'!M227</f>
        <v>11470.274871794873</v>
      </c>
      <c r="N228" s="14">
        <f t="shared" si="29"/>
        <v>15398.455745748284</v>
      </c>
      <c r="O228" s="74">
        <f t="shared" si="30"/>
        <v>36812.643950876489</v>
      </c>
      <c r="P228" s="290"/>
      <c r="Q228" s="291"/>
      <c r="R228" s="287"/>
      <c r="S228" s="287"/>
      <c r="T228" s="292"/>
    </row>
    <row r="229" spans="1:20" s="286" customFormat="1" x14ac:dyDescent="0.25">
      <c r="A229" s="299">
        <f>'A) Base RI'!A230</f>
        <v>5761</v>
      </c>
      <c r="B229" s="299" t="str">
        <f>'A) Base RI'!B230</f>
        <v>Romainmôtier-Envy</v>
      </c>
      <c r="C229" s="316">
        <v>0</v>
      </c>
      <c r="D229" s="288">
        <f>'B) D RI'!AR230</f>
        <v>525</v>
      </c>
      <c r="E229" s="289">
        <f>'B) D RI'!S230</f>
        <v>76</v>
      </c>
      <c r="F229" s="14">
        <f>'B) D RI'!R230</f>
        <v>862399.03499999992</v>
      </c>
      <c r="G229" s="14">
        <f>'B) D RI'!U230</f>
        <v>11347.35572368421</v>
      </c>
      <c r="H229" s="52">
        <f>'B) D RI'!T230</f>
        <v>787866.40999999992</v>
      </c>
      <c r="I229" s="14">
        <f t="shared" si="31"/>
        <v>20733.326578947366</v>
      </c>
      <c r="J229" s="41">
        <f t="shared" si="39"/>
        <v>44445.257597514748</v>
      </c>
      <c r="K229" s="14">
        <f t="shared" si="28"/>
        <v>20733.326578947366</v>
      </c>
      <c r="L229" s="14">
        <f t="shared" si="32"/>
        <v>23711.931018567382</v>
      </c>
      <c r="M229" s="14">
        <f>'D) Ecrêtage'!M228</f>
        <v>11347.35572368421</v>
      </c>
      <c r="N229" s="14">
        <f t="shared" si="29"/>
        <v>15233.440950231798</v>
      </c>
      <c r="O229" s="74">
        <f t="shared" si="30"/>
        <v>35966.767529179167</v>
      </c>
      <c r="P229" s="290"/>
      <c r="Q229" s="291"/>
      <c r="R229" s="287"/>
      <c r="S229" s="287"/>
      <c r="T229" s="292"/>
    </row>
    <row r="230" spans="1:20" s="286" customFormat="1" x14ac:dyDescent="0.25">
      <c r="A230" s="299">
        <f>'A) Base RI'!A231</f>
        <v>5762</v>
      </c>
      <c r="B230" s="299" t="str">
        <f>'A) Base RI'!B231</f>
        <v>Sergey</v>
      </c>
      <c r="C230" s="316">
        <v>0</v>
      </c>
      <c r="D230" s="288">
        <f>'B) D RI'!AR231</f>
        <v>144</v>
      </c>
      <c r="E230" s="289">
        <f>'B) D RI'!S231</f>
        <v>81</v>
      </c>
      <c r="F230" s="14">
        <f>'B) D RI'!R231</f>
        <v>251489.55</v>
      </c>
      <c r="G230" s="14">
        <f>'B) D RI'!U231</f>
        <v>3104.8092592592593</v>
      </c>
      <c r="H230" s="52">
        <f>'B) D RI'!T231</f>
        <v>233355.44999999998</v>
      </c>
      <c r="I230" s="14">
        <f t="shared" si="31"/>
        <v>5761.8629629629622</v>
      </c>
      <c r="J230" s="41">
        <f t="shared" si="39"/>
        <v>12190.699226746903</v>
      </c>
      <c r="K230" s="14">
        <f t="shared" si="28"/>
        <v>5761.8629629629622</v>
      </c>
      <c r="L230" s="14">
        <f t="shared" si="32"/>
        <v>6428.8362637839409</v>
      </c>
      <c r="M230" s="14">
        <f>'D) Ecrêtage'!M229</f>
        <v>3104.8092592592593</v>
      </c>
      <c r="N230" s="14">
        <f t="shared" si="29"/>
        <v>4168.1013325369422</v>
      </c>
      <c r="O230" s="74">
        <f t="shared" si="30"/>
        <v>9929.9642954999035</v>
      </c>
      <c r="P230" s="290"/>
      <c r="Q230" s="291"/>
      <c r="R230" s="287"/>
      <c r="S230" s="287"/>
      <c r="T230" s="292"/>
    </row>
    <row r="231" spans="1:20" s="286" customFormat="1" x14ac:dyDescent="0.25">
      <c r="A231" s="299">
        <f>'A) Base RI'!A232</f>
        <v>5763</v>
      </c>
      <c r="B231" s="299" t="str">
        <f>'A) Base RI'!B232</f>
        <v>Valeyres-sous-Rances</v>
      </c>
      <c r="C231" s="316">
        <v>0</v>
      </c>
      <c r="D231" s="288">
        <f>'B) D RI'!AR232</f>
        <v>600</v>
      </c>
      <c r="E231" s="289">
        <f>'B) D RI'!S232</f>
        <v>68</v>
      </c>
      <c r="F231" s="14">
        <f>'B) D RI'!R232</f>
        <v>1096782.32</v>
      </c>
      <c r="G231" s="14">
        <f>'B) D RI'!U232</f>
        <v>16129.151764705883</v>
      </c>
      <c r="H231" s="52">
        <f>'B) D RI'!T232</f>
        <v>1016045.17</v>
      </c>
      <c r="I231" s="14">
        <f t="shared" si="31"/>
        <v>29883.681470588235</v>
      </c>
      <c r="J231" s="41">
        <f t="shared" si="39"/>
        <v>50794.58011144543</v>
      </c>
      <c r="K231" s="14">
        <f t="shared" si="28"/>
        <v>29883.681470588235</v>
      </c>
      <c r="L231" s="14">
        <f t="shared" si="32"/>
        <v>20910.898640857195</v>
      </c>
      <c r="M231" s="14">
        <f>'D) Ecrêtage'!M230</f>
        <v>16129.151764705883</v>
      </c>
      <c r="N231" s="14">
        <f t="shared" si="29"/>
        <v>21652.840271160589</v>
      </c>
      <c r="O231" s="74">
        <f t="shared" si="30"/>
        <v>51536.521741748824</v>
      </c>
      <c r="P231" s="290"/>
      <c r="Q231" s="291"/>
      <c r="R231" s="287"/>
      <c r="S231" s="287"/>
      <c r="T231" s="292"/>
    </row>
    <row r="232" spans="1:20" s="286" customFormat="1" x14ac:dyDescent="0.25">
      <c r="A232" s="299">
        <f>'A) Base RI'!A233</f>
        <v>5764</v>
      </c>
      <c r="B232" s="299" t="str">
        <f>'A) Base RI'!B233</f>
        <v>Vallorbe</v>
      </c>
      <c r="C232" s="316">
        <v>0</v>
      </c>
      <c r="D232" s="288">
        <f>'B) D RI'!AR233</f>
        <v>3650</v>
      </c>
      <c r="E232" s="289">
        <f>'B) D RI'!S233</f>
        <v>74</v>
      </c>
      <c r="F232" s="14">
        <f>'B) D RI'!R233</f>
        <v>6245155.5199999996</v>
      </c>
      <c r="G232" s="14">
        <f>'B) D RI'!U233</f>
        <v>84393.993513513502</v>
      </c>
      <c r="H232" s="52">
        <f>'B) D RI'!T233</f>
        <v>5846434.2699999996</v>
      </c>
      <c r="I232" s="14">
        <f t="shared" si="31"/>
        <v>158011.737027027</v>
      </c>
      <c r="J232" s="41">
        <f t="shared" si="39"/>
        <v>309000.36234462634</v>
      </c>
      <c r="K232" s="14">
        <f t="shared" si="28"/>
        <v>158011.737027027</v>
      </c>
      <c r="L232" s="14">
        <f t="shared" si="32"/>
        <v>150988.62531759933</v>
      </c>
      <c r="M232" s="14">
        <f>'D) Ecrêtage'!M231</f>
        <v>84393.993513513502</v>
      </c>
      <c r="N232" s="14">
        <f t="shared" si="29"/>
        <v>113296.07954909047</v>
      </c>
      <c r="O232" s="74">
        <f t="shared" si="30"/>
        <v>271307.81657611748</v>
      </c>
      <c r="P232" s="290"/>
      <c r="Q232" s="291"/>
      <c r="R232" s="287"/>
      <c r="S232" s="287"/>
      <c r="T232" s="292"/>
    </row>
    <row r="233" spans="1:20" s="286" customFormat="1" x14ac:dyDescent="0.25">
      <c r="A233" s="299">
        <f>'A) Base RI'!A234</f>
        <v>5765</v>
      </c>
      <c r="B233" s="299" t="str">
        <f>'A) Base RI'!B234</f>
        <v>Vaulion</v>
      </c>
      <c r="C233" s="316">
        <v>0</v>
      </c>
      <c r="D233" s="288">
        <f>'B) D RI'!AR234</f>
        <v>491</v>
      </c>
      <c r="E233" s="289">
        <f>'B) D RI'!S234</f>
        <v>81</v>
      </c>
      <c r="F233" s="14">
        <f>'B) D RI'!R234</f>
        <v>753750.39</v>
      </c>
      <c r="G233" s="14">
        <f>'B) D RI'!U234</f>
        <v>9305.5603703703709</v>
      </c>
      <c r="H233" s="52">
        <f>'B) D RI'!T234</f>
        <v>697289.09</v>
      </c>
      <c r="I233" s="14">
        <f t="shared" si="31"/>
        <v>17217.014567901235</v>
      </c>
      <c r="J233" s="41">
        <f t="shared" si="39"/>
        <v>41566.898057866179</v>
      </c>
      <c r="K233" s="14">
        <f t="shared" si="28"/>
        <v>17217.014567901235</v>
      </c>
      <c r="L233" s="14">
        <f t="shared" si="32"/>
        <v>24349.883489964945</v>
      </c>
      <c r="M233" s="14">
        <f>'D) Ecrêtage'!M232</f>
        <v>9305.5603703703709</v>
      </c>
      <c r="N233" s="14">
        <f t="shared" si="29"/>
        <v>12492.399803328768</v>
      </c>
      <c r="O233" s="74">
        <f t="shared" si="30"/>
        <v>29709.414371230003</v>
      </c>
      <c r="P233" s="290"/>
      <c r="Q233" s="291"/>
      <c r="R233" s="287"/>
      <c r="S233" s="287"/>
      <c r="T233" s="292"/>
    </row>
    <row r="234" spans="1:20" s="286" customFormat="1" x14ac:dyDescent="0.25">
      <c r="A234" s="299">
        <f>'A) Base RI'!A235</f>
        <v>5766</v>
      </c>
      <c r="B234" s="299" t="str">
        <f>'A) Base RI'!B235</f>
        <v>Vuiteboeuf</v>
      </c>
      <c r="C234" s="316">
        <v>0</v>
      </c>
      <c r="D234" s="288">
        <f>'B) D RI'!AR235</f>
        <v>538</v>
      </c>
      <c r="E234" s="289">
        <f>'B) D RI'!S235</f>
        <v>77</v>
      </c>
      <c r="F234" s="14">
        <f>'B) D RI'!R235</f>
        <v>894352.37428571435</v>
      </c>
      <c r="G234" s="14">
        <f>'B) D RI'!U235</f>
        <v>11614.965899814471</v>
      </c>
      <c r="H234" s="52">
        <f>'B) D RI'!T235</f>
        <v>822796.66</v>
      </c>
      <c r="I234" s="14">
        <f t="shared" si="31"/>
        <v>21371.34181818182</v>
      </c>
      <c r="J234" s="41">
        <f t="shared" si="39"/>
        <v>45545.806833262737</v>
      </c>
      <c r="K234" s="14">
        <f t="shared" si="28"/>
        <v>21371.34181818182</v>
      </c>
      <c r="L234" s="14">
        <f t="shared" si="32"/>
        <v>24174.465015080918</v>
      </c>
      <c r="M234" s="14">
        <f>'D) Ecrêtage'!M233</f>
        <v>11614.965899814471</v>
      </c>
      <c r="N234" s="14">
        <f t="shared" si="29"/>
        <v>15592.698553062803</v>
      </c>
      <c r="O234" s="74">
        <f t="shared" si="30"/>
        <v>36964.04037124462</v>
      </c>
      <c r="P234" s="290"/>
      <c r="Q234" s="291"/>
      <c r="R234" s="287"/>
      <c r="S234" s="287"/>
      <c r="T234" s="292"/>
    </row>
    <row r="235" spans="1:20" s="286" customFormat="1" x14ac:dyDescent="0.25">
      <c r="A235" s="299">
        <f>'A) Base RI'!A236</f>
        <v>5785</v>
      </c>
      <c r="B235" s="299" t="str">
        <f>'A) Base RI'!B236</f>
        <v>Corcelles-le-Jorat</v>
      </c>
      <c r="C235" s="316">
        <v>0</v>
      </c>
      <c r="D235" s="288">
        <f>'B) D RI'!AR236</f>
        <v>421</v>
      </c>
      <c r="E235" s="289">
        <f>'B) D RI'!S236</f>
        <v>79</v>
      </c>
      <c r="F235" s="14">
        <f>'B) D RI'!R236</f>
        <v>971151.61</v>
      </c>
      <c r="G235" s="14">
        <f>'B) D RI'!U236</f>
        <v>12293.058354430379</v>
      </c>
      <c r="H235" s="52">
        <f>'B) D RI'!T236</f>
        <v>906242.21</v>
      </c>
      <c r="I235" s="14">
        <f t="shared" si="31"/>
        <v>22942.840759493669</v>
      </c>
      <c r="J235" s="41">
        <f t="shared" si="39"/>
        <v>35640.863711530874</v>
      </c>
      <c r="K235" s="14">
        <f t="shared" si="28"/>
        <v>22942.840759493669</v>
      </c>
      <c r="L235" s="14">
        <f t="shared" si="32"/>
        <v>12698.022952037205</v>
      </c>
      <c r="M235" s="14">
        <f>'D) Ecrêtage'!M234</f>
        <v>12293.058354430379</v>
      </c>
      <c r="N235" s="14">
        <f t="shared" si="29"/>
        <v>16503.014719905888</v>
      </c>
      <c r="O235" s="74">
        <f t="shared" si="30"/>
        <v>39445.855479399557</v>
      </c>
      <c r="P235" s="290"/>
      <c r="Q235" s="291"/>
      <c r="R235" s="287"/>
      <c r="S235" s="287"/>
      <c r="T235" s="292"/>
    </row>
    <row r="236" spans="1:20" s="286" customFormat="1" x14ac:dyDescent="0.25">
      <c r="A236" s="299">
        <f>'A) Base RI'!A237</f>
        <v>5788</v>
      </c>
      <c r="B236" s="299" t="str">
        <f>'A) Base RI'!B237</f>
        <v>Essertes</v>
      </c>
      <c r="C236" s="316">
        <v>0</v>
      </c>
      <c r="D236" s="288">
        <f>'B) D RI'!AR237</f>
        <v>330</v>
      </c>
      <c r="E236" s="289">
        <f>'B) D RI'!S237</f>
        <v>70</v>
      </c>
      <c r="F236" s="14">
        <f>'B) D RI'!R237</f>
        <v>728862.39</v>
      </c>
      <c r="G236" s="14">
        <f>'B) D RI'!U237</f>
        <v>10412.319857142857</v>
      </c>
      <c r="H236" s="52">
        <f>'B) D RI'!T237</f>
        <v>673943.99</v>
      </c>
      <c r="I236" s="14">
        <f t="shared" si="31"/>
        <v>19255.54257142857</v>
      </c>
      <c r="J236" s="41">
        <f t="shared" si="39"/>
        <v>27937.019061294988</v>
      </c>
      <c r="K236" s="14">
        <f t="shared" si="28"/>
        <v>19255.54257142857</v>
      </c>
      <c r="L236" s="14">
        <f t="shared" si="32"/>
        <v>8681.476489866418</v>
      </c>
      <c r="M236" s="14">
        <f>'D) Ecrêtage'!M235</f>
        <v>10412.319857142857</v>
      </c>
      <c r="N236" s="14">
        <f t="shared" si="29"/>
        <v>13978.186950431931</v>
      </c>
      <c r="O236" s="74">
        <f t="shared" si="30"/>
        <v>33233.7295218605</v>
      </c>
      <c r="P236" s="290"/>
      <c r="Q236" s="291"/>
      <c r="R236" s="287"/>
      <c r="S236" s="287"/>
      <c r="T236" s="292"/>
    </row>
    <row r="237" spans="1:20" s="286" customFormat="1" x14ac:dyDescent="0.25">
      <c r="A237" s="299">
        <f>'A) Base RI'!A238</f>
        <v>5790</v>
      </c>
      <c r="B237" s="299" t="str">
        <f>'A) Base RI'!B238</f>
        <v>Maracon</v>
      </c>
      <c r="C237" s="316">
        <v>0</v>
      </c>
      <c r="D237" s="288">
        <f>'B) D RI'!AR238</f>
        <v>444</v>
      </c>
      <c r="E237" s="289">
        <f>'B) D RI'!S238</f>
        <v>76</v>
      </c>
      <c r="F237" s="14">
        <f>'B) D RI'!R238</f>
        <v>920185.88999999978</v>
      </c>
      <c r="G237" s="14">
        <f>'B) D RI'!U238</f>
        <v>12107.709078947366</v>
      </c>
      <c r="H237" s="52">
        <f>'B) D RI'!T238</f>
        <v>850762.5399999998</v>
      </c>
      <c r="I237" s="14">
        <f t="shared" si="31"/>
        <v>22388.487894736838</v>
      </c>
      <c r="J237" s="41">
        <f t="shared" si="39"/>
        <v>37587.989282469614</v>
      </c>
      <c r="K237" s="14">
        <f t="shared" si="28"/>
        <v>22388.487894736838</v>
      </c>
      <c r="L237" s="14">
        <f t="shared" si="32"/>
        <v>15199.501387732776</v>
      </c>
      <c r="M237" s="14">
        <f>'D) Ecrêtage'!M236</f>
        <v>12107.709078947366</v>
      </c>
      <c r="N237" s="14">
        <f t="shared" si="29"/>
        <v>16254.189591656363</v>
      </c>
      <c r="O237" s="74">
        <f t="shared" si="30"/>
        <v>38642.677486393201</v>
      </c>
      <c r="P237" s="290"/>
      <c r="Q237" s="291"/>
      <c r="R237" s="287"/>
      <c r="S237" s="287"/>
      <c r="T237" s="292"/>
    </row>
    <row r="238" spans="1:20" s="286" customFormat="1" x14ac:dyDescent="0.25">
      <c r="A238" s="299">
        <f>'A) Base RI'!A239</f>
        <v>5792</v>
      </c>
      <c r="B238" s="299" t="str">
        <f>'A) Base RI'!B239</f>
        <v>Montpreveyres</v>
      </c>
      <c r="C238" s="316">
        <v>0</v>
      </c>
      <c r="D238" s="288">
        <f>'B) D RI'!AR239</f>
        <v>628</v>
      </c>
      <c r="E238" s="289">
        <f>'B) D RI'!S239</f>
        <v>77</v>
      </c>
      <c r="F238" s="14">
        <f>'B) D RI'!R239</f>
        <v>1469814.0500000003</v>
      </c>
      <c r="G238" s="14">
        <f>'B) D RI'!U239</f>
        <v>19088.494155844161</v>
      </c>
      <c r="H238" s="52">
        <f>'B) D RI'!T239</f>
        <v>1369442.3500000003</v>
      </c>
      <c r="I238" s="14">
        <f t="shared" si="31"/>
        <v>35569.931168831179</v>
      </c>
      <c r="J238" s="41">
        <f t="shared" si="39"/>
        <v>53164.993849979553</v>
      </c>
      <c r="K238" s="14">
        <f t="shared" si="28"/>
        <v>35569.931168831179</v>
      </c>
      <c r="L238" s="14">
        <f t="shared" si="32"/>
        <v>17595.062681148374</v>
      </c>
      <c r="M238" s="14">
        <f>'D) Ecrêtage'!M237</f>
        <v>19088.494155844161</v>
      </c>
      <c r="N238" s="14">
        <f t="shared" si="29"/>
        <v>25625.657257309151</v>
      </c>
      <c r="O238" s="74">
        <f t="shared" si="30"/>
        <v>61195.588426140326</v>
      </c>
      <c r="P238" s="290"/>
      <c r="Q238" s="291"/>
      <c r="R238" s="287"/>
      <c r="S238" s="287"/>
      <c r="T238" s="292"/>
    </row>
    <row r="239" spans="1:20" s="286" customFormat="1" x14ac:dyDescent="0.25">
      <c r="A239" s="299">
        <f>'A) Base RI'!A240</f>
        <v>5798</v>
      </c>
      <c r="B239" s="299" t="str">
        <f>'A) Base RI'!B240</f>
        <v>Ropraz</v>
      </c>
      <c r="C239" s="316">
        <v>0</v>
      </c>
      <c r="D239" s="288">
        <f>'B) D RI'!AR240</f>
        <v>405</v>
      </c>
      <c r="E239" s="289">
        <f>'B) D RI'!S240</f>
        <v>77.5</v>
      </c>
      <c r="F239" s="14">
        <f>'B) D RI'!R240</f>
        <v>740768.77</v>
      </c>
      <c r="G239" s="14">
        <f>'B) D RI'!U240</f>
        <v>9558.3067096774193</v>
      </c>
      <c r="H239" s="52">
        <f>'B) D RI'!T240</f>
        <v>700586.47</v>
      </c>
      <c r="I239" s="14">
        <f t="shared" si="31"/>
        <v>18079.650838709676</v>
      </c>
      <c r="J239" s="41">
        <f t="shared" si="39"/>
        <v>34286.341575225662</v>
      </c>
      <c r="K239" s="14">
        <f t="shared" si="28"/>
        <v>18079.650838709676</v>
      </c>
      <c r="L239" s="14">
        <f t="shared" si="32"/>
        <v>16206.690736515986</v>
      </c>
      <c r="M239" s="14">
        <f>'D) Ecrêtage'!M238</f>
        <v>9558.3067096774193</v>
      </c>
      <c r="N239" s="14">
        <f t="shared" si="29"/>
        <v>12831.703208366564</v>
      </c>
      <c r="O239" s="74">
        <f t="shared" si="30"/>
        <v>30911.354047076238</v>
      </c>
      <c r="P239" s="290"/>
      <c r="Q239" s="291"/>
      <c r="R239" s="287"/>
      <c r="S239" s="287"/>
      <c r="T239" s="292"/>
    </row>
    <row r="240" spans="1:20" s="286" customFormat="1" x14ac:dyDescent="0.25">
      <c r="A240" s="299">
        <f>'A) Base RI'!A241</f>
        <v>5799</v>
      </c>
      <c r="B240" s="299" t="str">
        <f>'A) Base RI'!B241</f>
        <v>Servion</v>
      </c>
      <c r="C240" s="316">
        <v>0</v>
      </c>
      <c r="D240" s="288">
        <f>'B) D RI'!AR241</f>
        <v>1908</v>
      </c>
      <c r="E240" s="289">
        <f>'B) D RI'!S241</f>
        <v>69</v>
      </c>
      <c r="F240" s="14">
        <f>'B) D RI'!R241</f>
        <v>3544286.9600000009</v>
      </c>
      <c r="G240" s="14">
        <f>'B) D RI'!U241</f>
        <v>51366.477681159435</v>
      </c>
      <c r="H240" s="52">
        <f>'B) D RI'!T241</f>
        <v>3199365.0100000007</v>
      </c>
      <c r="I240" s="14">
        <f t="shared" si="31"/>
        <v>92735.21768115944</v>
      </c>
      <c r="J240" s="41">
        <f t="shared" si="39"/>
        <v>161526.76475439646</v>
      </c>
      <c r="K240" s="14">
        <f t="shared" si="28"/>
        <v>92735.21768115944</v>
      </c>
      <c r="L240" s="14">
        <f t="shared" si="32"/>
        <v>68791.547073237016</v>
      </c>
      <c r="M240" s="14">
        <f>'D) Ecrêtage'!M239</f>
        <v>51366.477681159435</v>
      </c>
      <c r="N240" s="14">
        <f t="shared" si="29"/>
        <v>68957.757527961498</v>
      </c>
      <c r="O240" s="74">
        <f t="shared" si="30"/>
        <v>161692.97520912095</v>
      </c>
      <c r="P240" s="290"/>
      <c r="Q240" s="291"/>
      <c r="R240" s="287"/>
      <c r="S240" s="287"/>
      <c r="T240" s="292"/>
    </row>
    <row r="241" spans="1:20" s="286" customFormat="1" x14ac:dyDescent="0.25">
      <c r="A241" s="299">
        <f>'A) Base RI'!A242</f>
        <v>5803</v>
      </c>
      <c r="B241" s="299" t="str">
        <f>'A) Base RI'!B242</f>
        <v>Vulliens</v>
      </c>
      <c r="C241" s="316">
        <v>0</v>
      </c>
      <c r="D241" s="288">
        <f>'B) D RI'!AR242</f>
        <v>462</v>
      </c>
      <c r="E241" s="289">
        <f>'B) D RI'!S242</f>
        <v>81</v>
      </c>
      <c r="F241" s="14">
        <f>'B) D RI'!R242</f>
        <v>1019721.1</v>
      </c>
      <c r="G241" s="14">
        <f>'B) D RI'!U242</f>
        <v>12589.149382716048</v>
      </c>
      <c r="H241" s="52">
        <f>'B) D RI'!T242</f>
        <v>951874.35</v>
      </c>
      <c r="I241" s="14">
        <f t="shared" si="31"/>
        <v>23503.070370370369</v>
      </c>
      <c r="J241" s="41">
        <f t="shared" si="39"/>
        <v>39111.826685812979</v>
      </c>
      <c r="K241" s="14">
        <f t="shared" si="28"/>
        <v>23503.070370370369</v>
      </c>
      <c r="L241" s="14">
        <f t="shared" si="32"/>
        <v>15608.75631544261</v>
      </c>
      <c r="M241" s="14">
        <f>'D) Ecrêtage'!M240</f>
        <v>12589.149382716048</v>
      </c>
      <c r="N241" s="14">
        <f t="shared" si="29"/>
        <v>16900.506902676618</v>
      </c>
      <c r="O241" s="74">
        <f t="shared" si="30"/>
        <v>40403.577273046991</v>
      </c>
      <c r="P241" s="290"/>
      <c r="Q241" s="291"/>
      <c r="R241" s="287"/>
      <c r="S241" s="287"/>
      <c r="T241" s="292"/>
    </row>
    <row r="242" spans="1:20" s="286" customFormat="1" x14ac:dyDescent="0.25">
      <c r="A242" s="299">
        <f>'A) Base RI'!A243</f>
        <v>5804</v>
      </c>
      <c r="B242" s="299" t="str">
        <f>'A) Base RI'!B243</f>
        <v>Jorat-Menthue</v>
      </c>
      <c r="C242" s="316">
        <v>0</v>
      </c>
      <c r="D242" s="288">
        <f>'B) D RI'!AR243</f>
        <v>1518</v>
      </c>
      <c r="E242" s="289">
        <f>'B) D RI'!S243</f>
        <v>72</v>
      </c>
      <c r="F242" s="14">
        <f>'B) D RI'!R243</f>
        <v>2963784.02</v>
      </c>
      <c r="G242" s="14">
        <f>'B) D RI'!U243</f>
        <v>41163.666944444441</v>
      </c>
      <c r="H242" s="52">
        <f>'B) D RI'!T243</f>
        <v>2734696.97</v>
      </c>
      <c r="I242" s="14">
        <f t="shared" si="31"/>
        <v>75963.804722222223</v>
      </c>
      <c r="J242" s="41">
        <f t="shared" si="39"/>
        <v>128510.28768195694</v>
      </c>
      <c r="K242" s="14">
        <f t="shared" si="28"/>
        <v>75963.804722222223</v>
      </c>
      <c r="L242" s="14">
        <f t="shared" si="32"/>
        <v>52546.482959734712</v>
      </c>
      <c r="M242" s="14">
        <f>'D) Ecrêtage'!M241</f>
        <v>41163.666944444441</v>
      </c>
      <c r="N242" s="14">
        <f t="shared" si="29"/>
        <v>55260.829479805056</v>
      </c>
      <c r="O242" s="74">
        <f t="shared" si="30"/>
        <v>131224.63420202729</v>
      </c>
      <c r="P242" s="290"/>
      <c r="Q242" s="291"/>
      <c r="R242" s="287"/>
      <c r="S242" s="287"/>
      <c r="T242" s="292"/>
    </row>
    <row r="243" spans="1:20" s="286" customFormat="1" x14ac:dyDescent="0.25">
      <c r="A243" s="299">
        <f>'A) Base RI'!A244</f>
        <v>5805</v>
      </c>
      <c r="B243" s="299" t="str">
        <f>'A) Base RI'!B244</f>
        <v>Oron</v>
      </c>
      <c r="C243" s="316">
        <v>0</v>
      </c>
      <c r="D243" s="288">
        <f>'B) D RI'!AR244</f>
        <v>5297</v>
      </c>
      <c r="E243" s="289">
        <f>'B) D RI'!S244</f>
        <v>69</v>
      </c>
      <c r="F243" s="14">
        <f>'B) D RI'!R244</f>
        <v>10108811.18090909</v>
      </c>
      <c r="G243" s="14">
        <f>'B) D RI'!U244</f>
        <v>146504.50986824767</v>
      </c>
      <c r="H243" s="52">
        <f>'B) D RI'!T244</f>
        <v>9267504.0899999999</v>
      </c>
      <c r="I243" s="14">
        <f t="shared" si="31"/>
        <v>268623.30695652176</v>
      </c>
      <c r="J243" s="41">
        <f t="shared" si="39"/>
        <v>448431.48475054407</v>
      </c>
      <c r="K243" s="14">
        <f t="shared" si="28"/>
        <v>268623.30695652176</v>
      </c>
      <c r="L243" s="14">
        <f t="shared" si="32"/>
        <v>179808.17779402231</v>
      </c>
      <c r="M243" s="14">
        <f>'D) Ecrêtage'!M242</f>
        <v>146504.50986824767</v>
      </c>
      <c r="N243" s="14">
        <f t="shared" si="29"/>
        <v>196677.34530983769</v>
      </c>
      <c r="O243" s="74">
        <f t="shared" si="30"/>
        <v>465300.65226635942</v>
      </c>
      <c r="P243" s="290"/>
      <c r="Q243" s="291"/>
      <c r="R243" s="287"/>
      <c r="S243" s="287"/>
      <c r="T243" s="292"/>
    </row>
    <row r="244" spans="1:20" s="286" customFormat="1" x14ac:dyDescent="0.25">
      <c r="A244" s="299">
        <f>'A) Base RI'!A245</f>
        <v>5806</v>
      </c>
      <c r="B244" s="299" t="str">
        <f>'A) Base RI'!B245</f>
        <v>Jorat-Mézières</v>
      </c>
      <c r="C244" s="316">
        <v>0</v>
      </c>
      <c r="D244" s="288">
        <f>'B) D RI'!AR245</f>
        <v>2755</v>
      </c>
      <c r="E244" s="289">
        <f>'B) D RI'!S245</f>
        <v>76.12</v>
      </c>
      <c r="F244" s="14">
        <f>'B) D RI'!R245</f>
        <v>6322478.3399999999</v>
      </c>
      <c r="G244" s="14">
        <f>'B) D RI'!U245</f>
        <v>83059.358118759847</v>
      </c>
      <c r="H244" s="52">
        <f>'B) D RI'!T245</f>
        <v>5880703.3399999999</v>
      </c>
      <c r="I244" s="14">
        <f t="shared" ref="I244" si="40">+H244/E244*$I$5</f>
        <v>154511.38570677876</v>
      </c>
      <c r="J244" s="41">
        <f t="shared" ref="J244" si="41">+$I$315/$D$315*D244</f>
        <v>233231.78034505359</v>
      </c>
      <c r="K244" s="14">
        <f t="shared" ref="K244" si="42">IF(C244=1,0,IF(J244&gt;I244,I244,J244))</f>
        <v>154511.38570677876</v>
      </c>
      <c r="L244" s="14">
        <f t="shared" ref="L244" si="43">+J244-K244</f>
        <v>78720.394638274825</v>
      </c>
      <c r="M244" s="14">
        <f>'D) Ecrêtage'!M243</f>
        <v>83059.358118759847</v>
      </c>
      <c r="N244" s="14">
        <f t="shared" ref="N244" si="44">+$N$5*M244</f>
        <v>111504.3767091386</v>
      </c>
      <c r="O244" s="74">
        <f t="shared" ref="O244" si="45">+N244+K244</f>
        <v>266015.76241591736</v>
      </c>
      <c r="P244" s="290"/>
      <c r="Q244" s="291"/>
      <c r="R244" s="287"/>
      <c r="S244" s="287"/>
      <c r="T244" s="292"/>
    </row>
    <row r="245" spans="1:20" s="286" customFormat="1" x14ac:dyDescent="0.25">
      <c r="A245" s="299">
        <f>'A) Base RI'!A246</f>
        <v>5812</v>
      </c>
      <c r="B245" s="299" t="str">
        <f>'A) Base RI'!B246</f>
        <v>Champtauroz</v>
      </c>
      <c r="C245" s="316">
        <v>0</v>
      </c>
      <c r="D245" s="288">
        <f>'B) D RI'!AR246</f>
        <v>133</v>
      </c>
      <c r="E245" s="289">
        <f>'B) D RI'!S246</f>
        <v>77</v>
      </c>
      <c r="F245" s="14">
        <f>'B) D RI'!R246</f>
        <v>186354.47500000001</v>
      </c>
      <c r="G245" s="14">
        <f>'B) D RI'!U246</f>
        <v>2420.1879870129869</v>
      </c>
      <c r="H245" s="52">
        <f>'B) D RI'!T246</f>
        <v>171817.35</v>
      </c>
      <c r="I245" s="14">
        <f t="shared" si="31"/>
        <v>4462.7883116883122</v>
      </c>
      <c r="J245" s="41">
        <f t="shared" ref="J245:J276" si="46">+$I$315/$D$315*D245</f>
        <v>11259.465258037071</v>
      </c>
      <c r="K245" s="14">
        <f t="shared" si="28"/>
        <v>4462.7883116883122</v>
      </c>
      <c r="L245" s="14">
        <f t="shared" si="32"/>
        <v>6796.676946348759</v>
      </c>
      <c r="M245" s="14">
        <f>'D) Ecrêtage'!M244</f>
        <v>2420.1879870129869</v>
      </c>
      <c r="N245" s="14">
        <f t="shared" si="29"/>
        <v>3249.0204490260421</v>
      </c>
      <c r="O245" s="74">
        <f t="shared" si="30"/>
        <v>7711.8087607143543</v>
      </c>
      <c r="P245" s="290"/>
      <c r="Q245" s="291"/>
      <c r="R245" s="287"/>
      <c r="S245" s="287"/>
      <c r="T245" s="292"/>
    </row>
    <row r="246" spans="1:20" s="286" customFormat="1" x14ac:dyDescent="0.25">
      <c r="A246" s="299">
        <f>'A) Base RI'!A247</f>
        <v>5813</v>
      </c>
      <c r="B246" s="299" t="str">
        <f>'A) Base RI'!B247</f>
        <v>Chevroux</v>
      </c>
      <c r="C246" s="316">
        <v>0</v>
      </c>
      <c r="D246" s="288">
        <f>'B) D RI'!AR247</f>
        <v>430</v>
      </c>
      <c r="E246" s="289">
        <f>'B) D RI'!S247</f>
        <v>70</v>
      </c>
      <c r="F246" s="14">
        <f>'B) D RI'!R247</f>
        <v>811320.9</v>
      </c>
      <c r="G246" s="14">
        <f>'B) D RI'!U247</f>
        <v>11590.298571428571</v>
      </c>
      <c r="H246" s="52">
        <f>'B) D RI'!T247</f>
        <v>741706.65</v>
      </c>
      <c r="I246" s="14">
        <f t="shared" si="31"/>
        <v>21191.618571428571</v>
      </c>
      <c r="J246" s="41">
        <f t="shared" si="46"/>
        <v>36402.782413202556</v>
      </c>
      <c r="K246" s="14">
        <f t="shared" si="28"/>
        <v>21191.618571428571</v>
      </c>
      <c r="L246" s="14">
        <f t="shared" si="32"/>
        <v>15211.163841773985</v>
      </c>
      <c r="M246" s="14">
        <f>'D) Ecrêtage'!M245</f>
        <v>11590.298571428571</v>
      </c>
      <c r="N246" s="14">
        <f t="shared" si="29"/>
        <v>15559.583499695587</v>
      </c>
      <c r="O246" s="74">
        <f t="shared" si="30"/>
        <v>36751.202071124157</v>
      </c>
      <c r="P246" s="290"/>
      <c r="Q246" s="291"/>
      <c r="R246" s="287"/>
      <c r="S246" s="287"/>
      <c r="T246" s="292"/>
    </row>
    <row r="247" spans="1:20" s="286" customFormat="1" x14ac:dyDescent="0.25">
      <c r="A247" s="299">
        <f>'A) Base RI'!A248</f>
        <v>5816</v>
      </c>
      <c r="B247" s="299" t="str">
        <f>'A) Base RI'!B248</f>
        <v>Corcelles-près-Payerne</v>
      </c>
      <c r="C247" s="316">
        <v>0</v>
      </c>
      <c r="D247" s="288">
        <f>'B) D RI'!AR248</f>
        <v>2229</v>
      </c>
      <c r="E247" s="289">
        <f>'B) D RI'!S248</f>
        <v>72</v>
      </c>
      <c r="F247" s="14">
        <f>'B) D RI'!R248</f>
        <v>3812659.787142857</v>
      </c>
      <c r="G247" s="14">
        <f>'B) D RI'!U248</f>
        <v>52953.608154761903</v>
      </c>
      <c r="H247" s="52">
        <f>'B) D RI'!T248</f>
        <v>3532763.9299999997</v>
      </c>
      <c r="I247" s="14">
        <f t="shared" si="31"/>
        <v>98132.331388888881</v>
      </c>
      <c r="J247" s="41">
        <f t="shared" si="46"/>
        <v>188701.86511401978</v>
      </c>
      <c r="K247" s="14">
        <f t="shared" si="28"/>
        <v>98132.331388888881</v>
      </c>
      <c r="L247" s="14">
        <f t="shared" si="32"/>
        <v>90569.533725130896</v>
      </c>
      <c r="M247" s="14">
        <f>'D) Ecrêtage'!M246</f>
        <v>52953.608154761903</v>
      </c>
      <c r="N247" s="14">
        <f t="shared" si="29"/>
        <v>71088.426464291173</v>
      </c>
      <c r="O247" s="74">
        <f t="shared" si="30"/>
        <v>169220.75785318005</v>
      </c>
      <c r="P247" s="290"/>
      <c r="Q247" s="291"/>
      <c r="R247" s="287"/>
      <c r="S247" s="287"/>
      <c r="T247" s="292"/>
    </row>
    <row r="248" spans="1:20" s="286" customFormat="1" x14ac:dyDescent="0.25">
      <c r="A248" s="299">
        <f>'A) Base RI'!A249</f>
        <v>5817</v>
      </c>
      <c r="B248" s="299" t="str">
        <f>'A) Base RI'!B249</f>
        <v>Grandcour</v>
      </c>
      <c r="C248" s="316">
        <v>0</v>
      </c>
      <c r="D248" s="288">
        <f>'B) D RI'!AR249</f>
        <v>856</v>
      </c>
      <c r="E248" s="289">
        <f>'B) D RI'!S249</f>
        <v>79.5</v>
      </c>
      <c r="F248" s="14">
        <f>'B) D RI'!R249</f>
        <v>1661215.2799999998</v>
      </c>
      <c r="G248" s="14">
        <f>'B) D RI'!U249</f>
        <v>20895.78968553459</v>
      </c>
      <c r="H248" s="52">
        <f>'B) D RI'!T249</f>
        <v>1554670.88</v>
      </c>
      <c r="I248" s="14">
        <f t="shared" si="31"/>
        <v>39111.217106918237</v>
      </c>
      <c r="J248" s="41">
        <f t="shared" si="46"/>
        <v>72466.934292328806</v>
      </c>
      <c r="K248" s="14">
        <f t="shared" si="28"/>
        <v>39111.217106918237</v>
      </c>
      <c r="L248" s="14">
        <f t="shared" si="32"/>
        <v>33355.717185410569</v>
      </c>
      <c r="M248" s="14">
        <f>'D) Ecrêtage'!M247</f>
        <v>20895.78968553459</v>
      </c>
      <c r="N248" s="14">
        <f t="shared" si="29"/>
        <v>28051.89032883379</v>
      </c>
      <c r="O248" s="74">
        <f t="shared" si="30"/>
        <v>67163.107435752027</v>
      </c>
      <c r="P248" s="290"/>
      <c r="Q248" s="291"/>
      <c r="R248" s="287"/>
      <c r="S248" s="287"/>
      <c r="T248" s="292"/>
    </row>
    <row r="249" spans="1:20" s="286" customFormat="1" x14ac:dyDescent="0.25">
      <c r="A249" s="299">
        <f>'A) Base RI'!A250</f>
        <v>5819</v>
      </c>
      <c r="B249" s="299" t="str">
        <f>'A) Base RI'!B250</f>
        <v>Henniez</v>
      </c>
      <c r="C249" s="316">
        <v>0</v>
      </c>
      <c r="D249" s="288">
        <f>'B) D RI'!AR250</f>
        <v>339</v>
      </c>
      <c r="E249" s="289">
        <f>'B) D RI'!S250</f>
        <v>67</v>
      </c>
      <c r="F249" s="14">
        <f>'B) D RI'!R250</f>
        <v>878167.62000000011</v>
      </c>
      <c r="G249" s="14">
        <f>'B) D RI'!U250</f>
        <v>13106.979402985076</v>
      </c>
      <c r="H249" s="52">
        <f>'B) D RI'!T250</f>
        <v>804252.47000000009</v>
      </c>
      <c r="I249" s="14">
        <f t="shared" si="31"/>
        <v>24007.536417910451</v>
      </c>
      <c r="J249" s="41">
        <f t="shared" si="46"/>
        <v>28698.937762966667</v>
      </c>
      <c r="K249" s="14">
        <f t="shared" si="28"/>
        <v>24007.536417910451</v>
      </c>
      <c r="L249" s="14">
        <f t="shared" si="32"/>
        <v>4691.4013450562161</v>
      </c>
      <c r="M249" s="14">
        <f>'D) Ecrêtage'!M248</f>
        <v>13106.979402985076</v>
      </c>
      <c r="N249" s="14">
        <f t="shared" si="29"/>
        <v>17595.676176304045</v>
      </c>
      <c r="O249" s="74">
        <f t="shared" si="30"/>
        <v>41603.212594214492</v>
      </c>
      <c r="P249" s="290"/>
      <c r="Q249" s="291"/>
      <c r="R249" s="287"/>
      <c r="S249" s="287"/>
      <c r="T249" s="292"/>
    </row>
    <row r="250" spans="1:20" s="286" customFormat="1" x14ac:dyDescent="0.25">
      <c r="A250" s="299">
        <f>'A) Base RI'!A251</f>
        <v>5821</v>
      </c>
      <c r="B250" s="299" t="str">
        <f>'A) Base RI'!B251</f>
        <v>Missy</v>
      </c>
      <c r="C250" s="316">
        <v>0</v>
      </c>
      <c r="D250" s="288">
        <f>'B) D RI'!AR251</f>
        <v>350</v>
      </c>
      <c r="E250" s="289">
        <f>'B) D RI'!S251</f>
        <v>72</v>
      </c>
      <c r="F250" s="14">
        <f>'B) D RI'!R251</f>
        <v>526594.11</v>
      </c>
      <c r="G250" s="14">
        <f>'B) D RI'!U251</f>
        <v>7313.8070833333331</v>
      </c>
      <c r="H250" s="52">
        <f>'B) D RI'!T251</f>
        <v>484579.31</v>
      </c>
      <c r="I250" s="14">
        <f t="shared" si="31"/>
        <v>13460.53638888889</v>
      </c>
      <c r="J250" s="41">
        <f t="shared" si="46"/>
        <v>29630.171731676499</v>
      </c>
      <c r="K250" s="14">
        <f t="shared" si="28"/>
        <v>13460.53638888889</v>
      </c>
      <c r="L250" s="14">
        <f t="shared" si="32"/>
        <v>16169.635342787609</v>
      </c>
      <c r="M250" s="14">
        <f>'D) Ecrêtage'!M249</f>
        <v>7313.8070833333331</v>
      </c>
      <c r="N250" s="14">
        <f t="shared" si="29"/>
        <v>9818.5384364747697</v>
      </c>
      <c r="O250" s="74">
        <f t="shared" si="30"/>
        <v>23279.074825363659</v>
      </c>
      <c r="P250" s="290"/>
      <c r="Q250" s="291"/>
      <c r="R250" s="287"/>
      <c r="S250" s="287"/>
      <c r="T250" s="292"/>
    </row>
    <row r="251" spans="1:20" s="286" customFormat="1" x14ac:dyDescent="0.25">
      <c r="A251" s="299">
        <f>'A) Base RI'!A252</f>
        <v>5822</v>
      </c>
      <c r="B251" s="299" t="str">
        <f>'A) Base RI'!B252</f>
        <v>Payerne</v>
      </c>
      <c r="C251" s="316">
        <v>0</v>
      </c>
      <c r="D251" s="288">
        <f>'B) D RI'!AR252</f>
        <v>9302</v>
      </c>
      <c r="E251" s="289">
        <f>'B) D RI'!S252</f>
        <v>75</v>
      </c>
      <c r="F251" s="14">
        <f>'B) D RI'!R252</f>
        <v>16833413.139999997</v>
      </c>
      <c r="G251" s="14">
        <f>'B) D RI'!U252</f>
        <v>224445.50853333328</v>
      </c>
      <c r="H251" s="52">
        <f>'B) D RI'!T252</f>
        <v>15498324.589999998</v>
      </c>
      <c r="I251" s="14">
        <f t="shared" si="31"/>
        <v>413288.65573333326</v>
      </c>
      <c r="J251" s="41">
        <f t="shared" si="46"/>
        <v>787485.30699444236</v>
      </c>
      <c r="K251" s="14">
        <f t="shared" si="28"/>
        <v>413288.65573333326</v>
      </c>
      <c r="L251" s="14">
        <f t="shared" si="32"/>
        <v>374196.6512611091</v>
      </c>
      <c r="M251" s="14">
        <f>'D) Ecrêtage'!M250</f>
        <v>224445.50853333328</v>
      </c>
      <c r="N251" s="14">
        <f t="shared" si="29"/>
        <v>301310.49770925735</v>
      </c>
      <c r="O251" s="74">
        <f t="shared" si="30"/>
        <v>714599.15344259061</v>
      </c>
      <c r="P251" s="290"/>
      <c r="Q251" s="291"/>
      <c r="R251" s="287"/>
      <c r="S251" s="287"/>
      <c r="T251" s="292"/>
    </row>
    <row r="252" spans="1:20" s="286" customFormat="1" x14ac:dyDescent="0.25">
      <c r="A252" s="299">
        <f>'A) Base RI'!A253</f>
        <v>5827</v>
      </c>
      <c r="B252" s="299" t="str">
        <f>'A) Base RI'!B253</f>
        <v>Trey</v>
      </c>
      <c r="C252" s="316">
        <v>0</v>
      </c>
      <c r="D252" s="288">
        <f>'B) D RI'!AR253</f>
        <v>255</v>
      </c>
      <c r="E252" s="289">
        <f>'B) D RI'!S253</f>
        <v>80</v>
      </c>
      <c r="F252" s="14">
        <f>'B) D RI'!R253</f>
        <v>523546.69000000006</v>
      </c>
      <c r="G252" s="14">
        <f>'B) D RI'!U253</f>
        <v>6544.3336250000011</v>
      </c>
      <c r="H252" s="52">
        <f>'B) D RI'!T253</f>
        <v>489895.74000000005</v>
      </c>
      <c r="I252" s="14">
        <f t="shared" si="31"/>
        <v>12247.393500000002</v>
      </c>
      <c r="J252" s="41">
        <f t="shared" si="46"/>
        <v>21587.696547364307</v>
      </c>
      <c r="K252" s="14">
        <f t="shared" si="28"/>
        <v>12247.393500000002</v>
      </c>
      <c r="L252" s="14">
        <f t="shared" si="32"/>
        <v>9340.3030473643048</v>
      </c>
      <c r="M252" s="14">
        <f>'D) Ecrêtage'!M251</f>
        <v>6544.3336250000011</v>
      </c>
      <c r="N252" s="14">
        <f t="shared" si="29"/>
        <v>8785.5463653946445</v>
      </c>
      <c r="O252" s="74">
        <f t="shared" si="30"/>
        <v>21032.939865394648</v>
      </c>
      <c r="P252" s="290"/>
      <c r="Q252" s="291"/>
      <c r="R252" s="287"/>
      <c r="S252" s="287"/>
      <c r="T252" s="292"/>
    </row>
    <row r="253" spans="1:20" s="286" customFormat="1" x14ac:dyDescent="0.25">
      <c r="A253" s="299">
        <f>'A) Base RI'!A254</f>
        <v>5828</v>
      </c>
      <c r="B253" s="299" t="str">
        <f>'A) Base RI'!B254</f>
        <v>Treytorrens (Payerne)</v>
      </c>
      <c r="C253" s="316">
        <v>0</v>
      </c>
      <c r="D253" s="288">
        <f>'B) D RI'!AR254</f>
        <v>124</v>
      </c>
      <c r="E253" s="289">
        <f>'B) D RI'!S254</f>
        <v>84</v>
      </c>
      <c r="F253" s="14">
        <f>'B) D RI'!R254</f>
        <v>179467.41666666669</v>
      </c>
      <c r="G253" s="14">
        <f>'B) D RI'!U254</f>
        <v>2136.5168650793653</v>
      </c>
      <c r="H253" s="52">
        <f>'B) D RI'!T254</f>
        <v>165817.05000000002</v>
      </c>
      <c r="I253" s="14">
        <f t="shared" si="31"/>
        <v>3948.0250000000005</v>
      </c>
      <c r="J253" s="41">
        <f t="shared" si="46"/>
        <v>10497.546556365389</v>
      </c>
      <c r="K253" s="14">
        <f t="shared" si="28"/>
        <v>3948.0250000000005</v>
      </c>
      <c r="L253" s="14">
        <f t="shared" si="32"/>
        <v>6549.5215563653883</v>
      </c>
      <c r="M253" s="14">
        <f>'D) Ecrêtage'!M252</f>
        <v>2136.5168650793653</v>
      </c>
      <c r="N253" s="14">
        <f t="shared" si="29"/>
        <v>2868.2015701182067</v>
      </c>
      <c r="O253" s="74">
        <f t="shared" si="30"/>
        <v>6816.2265701182077</v>
      </c>
      <c r="P253" s="290"/>
      <c r="Q253" s="291"/>
      <c r="R253" s="287"/>
      <c r="S253" s="287"/>
      <c r="T253" s="292"/>
    </row>
    <row r="254" spans="1:20" s="286" customFormat="1" x14ac:dyDescent="0.25">
      <c r="A254" s="299">
        <f>'A) Base RI'!A255</f>
        <v>5830</v>
      </c>
      <c r="B254" s="299" t="str">
        <f>'A) Base RI'!B255</f>
        <v>Villarzel</v>
      </c>
      <c r="C254" s="316">
        <v>0</v>
      </c>
      <c r="D254" s="288">
        <f>'B) D RI'!AR255</f>
        <v>415</v>
      </c>
      <c r="E254" s="289">
        <f>'B) D RI'!S255</f>
        <v>79</v>
      </c>
      <c r="F254" s="14">
        <f>'B) D RI'!R255</f>
        <v>808721.53999999992</v>
      </c>
      <c r="G254" s="14">
        <f>'B) D RI'!U255</f>
        <v>10236.981518987341</v>
      </c>
      <c r="H254" s="52">
        <f>'B) D RI'!T255</f>
        <v>754449.78999999992</v>
      </c>
      <c r="I254" s="14">
        <f t="shared" si="31"/>
        <v>19099.994683544301</v>
      </c>
      <c r="J254" s="41">
        <f t="shared" si="46"/>
        <v>35132.917910416421</v>
      </c>
      <c r="K254" s="14">
        <f t="shared" ref="K254:K303" si="47">IF(C254=1,0,IF(J254&gt;I254,I254,J254))</f>
        <v>19099.994683544301</v>
      </c>
      <c r="L254" s="14">
        <f t="shared" si="32"/>
        <v>16032.923226872121</v>
      </c>
      <c r="M254" s="14">
        <f>'D) Ecrêtage'!M253</f>
        <v>10236.981518987341</v>
      </c>
      <c r="N254" s="14">
        <f t="shared" ref="N254:N313" si="48">+$N$5*M254</f>
        <v>13742.801166673615</v>
      </c>
      <c r="O254" s="74">
        <f t="shared" ref="O254:O314" si="49">+N254+K254</f>
        <v>32842.795850217917</v>
      </c>
      <c r="P254" s="290"/>
      <c r="Q254" s="291"/>
      <c r="R254" s="287"/>
      <c r="S254" s="287"/>
      <c r="T254" s="292"/>
    </row>
    <row r="255" spans="1:20" s="286" customFormat="1" x14ac:dyDescent="0.25">
      <c r="A255" s="299">
        <f>'A) Base RI'!A256</f>
        <v>5831</v>
      </c>
      <c r="B255" s="299" t="str">
        <f>'A) Base RI'!B256</f>
        <v>Valbroye</v>
      </c>
      <c r="C255" s="316">
        <v>0</v>
      </c>
      <c r="D255" s="288">
        <f>'B) D RI'!AR256</f>
        <v>2960</v>
      </c>
      <c r="E255" s="289">
        <f>'B) D RI'!S256</f>
        <v>73</v>
      </c>
      <c r="F255" s="14">
        <f>'B) D RI'!R256</f>
        <v>5696753.2999999998</v>
      </c>
      <c r="G255" s="14">
        <f>'B) D RI'!U256</f>
        <v>78037.716438356161</v>
      </c>
      <c r="H255" s="52">
        <f>'B) D RI'!T256</f>
        <v>5303397.8</v>
      </c>
      <c r="I255" s="14">
        <f t="shared" ref="I255:I286" si="50">+H255/E255*$I$5</f>
        <v>145298.56986301369</v>
      </c>
      <c r="J255" s="41">
        <f t="shared" si="46"/>
        <v>250586.59521646413</v>
      </c>
      <c r="K255" s="14">
        <f t="shared" si="47"/>
        <v>145298.56986301369</v>
      </c>
      <c r="L255" s="14">
        <f t="shared" ref="L255:L314" si="51">+J255-K255</f>
        <v>105288.02535345044</v>
      </c>
      <c r="M255" s="14">
        <f>'D) Ecrêtage'!M254</f>
        <v>78037.716438356161</v>
      </c>
      <c r="N255" s="14">
        <f t="shared" si="48"/>
        <v>104762.99273613175</v>
      </c>
      <c r="O255" s="74">
        <f t="shared" si="49"/>
        <v>250061.56259914546</v>
      </c>
      <c r="P255" s="290"/>
      <c r="Q255" s="291"/>
      <c r="R255" s="287"/>
      <c r="S255" s="287"/>
      <c r="T255" s="292"/>
    </row>
    <row r="256" spans="1:20" s="286" customFormat="1" x14ac:dyDescent="0.25">
      <c r="A256" s="299">
        <f>'A) Base RI'!A257</f>
        <v>5841</v>
      </c>
      <c r="B256" s="299" t="str">
        <f>'A) Base RI'!B257</f>
        <v>Château-d'Oex</v>
      </c>
      <c r="C256" s="316">
        <v>0</v>
      </c>
      <c r="D256" s="288">
        <f>'B) D RI'!AR257</f>
        <v>3408</v>
      </c>
      <c r="E256" s="289">
        <f>'B) D RI'!S257</f>
        <v>83</v>
      </c>
      <c r="F256" s="14">
        <f>'B) D RI'!R257</f>
        <v>8924636.0666666664</v>
      </c>
      <c r="G256" s="14">
        <f>'B) D RI'!U257</f>
        <v>107525.73574297188</v>
      </c>
      <c r="H256" s="52">
        <f>'B) D RI'!T257</f>
        <v>8023962.0999999996</v>
      </c>
      <c r="I256" s="14">
        <f t="shared" si="50"/>
        <v>193348.48433734939</v>
      </c>
      <c r="J256" s="41">
        <f t="shared" si="46"/>
        <v>288513.21503301006</v>
      </c>
      <c r="K256" s="14">
        <f t="shared" si="47"/>
        <v>193348.48433734939</v>
      </c>
      <c r="L256" s="14">
        <f t="shared" si="51"/>
        <v>95164.730695660663</v>
      </c>
      <c r="M256" s="14">
        <f>'D) Ecrêtage'!M255</f>
        <v>107525.73574297188</v>
      </c>
      <c r="N256" s="14">
        <f t="shared" si="48"/>
        <v>144349.66048098617</v>
      </c>
      <c r="O256" s="74">
        <f t="shared" si="49"/>
        <v>337698.14481833554</v>
      </c>
      <c r="P256" s="290"/>
      <c r="Q256" s="291"/>
      <c r="R256" s="287"/>
      <c r="S256" s="287"/>
      <c r="T256" s="292"/>
    </row>
    <row r="257" spans="1:20" s="286" customFormat="1" x14ac:dyDescent="0.25">
      <c r="A257" s="299">
        <f>'A) Base RI'!A258</f>
        <v>5842</v>
      </c>
      <c r="B257" s="299" t="str">
        <f>'A) Base RI'!B258</f>
        <v>Rossinière</v>
      </c>
      <c r="C257" s="316">
        <v>0</v>
      </c>
      <c r="D257" s="288">
        <f>'B) D RI'!AR258</f>
        <v>565</v>
      </c>
      <c r="E257" s="289">
        <f>'B) D RI'!S258</f>
        <v>81</v>
      </c>
      <c r="F257" s="14">
        <f>'B) D RI'!R258</f>
        <v>1340884.1533333333</v>
      </c>
      <c r="G257" s="14">
        <f>'B) D RI'!U258</f>
        <v>16554.125349794238</v>
      </c>
      <c r="H257" s="52">
        <f>'B) D RI'!T258</f>
        <v>1257283.52</v>
      </c>
      <c r="I257" s="14">
        <f t="shared" si="50"/>
        <v>31044.0375308642</v>
      </c>
      <c r="J257" s="41">
        <f t="shared" si="46"/>
        <v>47831.562938277777</v>
      </c>
      <c r="K257" s="14">
        <f t="shared" si="47"/>
        <v>31044.0375308642</v>
      </c>
      <c r="L257" s="14">
        <f t="shared" si="51"/>
        <v>16787.525407413577</v>
      </c>
      <c r="M257" s="14">
        <f>'D) Ecrêtage'!M256</f>
        <v>16554.125349794238</v>
      </c>
      <c r="N257" s="14">
        <f t="shared" si="48"/>
        <v>22223.352923755028</v>
      </c>
      <c r="O257" s="74">
        <f t="shared" si="49"/>
        <v>53267.390454619228</v>
      </c>
      <c r="P257" s="290"/>
      <c r="Q257" s="291"/>
      <c r="R257" s="287"/>
      <c r="S257" s="287"/>
      <c r="T257" s="292"/>
    </row>
    <row r="258" spans="1:20" s="286" customFormat="1" x14ac:dyDescent="0.25">
      <c r="A258" s="299">
        <f>'A) Base RI'!A259</f>
        <v>5843</v>
      </c>
      <c r="B258" s="299" t="str">
        <f>'A) Base RI'!B259</f>
        <v>Rougemont</v>
      </c>
      <c r="C258" s="316">
        <v>0</v>
      </c>
      <c r="D258" s="288">
        <f>'B) D RI'!AR259</f>
        <v>881</v>
      </c>
      <c r="E258" s="289">
        <f>'B) D RI'!S259</f>
        <v>69</v>
      </c>
      <c r="F258" s="14">
        <f>'B) D RI'!R259</f>
        <v>6368524.3133333335</v>
      </c>
      <c r="G258" s="14">
        <f>'B) D RI'!U259</f>
        <v>92297.453816425128</v>
      </c>
      <c r="H258" s="52">
        <f>'B) D RI'!T259</f>
        <v>5677014.9800000004</v>
      </c>
      <c r="I258" s="14">
        <f t="shared" si="50"/>
        <v>164551.15884057974</v>
      </c>
      <c r="J258" s="41">
        <f t="shared" si="46"/>
        <v>74583.375130305707</v>
      </c>
      <c r="K258" s="14">
        <f t="shared" si="47"/>
        <v>74583.375130305707</v>
      </c>
      <c r="L258" s="14">
        <f t="shared" si="51"/>
        <v>0</v>
      </c>
      <c r="M258" s="14">
        <f>'D) Ecrêtage'!M257</f>
        <v>79049.148416639975</v>
      </c>
      <c r="N258" s="14">
        <f t="shared" si="48"/>
        <v>106120.80592993194</v>
      </c>
      <c r="O258" s="74">
        <f t="shared" si="49"/>
        <v>180704.18106023764</v>
      </c>
      <c r="P258" s="290"/>
      <c r="Q258" s="291"/>
      <c r="R258" s="287"/>
      <c r="S258" s="287"/>
      <c r="T258" s="292"/>
    </row>
    <row r="259" spans="1:20" s="286" customFormat="1" x14ac:dyDescent="0.25">
      <c r="A259" s="299">
        <f>'A) Base RI'!A260</f>
        <v>5851</v>
      </c>
      <c r="B259" s="299" t="str">
        <f>'A) Base RI'!B260</f>
        <v>Allaman</v>
      </c>
      <c r="C259" s="316">
        <v>0</v>
      </c>
      <c r="D259" s="288">
        <f>'B) D RI'!AR260</f>
        <v>393</v>
      </c>
      <c r="E259" s="289">
        <f>'B) D RI'!S260</f>
        <v>62</v>
      </c>
      <c r="F259" s="14">
        <f>'B) D RI'!R260</f>
        <v>1631337.5081818183</v>
      </c>
      <c r="G259" s="14">
        <f>'B) D RI'!U260</f>
        <v>26311.895293255133</v>
      </c>
      <c r="H259" s="52">
        <f>'B) D RI'!T260</f>
        <v>1408758.6900000002</v>
      </c>
      <c r="I259" s="14">
        <f t="shared" si="50"/>
        <v>45443.828709677422</v>
      </c>
      <c r="J259" s="41">
        <f t="shared" si="46"/>
        <v>33270.449972996757</v>
      </c>
      <c r="K259" s="14">
        <f t="shared" si="47"/>
        <v>33270.449972996757</v>
      </c>
      <c r="L259" s="14">
        <f t="shared" si="51"/>
        <v>0</v>
      </c>
      <c r="M259" s="14">
        <f>'D) Ecrêtage'!M258</f>
        <v>25169.262174508789</v>
      </c>
      <c r="N259" s="14">
        <f t="shared" si="48"/>
        <v>33788.882487927956</v>
      </c>
      <c r="O259" s="74">
        <f t="shared" si="49"/>
        <v>67059.332460924721</v>
      </c>
      <c r="P259" s="290"/>
      <c r="Q259" s="291"/>
      <c r="R259" s="287"/>
      <c r="S259" s="287"/>
      <c r="T259" s="292"/>
    </row>
    <row r="260" spans="1:20" s="286" customFormat="1" x14ac:dyDescent="0.25">
      <c r="A260" s="299">
        <f>'A) Base RI'!A261</f>
        <v>5852</v>
      </c>
      <c r="B260" s="299" t="str">
        <f>'A) Base RI'!B261</f>
        <v>Bursinel</v>
      </c>
      <c r="C260" s="316">
        <v>0</v>
      </c>
      <c r="D260" s="288">
        <f>'B) D RI'!AR261</f>
        <v>477</v>
      </c>
      <c r="E260" s="289">
        <f>'B) D RI'!S261</f>
        <v>63.5</v>
      </c>
      <c r="F260" s="14">
        <f>'B) D RI'!R261</f>
        <v>2008666.68</v>
      </c>
      <c r="G260" s="14">
        <f>'B) D RI'!U261</f>
        <v>31632.546141732284</v>
      </c>
      <c r="H260" s="52">
        <f>'B) D RI'!T261</f>
        <v>1833567.5799999998</v>
      </c>
      <c r="I260" s="14">
        <f t="shared" si="50"/>
        <v>57750.159999999996</v>
      </c>
      <c r="J260" s="41">
        <f t="shared" si="46"/>
        <v>40381.691188599114</v>
      </c>
      <c r="K260" s="14">
        <f t="shared" si="47"/>
        <v>40381.691188599114</v>
      </c>
      <c r="L260" s="14">
        <f t="shared" si="51"/>
        <v>0</v>
      </c>
      <c r="M260" s="14">
        <f>'D) Ecrêtage'!M259</f>
        <v>30316.650271285871</v>
      </c>
      <c r="N260" s="14">
        <f t="shared" si="48"/>
        <v>40699.076768390776</v>
      </c>
      <c r="O260" s="74">
        <f t="shared" si="49"/>
        <v>81080.76795698989</v>
      </c>
      <c r="P260" s="290"/>
      <c r="Q260" s="291"/>
      <c r="R260" s="287"/>
      <c r="S260" s="287"/>
      <c r="T260" s="292"/>
    </row>
    <row r="261" spans="1:20" s="286" customFormat="1" x14ac:dyDescent="0.25">
      <c r="A261" s="299">
        <f>'A) Base RI'!A262</f>
        <v>5853</v>
      </c>
      <c r="B261" s="299" t="str">
        <f>'A) Base RI'!B262</f>
        <v>Bursins</v>
      </c>
      <c r="C261" s="316">
        <v>0</v>
      </c>
      <c r="D261" s="288">
        <f>'B) D RI'!AR262</f>
        <v>772</v>
      </c>
      <c r="E261" s="289">
        <f>'B) D RI'!S262</f>
        <v>71</v>
      </c>
      <c r="F261" s="14">
        <f>'B) D RI'!R262</f>
        <v>2635430.14</v>
      </c>
      <c r="G261" s="14">
        <f>'B) D RI'!U262</f>
        <v>37118.734366197183</v>
      </c>
      <c r="H261" s="52">
        <f>'B) D RI'!T262</f>
        <v>2441611.8400000003</v>
      </c>
      <c r="I261" s="14">
        <f t="shared" si="50"/>
        <v>68777.798309859165</v>
      </c>
      <c r="J261" s="41">
        <f t="shared" si="46"/>
        <v>65355.693076726457</v>
      </c>
      <c r="K261" s="14">
        <f t="shared" si="47"/>
        <v>65355.693076726457</v>
      </c>
      <c r="L261" s="14">
        <f t="shared" si="51"/>
        <v>0</v>
      </c>
      <c r="M261" s="14">
        <f>'D) Ecrêtage'!M260</f>
        <v>37118.734366197183</v>
      </c>
      <c r="N261" s="14">
        <f t="shared" si="48"/>
        <v>49830.644414769253</v>
      </c>
      <c r="O261" s="74">
        <f t="shared" si="49"/>
        <v>115186.33749149571</v>
      </c>
      <c r="P261" s="290"/>
      <c r="Q261" s="291"/>
      <c r="R261" s="287"/>
      <c r="S261" s="287"/>
      <c r="T261" s="292"/>
    </row>
    <row r="262" spans="1:20" s="286" customFormat="1" x14ac:dyDescent="0.25">
      <c r="A262" s="299">
        <f>'A) Base RI'!A263</f>
        <v>5854</v>
      </c>
      <c r="B262" s="299" t="str">
        <f>'A) Base RI'!B263</f>
        <v>Burtigny</v>
      </c>
      <c r="C262" s="316">
        <v>0</v>
      </c>
      <c r="D262" s="288">
        <f>'B) D RI'!AR263</f>
        <v>352</v>
      </c>
      <c r="E262" s="289">
        <f>'B) D RI'!S263</f>
        <v>80</v>
      </c>
      <c r="F262" s="14">
        <f>'B) D RI'!R263</f>
        <v>819533.12333333353</v>
      </c>
      <c r="G262" s="14">
        <f>'B) D RI'!U263</f>
        <v>10244.164041666669</v>
      </c>
      <c r="H262" s="52">
        <f>'B) D RI'!T263</f>
        <v>757174.89000000013</v>
      </c>
      <c r="I262" s="14">
        <f t="shared" si="50"/>
        <v>18929.372250000004</v>
      </c>
      <c r="J262" s="41">
        <f t="shared" si="46"/>
        <v>29799.486998714652</v>
      </c>
      <c r="K262" s="14">
        <f t="shared" si="47"/>
        <v>18929.372250000004</v>
      </c>
      <c r="L262" s="14">
        <f t="shared" si="51"/>
        <v>10870.114748714648</v>
      </c>
      <c r="M262" s="14">
        <f>'D) Ecrêtage'!M261</f>
        <v>10244.164041666669</v>
      </c>
      <c r="N262" s="14">
        <f t="shared" si="48"/>
        <v>13752.443460241699</v>
      </c>
      <c r="O262" s="74">
        <f t="shared" si="49"/>
        <v>32681.815710241703</v>
      </c>
      <c r="P262" s="290"/>
      <c r="Q262" s="291"/>
      <c r="R262" s="287"/>
      <c r="S262" s="287"/>
      <c r="T262" s="292"/>
    </row>
    <row r="263" spans="1:20" s="286" customFormat="1" x14ac:dyDescent="0.25">
      <c r="A263" s="299">
        <f>'A) Base RI'!A264</f>
        <v>5855</v>
      </c>
      <c r="B263" s="299" t="str">
        <f>'A) Base RI'!B264</f>
        <v>Dully</v>
      </c>
      <c r="C263" s="316">
        <v>0</v>
      </c>
      <c r="D263" s="288">
        <f>'B) D RI'!AR264</f>
        <v>636</v>
      </c>
      <c r="E263" s="289">
        <f>'B) D RI'!S264</f>
        <v>49</v>
      </c>
      <c r="F263" s="14">
        <f>'B) D RI'!R264</f>
        <v>3202305.6399999997</v>
      </c>
      <c r="G263" s="14">
        <f>'B) D RI'!U264</f>
        <v>65353.176326530607</v>
      </c>
      <c r="H263" s="52">
        <f>'B) D RI'!T264</f>
        <v>2900769.2399999998</v>
      </c>
      <c r="I263" s="14">
        <f t="shared" si="50"/>
        <v>118398.74448979591</v>
      </c>
      <c r="J263" s="41">
        <f t="shared" si="46"/>
        <v>53842.254918132152</v>
      </c>
      <c r="K263" s="14">
        <f t="shared" si="47"/>
        <v>53842.254918132152</v>
      </c>
      <c r="L263" s="14">
        <f t="shared" si="51"/>
        <v>0</v>
      </c>
      <c r="M263" s="14">
        <f>'D) Ecrêtage'!M262</f>
        <v>56253.958979149436</v>
      </c>
      <c r="N263" s="14">
        <f t="shared" si="48"/>
        <v>75519.035728916657</v>
      </c>
      <c r="O263" s="74">
        <f t="shared" si="49"/>
        <v>129361.29064704881</v>
      </c>
      <c r="P263" s="290"/>
      <c r="Q263" s="291"/>
      <c r="R263" s="287"/>
      <c r="S263" s="287"/>
      <c r="T263" s="292"/>
    </row>
    <row r="264" spans="1:20" s="286" customFormat="1" x14ac:dyDescent="0.25">
      <c r="A264" s="299">
        <f>'A) Base RI'!A265</f>
        <v>5856</v>
      </c>
      <c r="B264" s="299" t="str">
        <f>'A) Base RI'!B265</f>
        <v>Essertines-sur-Rolle</v>
      </c>
      <c r="C264" s="316">
        <v>0</v>
      </c>
      <c r="D264" s="288">
        <f>'B) D RI'!AR265</f>
        <v>700</v>
      </c>
      <c r="E264" s="289">
        <f>'B) D RI'!S265</f>
        <v>68</v>
      </c>
      <c r="F264" s="14">
        <f>'B) D RI'!R265</f>
        <v>1956105.4353846158</v>
      </c>
      <c r="G264" s="14">
        <f>'B) D RI'!U265</f>
        <v>28766.256402714938</v>
      </c>
      <c r="H264" s="52">
        <f>'B) D RI'!T265</f>
        <v>1786580.8200000003</v>
      </c>
      <c r="I264" s="14">
        <f t="shared" si="50"/>
        <v>52546.49470588236</v>
      </c>
      <c r="J264" s="41">
        <f t="shared" si="46"/>
        <v>59260.343463352998</v>
      </c>
      <c r="K264" s="14">
        <f t="shared" si="47"/>
        <v>52546.49470588236</v>
      </c>
      <c r="L264" s="14">
        <f t="shared" si="51"/>
        <v>6713.8487574706378</v>
      </c>
      <c r="M264" s="14">
        <f>'D) Ecrêtage'!M263</f>
        <v>28766.256402714938</v>
      </c>
      <c r="N264" s="14">
        <f t="shared" si="48"/>
        <v>38617.725480779198</v>
      </c>
      <c r="O264" s="74">
        <f t="shared" si="49"/>
        <v>91164.220186661551</v>
      </c>
      <c r="P264" s="290"/>
      <c r="Q264" s="291"/>
      <c r="R264" s="287"/>
      <c r="S264" s="287"/>
      <c r="T264" s="292"/>
    </row>
    <row r="265" spans="1:20" s="286" customFormat="1" x14ac:dyDescent="0.25">
      <c r="A265" s="299">
        <f>'A) Base RI'!A266</f>
        <v>5857</v>
      </c>
      <c r="B265" s="299" t="str">
        <f>'A) Base RI'!B266</f>
        <v>Gilly</v>
      </c>
      <c r="C265" s="316">
        <v>0</v>
      </c>
      <c r="D265" s="288">
        <f>'B) D RI'!AR266</f>
        <v>1131</v>
      </c>
      <c r="E265" s="289">
        <f>'B) D RI'!S266</f>
        <v>66</v>
      </c>
      <c r="F265" s="14">
        <f>'B) D RI'!R266</f>
        <v>3675864.6399999997</v>
      </c>
      <c r="G265" s="14">
        <f>'B) D RI'!U266</f>
        <v>55694.918787878785</v>
      </c>
      <c r="H265" s="52">
        <f>'B) D RI'!T266</f>
        <v>3357673.8899999997</v>
      </c>
      <c r="I265" s="14">
        <f t="shared" si="50"/>
        <v>101747.69363636362</v>
      </c>
      <c r="J265" s="41">
        <f t="shared" si="46"/>
        <v>95747.783510074631</v>
      </c>
      <c r="K265" s="14">
        <f t="shared" si="47"/>
        <v>95747.783510074631</v>
      </c>
      <c r="L265" s="14">
        <f t="shared" si="51"/>
        <v>0</v>
      </c>
      <c r="M265" s="14">
        <f>'D) Ecrêtage'!M264</f>
        <v>55694.918787878785</v>
      </c>
      <c r="N265" s="14">
        <f t="shared" si="48"/>
        <v>74768.543195686827</v>
      </c>
      <c r="O265" s="74">
        <f t="shared" si="49"/>
        <v>170516.32670576146</v>
      </c>
      <c r="P265" s="290"/>
      <c r="Q265" s="291"/>
      <c r="R265" s="287"/>
      <c r="S265" s="287"/>
      <c r="T265" s="292"/>
    </row>
    <row r="266" spans="1:20" s="286" customFormat="1" x14ac:dyDescent="0.25">
      <c r="A266" s="299">
        <f>'A) Base RI'!A267</f>
        <v>5858</v>
      </c>
      <c r="B266" s="299" t="str">
        <f>'A) Base RI'!B267</f>
        <v>Luins</v>
      </c>
      <c r="C266" s="316">
        <v>0</v>
      </c>
      <c r="D266" s="288">
        <f>'B) D RI'!AR267</f>
        <v>633</v>
      </c>
      <c r="E266" s="289">
        <f>'B) D RI'!S267</f>
        <v>60</v>
      </c>
      <c r="F266" s="14">
        <f>'B) D RI'!R267</f>
        <v>2015674.2966666666</v>
      </c>
      <c r="G266" s="14">
        <f>'B) D RI'!U267</f>
        <v>33594.571611111111</v>
      </c>
      <c r="H266" s="52">
        <f>'B) D RI'!T267</f>
        <v>1875202.03</v>
      </c>
      <c r="I266" s="14">
        <f t="shared" si="50"/>
        <v>62506.734333333334</v>
      </c>
      <c r="J266" s="41">
        <f t="shared" si="46"/>
        <v>53588.282017574929</v>
      </c>
      <c r="K266" s="14">
        <f t="shared" si="47"/>
        <v>53588.282017574929</v>
      </c>
      <c r="L266" s="14">
        <f t="shared" si="51"/>
        <v>0</v>
      </c>
      <c r="M266" s="14">
        <f>'D) Ecrêtage'!M265</f>
        <v>33594.571611111111</v>
      </c>
      <c r="N266" s="14">
        <f t="shared" si="48"/>
        <v>45099.575209231065</v>
      </c>
      <c r="O266" s="74">
        <f t="shared" si="49"/>
        <v>98687.857226805994</v>
      </c>
      <c r="P266" s="290"/>
      <c r="Q266" s="291"/>
      <c r="R266" s="287"/>
      <c r="S266" s="287"/>
      <c r="T266" s="292"/>
    </row>
    <row r="267" spans="1:20" s="286" customFormat="1" x14ac:dyDescent="0.25">
      <c r="A267" s="299">
        <f>'A) Base RI'!A268</f>
        <v>5859</v>
      </c>
      <c r="B267" s="299" t="str">
        <f>'A) Base RI'!B268</f>
        <v>Mont-sur-Rolle</v>
      </c>
      <c r="C267" s="316">
        <v>0</v>
      </c>
      <c r="D267" s="288">
        <f>'B) D RI'!AR268</f>
        <v>2594</v>
      </c>
      <c r="E267" s="289">
        <f>'B) D RI'!S268</f>
        <v>63</v>
      </c>
      <c r="F267" s="14">
        <f>'B) D RI'!R268</f>
        <v>9300538.1699999981</v>
      </c>
      <c r="G267" s="14">
        <f>'B) D RI'!U268</f>
        <v>147627.58999999997</v>
      </c>
      <c r="H267" s="52">
        <f>'B) D RI'!T268</f>
        <v>8694254.9199999981</v>
      </c>
      <c r="I267" s="14">
        <f t="shared" si="50"/>
        <v>276008.09269841266</v>
      </c>
      <c r="J267" s="41">
        <f t="shared" si="46"/>
        <v>219601.90134848241</v>
      </c>
      <c r="K267" s="14">
        <f t="shared" si="47"/>
        <v>219601.90134848241</v>
      </c>
      <c r="L267" s="14">
        <f t="shared" si="51"/>
        <v>0</v>
      </c>
      <c r="M267" s="14">
        <f>'D) Ecrêtage'!M266</f>
        <v>146179.99827943172</v>
      </c>
      <c r="N267" s="14">
        <f t="shared" si="48"/>
        <v>196241.6994865931</v>
      </c>
      <c r="O267" s="74">
        <f t="shared" si="49"/>
        <v>415843.60083507549</v>
      </c>
      <c r="P267" s="290"/>
      <c r="Q267" s="291"/>
      <c r="R267" s="287"/>
      <c r="S267" s="287"/>
      <c r="T267" s="292"/>
    </row>
    <row r="268" spans="1:20" s="286" customFormat="1" x14ac:dyDescent="0.25">
      <c r="A268" s="299">
        <f>'A) Base RI'!A269</f>
        <v>5860</v>
      </c>
      <c r="B268" s="299" t="str">
        <f>'A) Base RI'!B269</f>
        <v>Perroy</v>
      </c>
      <c r="C268" s="316">
        <v>0</v>
      </c>
      <c r="D268" s="288">
        <f>'B) D RI'!AR269</f>
        <v>1464</v>
      </c>
      <c r="E268" s="289">
        <f>'B) D RI'!S269</f>
        <v>60</v>
      </c>
      <c r="F268" s="14">
        <f>'B) D RI'!R269</f>
        <v>5294503.902307692</v>
      </c>
      <c r="G268" s="14">
        <f>'B) D RI'!U269</f>
        <v>88241.731705128201</v>
      </c>
      <c r="H268" s="52">
        <f>'B) D RI'!T269</f>
        <v>4879704.71</v>
      </c>
      <c r="I268" s="14">
        <f t="shared" si="50"/>
        <v>162656.82366666666</v>
      </c>
      <c r="J268" s="41">
        <f t="shared" si="46"/>
        <v>123938.77547192684</v>
      </c>
      <c r="K268" s="14">
        <f t="shared" si="47"/>
        <v>123938.77547192684</v>
      </c>
      <c r="L268" s="14">
        <f t="shared" si="51"/>
        <v>0</v>
      </c>
      <c r="M268" s="14">
        <f>'D) Ecrêtage'!M267</f>
        <v>86272.578588259305</v>
      </c>
      <c r="N268" s="14">
        <f t="shared" si="48"/>
        <v>115818.01642169568</v>
      </c>
      <c r="O268" s="74">
        <f t="shared" si="49"/>
        <v>239756.79189362252</v>
      </c>
      <c r="P268" s="290"/>
      <c r="Q268" s="291"/>
      <c r="R268" s="287"/>
      <c r="S268" s="287"/>
      <c r="T268" s="292"/>
    </row>
    <row r="269" spans="1:20" s="286" customFormat="1" x14ac:dyDescent="0.25">
      <c r="A269" s="299">
        <f>'A) Base RI'!A270</f>
        <v>5861</v>
      </c>
      <c r="B269" s="299" t="str">
        <f>'A) Base RI'!B270</f>
        <v>Rolle</v>
      </c>
      <c r="C269" s="316">
        <v>0</v>
      </c>
      <c r="D269" s="288">
        <f>'B) D RI'!AR270</f>
        <v>6047</v>
      </c>
      <c r="E269" s="289">
        <f>'B) D RI'!S270</f>
        <v>59.5</v>
      </c>
      <c r="F269" s="14">
        <f>'B) D RI'!R270</f>
        <v>32674763.999999996</v>
      </c>
      <c r="G269" s="14">
        <f>'B) D RI'!U270</f>
        <v>549155.69747899158</v>
      </c>
      <c r="H269" s="52">
        <f>'B) D RI'!T270</f>
        <v>30794499.099999998</v>
      </c>
      <c r="I269" s="14">
        <f t="shared" si="50"/>
        <v>1035109.2134453781</v>
      </c>
      <c r="J269" s="41">
        <f t="shared" si="46"/>
        <v>511924.70988985087</v>
      </c>
      <c r="K269" s="14">
        <f t="shared" si="47"/>
        <v>511924.70988985087</v>
      </c>
      <c r="L269" s="14">
        <f t="shared" si="51"/>
        <v>0</v>
      </c>
      <c r="M269" s="14">
        <f>'D) Ecrêtage'!M268</f>
        <v>488902.60055099864</v>
      </c>
      <c r="N269" s="14">
        <f t="shared" si="48"/>
        <v>656335.19185122766</v>
      </c>
      <c r="O269" s="74">
        <f t="shared" si="49"/>
        <v>1168259.9017410786</v>
      </c>
      <c r="P269" s="290"/>
      <c r="Q269" s="291"/>
      <c r="R269" s="287"/>
      <c r="S269" s="287"/>
      <c r="T269" s="292"/>
    </row>
    <row r="270" spans="1:20" s="286" customFormat="1" x14ac:dyDescent="0.25">
      <c r="A270" s="299">
        <f>'A) Base RI'!A271</f>
        <v>5862</v>
      </c>
      <c r="B270" s="299" t="str">
        <f>'A) Base RI'!B271</f>
        <v>Tartegnin</v>
      </c>
      <c r="C270" s="316">
        <v>0</v>
      </c>
      <c r="D270" s="288">
        <f>'B) D RI'!AR271</f>
        <v>230</v>
      </c>
      <c r="E270" s="289">
        <f>'B) D RI'!S271</f>
        <v>84</v>
      </c>
      <c r="F270" s="14">
        <f>'B) D RI'!R271</f>
        <v>839232.77333333332</v>
      </c>
      <c r="G270" s="14">
        <f>'B) D RI'!U271</f>
        <v>9990.8663492063497</v>
      </c>
      <c r="H270" s="52">
        <f>'B) D RI'!T271</f>
        <v>794393.94</v>
      </c>
      <c r="I270" s="14">
        <f t="shared" si="50"/>
        <v>18914.141428571427</v>
      </c>
      <c r="J270" s="41">
        <f t="shared" si="46"/>
        <v>19471.255709387413</v>
      </c>
      <c r="K270" s="14">
        <f t="shared" si="47"/>
        <v>18914.141428571427</v>
      </c>
      <c r="L270" s="14">
        <f t="shared" si="51"/>
        <v>557.11428081598569</v>
      </c>
      <c r="M270" s="14">
        <f>'D) Ecrêtage'!M269</f>
        <v>9990.8663492063497</v>
      </c>
      <c r="N270" s="14">
        <f t="shared" si="48"/>
        <v>13412.399882258982</v>
      </c>
      <c r="O270" s="74">
        <f t="shared" si="49"/>
        <v>32326.541310830409</v>
      </c>
      <c r="P270" s="290"/>
      <c r="Q270" s="291"/>
      <c r="R270" s="287"/>
      <c r="S270" s="287"/>
      <c r="T270" s="292"/>
    </row>
    <row r="271" spans="1:20" s="286" customFormat="1" x14ac:dyDescent="0.25">
      <c r="A271" s="299">
        <f>'A) Base RI'!A272</f>
        <v>5863</v>
      </c>
      <c r="B271" s="299" t="str">
        <f>'A) Base RI'!B272</f>
        <v>Vinzel</v>
      </c>
      <c r="C271" s="316">
        <v>0</v>
      </c>
      <c r="D271" s="288">
        <f>'B) D RI'!AR272</f>
        <v>349</v>
      </c>
      <c r="E271" s="289">
        <f>'B) D RI'!S272</f>
        <v>70</v>
      </c>
      <c r="F271" s="14">
        <f>'B) D RI'!R272</f>
        <v>1796255.5699999996</v>
      </c>
      <c r="G271" s="14">
        <f>'B) D RI'!U272</f>
        <v>25660.793857142853</v>
      </c>
      <c r="H271" s="52">
        <f>'B) D RI'!T272</f>
        <v>1721772.1699999997</v>
      </c>
      <c r="I271" s="14">
        <f t="shared" si="50"/>
        <v>49193.490571428563</v>
      </c>
      <c r="J271" s="41">
        <f t="shared" si="46"/>
        <v>29545.514098157426</v>
      </c>
      <c r="K271" s="14">
        <f t="shared" si="47"/>
        <v>29545.514098157426</v>
      </c>
      <c r="L271" s="14">
        <f t="shared" si="51"/>
        <v>0</v>
      </c>
      <c r="M271" s="14">
        <f>'D) Ecrêtage'!M270</f>
        <v>23987.326029124335</v>
      </c>
      <c r="N271" s="14">
        <f t="shared" si="48"/>
        <v>32202.17322137357</v>
      </c>
      <c r="O271" s="74">
        <f t="shared" si="49"/>
        <v>61747.687319530996</v>
      </c>
      <c r="P271" s="290"/>
      <c r="Q271" s="291"/>
      <c r="R271" s="287"/>
      <c r="S271" s="287"/>
      <c r="T271" s="292"/>
    </row>
    <row r="272" spans="1:20" s="286" customFormat="1" x14ac:dyDescent="0.25">
      <c r="A272" s="299">
        <f>'A) Base RI'!A273</f>
        <v>5871</v>
      </c>
      <c r="B272" s="299" t="str">
        <f>'A) Base RI'!B273</f>
        <v>L'Abbaye</v>
      </c>
      <c r="C272" s="316">
        <v>0</v>
      </c>
      <c r="D272" s="288">
        <f>'B) D RI'!AR273</f>
        <v>1423</v>
      </c>
      <c r="E272" s="289">
        <f>'B) D RI'!S273</f>
        <v>77.11</v>
      </c>
      <c r="F272" s="14">
        <f>'B) D RI'!R273</f>
        <v>3799257.0999999996</v>
      </c>
      <c r="G272" s="14">
        <f>'B) D RI'!U273</f>
        <v>49270.614706263776</v>
      </c>
      <c r="H272" s="52">
        <f>'B) D RI'!T273</f>
        <v>3568948.8999999994</v>
      </c>
      <c r="I272" s="14">
        <f t="shared" si="50"/>
        <v>92567.731811697566</v>
      </c>
      <c r="J272" s="41">
        <f t="shared" si="46"/>
        <v>120467.81249764474</v>
      </c>
      <c r="K272" s="14">
        <f t="shared" si="47"/>
        <v>92567.731811697566</v>
      </c>
      <c r="L272" s="14">
        <f t="shared" si="51"/>
        <v>27900.080685947178</v>
      </c>
      <c r="M272" s="14">
        <f>'D) Ecrêtage'!M271</f>
        <v>49270.614706263776</v>
      </c>
      <c r="N272" s="14">
        <f t="shared" si="48"/>
        <v>66144.132429277786</v>
      </c>
      <c r="O272" s="74">
        <f t="shared" si="49"/>
        <v>158711.86424097535</v>
      </c>
      <c r="P272" s="290"/>
      <c r="Q272" s="291"/>
      <c r="R272" s="287"/>
      <c r="S272" s="287"/>
      <c r="T272" s="292"/>
    </row>
    <row r="273" spans="1:20" s="286" customFormat="1" x14ac:dyDescent="0.25">
      <c r="A273" s="299">
        <f>'A) Base RI'!A274</f>
        <v>5872</v>
      </c>
      <c r="B273" s="299" t="str">
        <f>'A) Base RI'!B274</f>
        <v>Le Chenit</v>
      </c>
      <c r="C273" s="316">
        <v>0</v>
      </c>
      <c r="D273" s="288">
        <f>'B) D RI'!AR274</f>
        <v>4614</v>
      </c>
      <c r="E273" s="289">
        <f>'B) D RI'!S274</f>
        <v>69.739999999999995</v>
      </c>
      <c r="F273" s="14">
        <f>'B) D RI'!R274</f>
        <v>21798316.63285714</v>
      </c>
      <c r="G273" s="14">
        <f>'B) D RI'!U274</f>
        <v>312565.48082674423</v>
      </c>
      <c r="H273" s="52">
        <f>'B) D RI'!T274</f>
        <v>21115887.989999998</v>
      </c>
      <c r="I273" s="14">
        <f t="shared" si="50"/>
        <v>605560.30943504442</v>
      </c>
      <c r="J273" s="41">
        <f t="shared" si="46"/>
        <v>390610.32105701533</v>
      </c>
      <c r="K273" s="14">
        <f t="shared" si="47"/>
        <v>390610.32105701533</v>
      </c>
      <c r="L273" s="14">
        <f t="shared" si="51"/>
        <v>0</v>
      </c>
      <c r="M273" s="14">
        <f>'D) Ecrêtage'!M272</f>
        <v>298295.92842205171</v>
      </c>
      <c r="N273" s="14">
        <f t="shared" si="48"/>
        <v>400452.18656779238</v>
      </c>
      <c r="O273" s="74">
        <f t="shared" si="49"/>
        <v>791062.50762480777</v>
      </c>
      <c r="P273" s="290"/>
      <c r="Q273" s="291"/>
      <c r="R273" s="287"/>
      <c r="S273" s="287"/>
      <c r="T273" s="292"/>
    </row>
    <row r="274" spans="1:20" s="286" customFormat="1" x14ac:dyDescent="0.25">
      <c r="A274" s="299">
        <f>'A) Base RI'!A275</f>
        <v>5873</v>
      </c>
      <c r="B274" s="299" t="str">
        <f>'A) Base RI'!B275</f>
        <v>Le Lieu</v>
      </c>
      <c r="C274" s="316">
        <v>0</v>
      </c>
      <c r="D274" s="288">
        <f>'B) D RI'!AR275</f>
        <v>859</v>
      </c>
      <c r="E274" s="289">
        <f>'B) D RI'!S275</f>
        <v>65</v>
      </c>
      <c r="F274" s="14">
        <f>'B) D RI'!R275</f>
        <v>2333926.2999999998</v>
      </c>
      <c r="G274" s="14">
        <f>'B) D RI'!U275</f>
        <v>35906.558461538458</v>
      </c>
      <c r="H274" s="52">
        <f>'B) D RI'!T275</f>
        <v>2115558.2999999998</v>
      </c>
      <c r="I274" s="14">
        <f t="shared" si="50"/>
        <v>65094.101538461531</v>
      </c>
      <c r="J274" s="41">
        <f t="shared" si="46"/>
        <v>72720.907192886036</v>
      </c>
      <c r="K274" s="14">
        <f t="shared" si="47"/>
        <v>65094.101538461531</v>
      </c>
      <c r="L274" s="14">
        <f t="shared" si="51"/>
        <v>7626.8056544245046</v>
      </c>
      <c r="M274" s="14">
        <f>'D) Ecrêtage'!M273</f>
        <v>35906.558461538458</v>
      </c>
      <c r="N274" s="14">
        <f t="shared" si="48"/>
        <v>48203.339295007208</v>
      </c>
      <c r="O274" s="74">
        <f t="shared" si="49"/>
        <v>113297.44083346875</v>
      </c>
      <c r="P274" s="290"/>
      <c r="Q274" s="291"/>
      <c r="R274" s="287"/>
      <c r="S274" s="287"/>
      <c r="T274" s="292"/>
    </row>
    <row r="275" spans="1:20" s="286" customFormat="1" x14ac:dyDescent="0.25">
      <c r="A275" s="299">
        <f>'A) Base RI'!A276</f>
        <v>5881</v>
      </c>
      <c r="B275" s="299" t="str">
        <f>'A) Base RI'!B276</f>
        <v>Blonay</v>
      </c>
      <c r="C275" s="316">
        <v>1</v>
      </c>
      <c r="D275" s="288">
        <f>'B) D RI'!AR276</f>
        <v>6132</v>
      </c>
      <c r="E275" s="289">
        <f>'B) D RI'!S276</f>
        <v>70</v>
      </c>
      <c r="F275" s="14">
        <f>'B) D RI'!R276</f>
        <v>24521186.38000001</v>
      </c>
      <c r="G275" s="14">
        <f>'B) D RI'!U276</f>
        <v>350302.66257142869</v>
      </c>
      <c r="H275" s="52">
        <f>'B) D RI'!T276</f>
        <v>22943684.530000009</v>
      </c>
      <c r="I275" s="14">
        <f t="shared" si="50"/>
        <v>655533.84371428599</v>
      </c>
      <c r="J275" s="41">
        <f t="shared" si="46"/>
        <v>519120.60873897228</v>
      </c>
      <c r="K275" s="14">
        <f t="shared" si="47"/>
        <v>0</v>
      </c>
      <c r="L275" s="14">
        <f t="shared" si="51"/>
        <v>519120.60873897228</v>
      </c>
      <c r="M275" s="14">
        <f>'D) Ecrêtage'!M274</f>
        <v>346571.01644929632</v>
      </c>
      <c r="N275" s="14">
        <f t="shared" si="48"/>
        <v>465259.8581291372</v>
      </c>
      <c r="O275" s="74">
        <f t="shared" si="49"/>
        <v>465259.8581291372</v>
      </c>
      <c r="P275" s="290"/>
      <c r="Q275" s="291"/>
      <c r="R275" s="287"/>
      <c r="S275" s="287"/>
      <c r="T275" s="292"/>
    </row>
    <row r="276" spans="1:20" s="286" customFormat="1" x14ac:dyDescent="0.25">
      <c r="A276" s="299">
        <f>'A) Base RI'!A277</f>
        <v>5882</v>
      </c>
      <c r="B276" s="299" t="str">
        <f>'A) Base RI'!B277</f>
        <v>Chardonne</v>
      </c>
      <c r="C276" s="316">
        <v>1</v>
      </c>
      <c r="D276" s="288">
        <f>'B) D RI'!AR277</f>
        <v>2889</v>
      </c>
      <c r="E276" s="289">
        <f>'B) D RI'!S277</f>
        <v>66</v>
      </c>
      <c r="F276" s="14">
        <f>'B) D RI'!R277</f>
        <v>10749700.369999999</v>
      </c>
      <c r="G276" s="14">
        <f>'B) D RI'!U277</f>
        <v>162874.24803030302</v>
      </c>
      <c r="H276" s="52">
        <f>'B) D RI'!T277</f>
        <v>9926668.6199999992</v>
      </c>
      <c r="I276" s="14">
        <f t="shared" si="50"/>
        <v>300808.13999999996</v>
      </c>
      <c r="J276" s="41">
        <f t="shared" si="46"/>
        <v>244575.90323660974</v>
      </c>
      <c r="K276" s="14">
        <f t="shared" si="47"/>
        <v>0</v>
      </c>
      <c r="L276" s="14">
        <f t="shared" si="51"/>
        <v>244575.90323660974</v>
      </c>
      <c r="M276" s="14">
        <f>'D) Ecrêtage'!M275</f>
        <v>161622.89090586835</v>
      </c>
      <c r="N276" s="14">
        <f t="shared" si="48"/>
        <v>216973.26009454884</v>
      </c>
      <c r="O276" s="74">
        <f t="shared" si="49"/>
        <v>216973.26009454884</v>
      </c>
      <c r="P276" s="290"/>
      <c r="Q276" s="291"/>
      <c r="R276" s="287"/>
      <c r="S276" s="287"/>
      <c r="T276" s="292"/>
    </row>
    <row r="277" spans="1:20" s="286" customFormat="1" x14ac:dyDescent="0.25">
      <c r="A277" s="299">
        <f>'A) Base RI'!A278</f>
        <v>5883</v>
      </c>
      <c r="B277" s="299" t="str">
        <f>'A) Base RI'!B278</f>
        <v>Corseaux</v>
      </c>
      <c r="C277" s="316">
        <v>1</v>
      </c>
      <c r="D277" s="288">
        <f>'B) D RI'!AR278</f>
        <v>2172</v>
      </c>
      <c r="E277" s="289">
        <f>'B) D RI'!S278</f>
        <v>64</v>
      </c>
      <c r="F277" s="14">
        <f>'B) D RI'!R278</f>
        <v>9242755.4600000009</v>
      </c>
      <c r="G277" s="14">
        <f>'B) D RI'!U278</f>
        <v>144418.05406250001</v>
      </c>
      <c r="H277" s="52">
        <f>'B) D RI'!T278</f>
        <v>8640799.4100000001</v>
      </c>
      <c r="I277" s="14">
        <f t="shared" si="50"/>
        <v>270024.9815625</v>
      </c>
      <c r="J277" s="41">
        <f t="shared" ref="J277:J308" si="52">+$I$315/$D$315*D277</f>
        <v>183876.38000343245</v>
      </c>
      <c r="K277" s="14">
        <f t="shared" si="47"/>
        <v>0</v>
      </c>
      <c r="L277" s="14">
        <f t="shared" si="51"/>
        <v>183876.38000343245</v>
      </c>
      <c r="M277" s="14">
        <f>'D) Ecrêtage'!M276</f>
        <v>138337.12769454491</v>
      </c>
      <c r="N277" s="14">
        <f t="shared" si="48"/>
        <v>185712.9112081207</v>
      </c>
      <c r="O277" s="74">
        <f t="shared" si="49"/>
        <v>185712.9112081207</v>
      </c>
      <c r="P277" s="290"/>
      <c r="Q277" s="291"/>
      <c r="R277" s="287"/>
      <c r="S277" s="287"/>
      <c r="T277" s="292"/>
    </row>
    <row r="278" spans="1:20" s="286" customFormat="1" x14ac:dyDescent="0.25">
      <c r="A278" s="299">
        <f>'A) Base RI'!A279</f>
        <v>5884</v>
      </c>
      <c r="B278" s="299" t="str">
        <f>'A) Base RI'!B279</f>
        <v>Corsier-sur-Vevey</v>
      </c>
      <c r="C278" s="316">
        <v>1</v>
      </c>
      <c r="D278" s="288">
        <f>'B) D RI'!AR279</f>
        <v>3427</v>
      </c>
      <c r="E278" s="289">
        <f>'B) D RI'!S279</f>
        <v>66</v>
      </c>
      <c r="F278" s="14">
        <f>'B) D RI'!R279</f>
        <v>8737075.5633333325</v>
      </c>
      <c r="G278" s="14">
        <f>'B) D RI'!U279</f>
        <v>132379.93277777778</v>
      </c>
      <c r="H278" s="52">
        <f>'B) D RI'!T279</f>
        <v>7837918.9799999995</v>
      </c>
      <c r="I278" s="14">
        <f t="shared" si="50"/>
        <v>237512.69636363635</v>
      </c>
      <c r="J278" s="41">
        <f t="shared" si="52"/>
        <v>290121.7100698725</v>
      </c>
      <c r="K278" s="14">
        <f t="shared" si="47"/>
        <v>0</v>
      </c>
      <c r="L278" s="14">
        <f t="shared" si="51"/>
        <v>290121.7100698725</v>
      </c>
      <c r="M278" s="14">
        <f>'D) Ecrêtage'!M277</f>
        <v>132379.93277777778</v>
      </c>
      <c r="N278" s="14">
        <f t="shared" si="48"/>
        <v>177715.57868384081</v>
      </c>
      <c r="O278" s="74">
        <f t="shared" si="49"/>
        <v>177715.57868384081</v>
      </c>
      <c r="P278" s="290"/>
      <c r="Q278" s="291"/>
      <c r="R278" s="287"/>
      <c r="S278" s="287"/>
      <c r="T278" s="292"/>
    </row>
    <row r="279" spans="1:20" s="286" customFormat="1" x14ac:dyDescent="0.25">
      <c r="A279" s="299">
        <f>'A) Base RI'!A280</f>
        <v>5885</v>
      </c>
      <c r="B279" s="299" t="str">
        <f>'A) Base RI'!B280</f>
        <v>Jongny</v>
      </c>
      <c r="C279" s="316">
        <v>1</v>
      </c>
      <c r="D279" s="288">
        <f>'B) D RI'!AR280</f>
        <v>1493</v>
      </c>
      <c r="E279" s="289">
        <f>'B) D RI'!S280</f>
        <v>69</v>
      </c>
      <c r="F279" s="14">
        <f>'B) D RI'!R280</f>
        <v>9525849.5083333347</v>
      </c>
      <c r="G279" s="14">
        <f>'B) D RI'!U280</f>
        <v>138055.78997584543</v>
      </c>
      <c r="H279" s="52">
        <f>'B) D RI'!T280</f>
        <v>9202438.8000000007</v>
      </c>
      <c r="I279" s="14">
        <f t="shared" si="50"/>
        <v>266737.35652173916</v>
      </c>
      <c r="J279" s="41">
        <f t="shared" si="52"/>
        <v>126393.84684398005</v>
      </c>
      <c r="K279" s="14">
        <f t="shared" si="47"/>
        <v>0</v>
      </c>
      <c r="L279" s="14">
        <f t="shared" si="51"/>
        <v>126393.84684398005</v>
      </c>
      <c r="M279" s="14">
        <f>'D) Ecrêtage'!M278</f>
        <v>122286.47437647045</v>
      </c>
      <c r="N279" s="14">
        <f t="shared" si="48"/>
        <v>164165.45244438469</v>
      </c>
      <c r="O279" s="74">
        <f t="shared" si="49"/>
        <v>164165.45244438469</v>
      </c>
      <c r="P279" s="290"/>
      <c r="Q279" s="291"/>
      <c r="R279" s="287"/>
      <c r="S279" s="287"/>
      <c r="T279" s="292"/>
    </row>
    <row r="280" spans="1:20" s="286" customFormat="1" x14ac:dyDescent="0.25">
      <c r="A280" s="299">
        <f>'A) Base RI'!A281</f>
        <v>5886</v>
      </c>
      <c r="B280" s="299" t="str">
        <f>'A) Base RI'!B281</f>
        <v>Montreux</v>
      </c>
      <c r="C280" s="316">
        <v>1</v>
      </c>
      <c r="D280" s="288">
        <f>'B) D RI'!AR281</f>
        <v>26283</v>
      </c>
      <c r="E280" s="289">
        <f>'B) D RI'!S281</f>
        <v>65</v>
      </c>
      <c r="F280" s="14">
        <f>'B) D RI'!R281</f>
        <v>72354447.100000024</v>
      </c>
      <c r="G280" s="14">
        <f>'B) D RI'!U281</f>
        <v>1113145.3400000003</v>
      </c>
      <c r="H280" s="52">
        <f>'B) D RI'!T281</f>
        <v>65608762.610000014</v>
      </c>
      <c r="I280" s="14">
        <f t="shared" si="50"/>
        <v>2018731.1572307697</v>
      </c>
      <c r="J280" s="41">
        <f t="shared" si="52"/>
        <v>2225056.581781867</v>
      </c>
      <c r="K280" s="14">
        <f t="shared" si="47"/>
        <v>0</v>
      </c>
      <c r="L280" s="14">
        <f t="shared" si="51"/>
        <v>2225056.581781867</v>
      </c>
      <c r="M280" s="14">
        <f>'D) Ecrêtage'!M279</f>
        <v>1113145.3400000003</v>
      </c>
      <c r="N280" s="14">
        <f t="shared" si="48"/>
        <v>1494359.9388995066</v>
      </c>
      <c r="O280" s="74">
        <f t="shared" si="49"/>
        <v>1494359.9388995066</v>
      </c>
      <c r="P280" s="290"/>
      <c r="Q280" s="291"/>
      <c r="R280" s="287"/>
      <c r="S280" s="287"/>
      <c r="T280" s="292"/>
    </row>
    <row r="281" spans="1:20" s="286" customFormat="1" x14ac:dyDescent="0.25">
      <c r="A281" s="299">
        <f>'A) Base RI'!A282</f>
        <v>5888</v>
      </c>
      <c r="B281" s="299" t="str">
        <f>'A) Base RI'!B282</f>
        <v>Saint-Légier-La Chiésaz</v>
      </c>
      <c r="C281" s="316">
        <v>1</v>
      </c>
      <c r="D281" s="288">
        <f>'B) D RI'!AR282</f>
        <v>5071</v>
      </c>
      <c r="E281" s="289">
        <f>'B) D RI'!S282</f>
        <v>66</v>
      </c>
      <c r="F281" s="14">
        <f>'B) D RI'!R282</f>
        <v>20681023.989999998</v>
      </c>
      <c r="G281" s="14">
        <f>'B) D RI'!U282</f>
        <v>313348.84833333333</v>
      </c>
      <c r="H281" s="52">
        <f>'B) D RI'!T282</f>
        <v>19312373.989999998</v>
      </c>
      <c r="I281" s="14">
        <f t="shared" si="50"/>
        <v>585223.45424242422</v>
      </c>
      <c r="J281" s="41">
        <f t="shared" si="52"/>
        <v>429298.85957523296</v>
      </c>
      <c r="K281" s="14">
        <f t="shared" si="47"/>
        <v>0</v>
      </c>
      <c r="L281" s="14">
        <f t="shared" si="51"/>
        <v>429298.85957523296</v>
      </c>
      <c r="M281" s="14">
        <f>'D) Ecrêtage'!M280</f>
        <v>304726.92463337898</v>
      </c>
      <c r="N281" s="14">
        <f t="shared" si="48"/>
        <v>409085.58129181108</v>
      </c>
      <c r="O281" s="74">
        <f t="shared" si="49"/>
        <v>409085.58129181108</v>
      </c>
      <c r="P281" s="290"/>
      <c r="Q281" s="291"/>
      <c r="R281" s="287"/>
      <c r="S281" s="287"/>
      <c r="T281" s="292"/>
    </row>
    <row r="282" spans="1:20" s="286" customFormat="1" x14ac:dyDescent="0.25">
      <c r="A282" s="299">
        <f>'A) Base RI'!A283</f>
        <v>5889</v>
      </c>
      <c r="B282" s="299" t="str">
        <f>'A) Base RI'!B283</f>
        <v>La Tour-de-Peilz</v>
      </c>
      <c r="C282" s="316">
        <v>1</v>
      </c>
      <c r="D282" s="288">
        <f>'B) D RI'!AR283</f>
        <v>11421</v>
      </c>
      <c r="E282" s="289">
        <f>'B) D RI'!S283</f>
        <v>64</v>
      </c>
      <c r="F282" s="14">
        <f>'B) D RI'!R283</f>
        <v>37769053.348333336</v>
      </c>
      <c r="G282" s="14">
        <f>'B) D RI'!U283</f>
        <v>590141.45856770838</v>
      </c>
      <c r="H282" s="52">
        <f>'B) D RI'!T283</f>
        <v>35642544.640000001</v>
      </c>
      <c r="I282" s="14">
        <f t="shared" si="50"/>
        <v>1113829.52</v>
      </c>
      <c r="J282" s="41">
        <f t="shared" si="52"/>
        <v>966874.8324213638</v>
      </c>
      <c r="K282" s="14">
        <f t="shared" si="47"/>
        <v>0</v>
      </c>
      <c r="L282" s="14">
        <f t="shared" si="51"/>
        <v>966874.8324213638</v>
      </c>
      <c r="M282" s="14">
        <f>'D) Ecrêtage'!M281</f>
        <v>590141.45856770838</v>
      </c>
      <c r="N282" s="14">
        <f t="shared" si="48"/>
        <v>792244.93179597391</v>
      </c>
      <c r="O282" s="74">
        <f t="shared" si="49"/>
        <v>792244.93179597391</v>
      </c>
      <c r="P282" s="290"/>
      <c r="Q282" s="291"/>
      <c r="R282" s="287"/>
      <c r="S282" s="287"/>
      <c r="T282" s="292"/>
    </row>
    <row r="283" spans="1:20" s="286" customFormat="1" x14ac:dyDescent="0.25">
      <c r="A283" s="299">
        <f>'A) Base RI'!A284</f>
        <v>5890</v>
      </c>
      <c r="B283" s="299" t="str">
        <f>'A) Base RI'!B284</f>
        <v>Vevey</v>
      </c>
      <c r="C283" s="316">
        <v>1</v>
      </c>
      <c r="D283" s="288">
        <f>'B) D RI'!AR284</f>
        <v>19217</v>
      </c>
      <c r="E283" s="289">
        <f>'B) D RI'!S284</f>
        <v>73</v>
      </c>
      <c r="F283" s="14">
        <f>'B) D RI'!R284</f>
        <v>67317365.61500001</v>
      </c>
      <c r="G283" s="14">
        <f>'B) D RI'!U284</f>
        <v>922155.6933561645</v>
      </c>
      <c r="H283" s="52">
        <f>'B) D RI'!T284</f>
        <v>63656651.99000001</v>
      </c>
      <c r="I283" s="14">
        <f t="shared" si="50"/>
        <v>1744017.8627397262</v>
      </c>
      <c r="J283" s="41">
        <f t="shared" si="52"/>
        <v>1626865.743336078</v>
      </c>
      <c r="K283" s="14">
        <f t="shared" si="47"/>
        <v>0</v>
      </c>
      <c r="L283" s="14">
        <f t="shared" si="51"/>
        <v>1626865.743336078</v>
      </c>
      <c r="M283" s="14">
        <f>'D) Ecrêtage'!M282</f>
        <v>922155.6933561645</v>
      </c>
      <c r="N283" s="14">
        <f t="shared" si="48"/>
        <v>1237962.8032935481</v>
      </c>
      <c r="O283" s="74">
        <f t="shared" si="49"/>
        <v>1237962.8032935481</v>
      </c>
      <c r="P283" s="290"/>
      <c r="Q283" s="291"/>
      <c r="R283" s="287"/>
      <c r="S283" s="287"/>
      <c r="T283" s="292"/>
    </row>
    <row r="284" spans="1:20" s="286" customFormat="1" x14ac:dyDescent="0.25">
      <c r="A284" s="299">
        <f>'A) Base RI'!A285</f>
        <v>5891</v>
      </c>
      <c r="B284" s="299" t="str">
        <f>'A) Base RI'!B285</f>
        <v>Veytaux</v>
      </c>
      <c r="C284" s="316">
        <v>1</v>
      </c>
      <c r="D284" s="288">
        <f>'B) D RI'!AR285</f>
        <v>854</v>
      </c>
      <c r="E284" s="289">
        <f>'B) D RI'!S285</f>
        <v>69</v>
      </c>
      <c r="F284" s="14">
        <f>'B) D RI'!R285</f>
        <v>2570901.6966666668</v>
      </c>
      <c r="G284" s="14">
        <f>'B) D RI'!U285</f>
        <v>37259.444879227056</v>
      </c>
      <c r="H284" s="52">
        <f>'B) D RI'!T285</f>
        <v>2333902.0300000003</v>
      </c>
      <c r="I284" s="14">
        <f t="shared" si="50"/>
        <v>67649.334202898564</v>
      </c>
      <c r="J284" s="41">
        <f t="shared" si="52"/>
        <v>72297.619025290667</v>
      </c>
      <c r="K284" s="14">
        <f t="shared" si="47"/>
        <v>0</v>
      </c>
      <c r="L284" s="14">
        <f t="shared" si="51"/>
        <v>72297.619025290667</v>
      </c>
      <c r="M284" s="14">
        <f>'D) Ecrêtage'!M283</f>
        <v>37259.444879227056</v>
      </c>
      <c r="N284" s="14">
        <f t="shared" si="48"/>
        <v>50019.543515450787</v>
      </c>
      <c r="O284" s="74">
        <f t="shared" si="49"/>
        <v>50019.543515450787</v>
      </c>
      <c r="P284" s="290"/>
      <c r="Q284" s="291"/>
      <c r="R284" s="287"/>
      <c r="S284" s="287"/>
      <c r="T284" s="292"/>
    </row>
    <row r="285" spans="1:20" s="286" customFormat="1" x14ac:dyDescent="0.25">
      <c r="A285" s="299">
        <f>'A) Base RI'!A286</f>
        <v>5902</v>
      </c>
      <c r="B285" s="299" t="str">
        <f>'A) Base RI'!B286</f>
        <v>Belmont-sur-Yverdon</v>
      </c>
      <c r="C285" s="316">
        <v>0</v>
      </c>
      <c r="D285" s="288">
        <f>'B) D RI'!AR286</f>
        <v>369</v>
      </c>
      <c r="E285" s="289">
        <f>'B) D RI'!S286</f>
        <v>76</v>
      </c>
      <c r="F285" s="14">
        <f>'B) D RI'!R286</f>
        <v>656809.08000000007</v>
      </c>
      <c r="G285" s="14">
        <f>'B) D RI'!U286</f>
        <v>8642.2247368421067</v>
      </c>
      <c r="H285" s="52">
        <f>'B) D RI'!T286</f>
        <v>608142.28</v>
      </c>
      <c r="I285" s="14">
        <f t="shared" si="50"/>
        <v>16003.744210526316</v>
      </c>
      <c r="J285" s="41">
        <f t="shared" si="52"/>
        <v>31238.66676853894</v>
      </c>
      <c r="K285" s="14">
        <f t="shared" si="47"/>
        <v>16003.744210526316</v>
      </c>
      <c r="L285" s="14">
        <f t="shared" si="51"/>
        <v>15234.922558012624</v>
      </c>
      <c r="M285" s="14">
        <f>'D) Ecrêtage'!M284</f>
        <v>8642.2247368421067</v>
      </c>
      <c r="N285" s="14">
        <f t="shared" si="48"/>
        <v>11601.894169276378</v>
      </c>
      <c r="O285" s="74">
        <f t="shared" si="49"/>
        <v>27605.638379802695</v>
      </c>
      <c r="P285" s="290"/>
      <c r="Q285" s="291"/>
      <c r="R285" s="287"/>
      <c r="S285" s="287"/>
      <c r="T285" s="292"/>
    </row>
    <row r="286" spans="1:20" s="286" customFormat="1" x14ac:dyDescent="0.25">
      <c r="A286" s="299">
        <f>'A) Base RI'!A287</f>
        <v>5903</v>
      </c>
      <c r="B286" s="299" t="str">
        <f>'A) Base RI'!B287</f>
        <v>Bioley-Magnoux</v>
      </c>
      <c r="C286" s="316">
        <v>0</v>
      </c>
      <c r="D286" s="288">
        <f>'B) D RI'!AR287</f>
        <v>201</v>
      </c>
      <c r="E286" s="289">
        <f>'B) D RI'!S287</f>
        <v>74</v>
      </c>
      <c r="F286" s="14">
        <f>'B) D RI'!R287</f>
        <v>447443.01</v>
      </c>
      <c r="G286" s="14">
        <f>'B) D RI'!U287</f>
        <v>6046.5271621621623</v>
      </c>
      <c r="H286" s="52">
        <f>'B) D RI'!T287</f>
        <v>417599.51</v>
      </c>
      <c r="I286" s="14">
        <f t="shared" si="50"/>
        <v>11286.473243243243</v>
      </c>
      <c r="J286" s="41">
        <f t="shared" si="52"/>
        <v>17016.18433733422</v>
      </c>
      <c r="K286" s="14">
        <f t="shared" si="47"/>
        <v>11286.473243243243</v>
      </c>
      <c r="L286" s="14">
        <f t="shared" si="51"/>
        <v>5729.711094090977</v>
      </c>
      <c r="M286" s="14">
        <f>'D) Ecrêtage'!M285</f>
        <v>6046.5271621621623</v>
      </c>
      <c r="N286" s="14">
        <f t="shared" si="48"/>
        <v>8117.2580398197179</v>
      </c>
      <c r="O286" s="74">
        <f t="shared" si="49"/>
        <v>19403.73128306296</v>
      </c>
      <c r="P286" s="290"/>
      <c r="Q286" s="291"/>
      <c r="R286" s="287"/>
      <c r="S286" s="287"/>
      <c r="T286" s="292"/>
    </row>
    <row r="287" spans="1:20" s="286" customFormat="1" x14ac:dyDescent="0.25">
      <c r="A287" s="299">
        <f>'A) Base RI'!A288</f>
        <v>5904</v>
      </c>
      <c r="B287" s="299" t="str">
        <f>'A) Base RI'!B288</f>
        <v>Chamblon</v>
      </c>
      <c r="C287" s="316">
        <v>1</v>
      </c>
      <c r="D287" s="288">
        <f>'B) D RI'!AR288</f>
        <v>568</v>
      </c>
      <c r="E287" s="289">
        <f>'B) D RI'!S288</f>
        <v>66</v>
      </c>
      <c r="F287" s="14">
        <f>'B) D RI'!R288</f>
        <v>1331248.68</v>
      </c>
      <c r="G287" s="14">
        <f>'B) D RI'!U288</f>
        <v>20170.434545454544</v>
      </c>
      <c r="H287" s="52">
        <f>'B) D RI'!T288</f>
        <v>1238184.0799999998</v>
      </c>
      <c r="I287" s="14">
        <f t="shared" ref="I287:I314" si="53">+H287/E287*$I$5</f>
        <v>37520.729696969691</v>
      </c>
      <c r="J287" s="41">
        <f t="shared" si="52"/>
        <v>48085.535838835007</v>
      </c>
      <c r="K287" s="14">
        <f t="shared" si="47"/>
        <v>0</v>
      </c>
      <c r="L287" s="14">
        <f t="shared" si="51"/>
        <v>48085.535838835007</v>
      </c>
      <c r="M287" s="14">
        <f>'D) Ecrêtage'!M286</f>
        <v>20170.434545454544</v>
      </c>
      <c r="N287" s="14">
        <f t="shared" si="48"/>
        <v>27078.125606600428</v>
      </c>
      <c r="O287" s="74">
        <f t="shared" si="49"/>
        <v>27078.125606600428</v>
      </c>
      <c r="P287" s="290"/>
      <c r="Q287" s="291"/>
      <c r="R287" s="287"/>
      <c r="S287" s="287"/>
      <c r="T287" s="292"/>
    </row>
    <row r="288" spans="1:20" s="286" customFormat="1" x14ac:dyDescent="0.25">
      <c r="A288" s="299">
        <f>'A) Base RI'!A289</f>
        <v>5905</v>
      </c>
      <c r="B288" s="299" t="str">
        <f>'A) Base RI'!B289</f>
        <v>Champvent</v>
      </c>
      <c r="C288" s="316">
        <v>0</v>
      </c>
      <c r="D288" s="288">
        <f>'B) D RI'!AR289</f>
        <v>617</v>
      </c>
      <c r="E288" s="289">
        <f>'B) D RI'!S289</f>
        <v>71</v>
      </c>
      <c r="F288" s="14">
        <f>'B) D RI'!R289</f>
        <v>1293674.3599999999</v>
      </c>
      <c r="G288" s="14">
        <f>'B) D RI'!U289</f>
        <v>18220.765633802814</v>
      </c>
      <c r="H288" s="52">
        <f>'B) D RI'!T289</f>
        <v>1207795.0599999998</v>
      </c>
      <c r="I288" s="14">
        <f t="shared" si="53"/>
        <v>34022.396056338024</v>
      </c>
      <c r="J288" s="41">
        <f t="shared" si="52"/>
        <v>52233.759881269718</v>
      </c>
      <c r="K288" s="14">
        <f t="shared" si="47"/>
        <v>34022.396056338024</v>
      </c>
      <c r="L288" s="14">
        <f t="shared" si="51"/>
        <v>18211.363824931694</v>
      </c>
      <c r="M288" s="14">
        <f>'D) Ecrêtage'!M287</f>
        <v>18220.765633802814</v>
      </c>
      <c r="N288" s="14">
        <f t="shared" si="48"/>
        <v>24460.761089142048</v>
      </c>
      <c r="O288" s="74">
        <f t="shared" si="49"/>
        <v>58483.157145480072</v>
      </c>
      <c r="P288" s="290"/>
      <c r="Q288" s="291"/>
      <c r="R288" s="287"/>
      <c r="S288" s="287"/>
      <c r="T288" s="292"/>
    </row>
    <row r="289" spans="1:20" s="286" customFormat="1" x14ac:dyDescent="0.25">
      <c r="A289" s="299">
        <f>'A) Base RI'!A290</f>
        <v>5907</v>
      </c>
      <c r="B289" s="299" t="str">
        <f>'A) Base RI'!B290</f>
        <v>Chavannes-le-Chêne</v>
      </c>
      <c r="C289" s="316">
        <v>0</v>
      </c>
      <c r="D289" s="288">
        <f>'B) D RI'!AR290</f>
        <v>278</v>
      </c>
      <c r="E289" s="289">
        <f>'B) D RI'!S290</f>
        <v>78</v>
      </c>
      <c r="F289" s="14">
        <f>'B) D RI'!R290</f>
        <v>542236.32999999996</v>
      </c>
      <c r="G289" s="14">
        <f>'B) D RI'!U290</f>
        <v>6951.74782051282</v>
      </c>
      <c r="H289" s="52">
        <f>'B) D RI'!T290</f>
        <v>504791.73</v>
      </c>
      <c r="I289" s="14">
        <f t="shared" si="53"/>
        <v>12943.377692307691</v>
      </c>
      <c r="J289" s="41">
        <f t="shared" si="52"/>
        <v>23534.822118303047</v>
      </c>
      <c r="K289" s="14">
        <f t="shared" si="47"/>
        <v>12943.377692307691</v>
      </c>
      <c r="L289" s="14">
        <f t="shared" si="51"/>
        <v>10591.444425995356</v>
      </c>
      <c r="M289" s="14">
        <f>'D) Ecrêtage'!M288</f>
        <v>6951.74782051282</v>
      </c>
      <c r="N289" s="14">
        <f t="shared" si="48"/>
        <v>9332.4861318705371</v>
      </c>
      <c r="O289" s="74">
        <f t="shared" si="49"/>
        <v>22275.863824178228</v>
      </c>
      <c r="P289" s="290"/>
      <c r="Q289" s="291"/>
      <c r="R289" s="287"/>
      <c r="S289" s="287"/>
      <c r="T289" s="292"/>
    </row>
    <row r="290" spans="1:20" s="286" customFormat="1" x14ac:dyDescent="0.25">
      <c r="A290" s="299">
        <f>'A) Base RI'!A291</f>
        <v>5908</v>
      </c>
      <c r="B290" s="299" t="str">
        <f>'A) Base RI'!B291</f>
        <v>Chêne-Pâquier</v>
      </c>
      <c r="C290" s="316">
        <v>0</v>
      </c>
      <c r="D290" s="288">
        <f>'B) D RI'!AR291</f>
        <v>125</v>
      </c>
      <c r="E290" s="289">
        <f>'B) D RI'!S291</f>
        <v>79</v>
      </c>
      <c r="F290" s="14">
        <f>'B) D RI'!R291</f>
        <v>229021.14</v>
      </c>
      <c r="G290" s="14">
        <f>'B) D RI'!U291</f>
        <v>2899.0017721518989</v>
      </c>
      <c r="H290" s="52">
        <f>'B) D RI'!T291</f>
        <v>213421.64</v>
      </c>
      <c r="I290" s="14">
        <f t="shared" si="53"/>
        <v>5403.0794936708862</v>
      </c>
      <c r="J290" s="41">
        <f t="shared" si="52"/>
        <v>10582.204189884465</v>
      </c>
      <c r="K290" s="14">
        <f t="shared" si="47"/>
        <v>5403.0794936708862</v>
      </c>
      <c r="L290" s="14">
        <f t="shared" si="51"/>
        <v>5179.1246962135792</v>
      </c>
      <c r="M290" s="14">
        <f>'D) Ecrêtage'!M289</f>
        <v>2899.0017721518989</v>
      </c>
      <c r="N290" s="14">
        <f t="shared" si="48"/>
        <v>3891.8117476936768</v>
      </c>
      <c r="O290" s="74">
        <f t="shared" si="49"/>
        <v>9294.891241364563</v>
      </c>
      <c r="P290" s="290"/>
      <c r="Q290" s="291"/>
      <c r="R290" s="287"/>
      <c r="S290" s="287"/>
      <c r="T290" s="292"/>
    </row>
    <row r="291" spans="1:20" s="286" customFormat="1" x14ac:dyDescent="0.25">
      <c r="A291" s="299">
        <f>'A) Base RI'!A292</f>
        <v>5909</v>
      </c>
      <c r="B291" s="299" t="str">
        <f>'A) Base RI'!B292</f>
        <v>Cheseaux-Noréaz</v>
      </c>
      <c r="C291" s="316">
        <v>1</v>
      </c>
      <c r="D291" s="288">
        <f>'B) D RI'!AR292</f>
        <v>664</v>
      </c>
      <c r="E291" s="289">
        <f>'B) D RI'!S292</f>
        <v>70</v>
      </c>
      <c r="F291" s="14">
        <f>'B) D RI'!R292</f>
        <v>1586329.2700000003</v>
      </c>
      <c r="G291" s="14">
        <f>'B) D RI'!U292</f>
        <v>22661.846714285719</v>
      </c>
      <c r="H291" s="52">
        <f>'B) D RI'!T292</f>
        <v>1444831.5700000003</v>
      </c>
      <c r="I291" s="14">
        <f t="shared" si="53"/>
        <v>41280.902000000009</v>
      </c>
      <c r="J291" s="41">
        <f t="shared" si="52"/>
        <v>56212.668656666276</v>
      </c>
      <c r="K291" s="14">
        <f t="shared" si="47"/>
        <v>0</v>
      </c>
      <c r="L291" s="14">
        <f t="shared" si="51"/>
        <v>56212.668656666276</v>
      </c>
      <c r="M291" s="14">
        <f>'D) Ecrêtage'!M290</f>
        <v>22661.846714285719</v>
      </c>
      <c r="N291" s="14">
        <f t="shared" si="48"/>
        <v>30422.76210877367</v>
      </c>
      <c r="O291" s="74">
        <f t="shared" si="49"/>
        <v>30422.76210877367</v>
      </c>
      <c r="P291" s="290"/>
      <c r="Q291" s="291"/>
      <c r="R291" s="287"/>
      <c r="S291" s="287"/>
      <c r="T291" s="292"/>
    </row>
    <row r="292" spans="1:20" s="286" customFormat="1" x14ac:dyDescent="0.25">
      <c r="A292" s="299">
        <f>'A) Base RI'!A293</f>
        <v>5910</v>
      </c>
      <c r="B292" s="299" t="str">
        <f>'A) Base RI'!B293</f>
        <v>Cronay</v>
      </c>
      <c r="C292" s="316">
        <v>0</v>
      </c>
      <c r="D292" s="288">
        <f>'B) D RI'!AR293</f>
        <v>364</v>
      </c>
      <c r="E292" s="289">
        <f>'B) D RI'!S293</f>
        <v>81</v>
      </c>
      <c r="F292" s="14">
        <f>'B) D RI'!R293</f>
        <v>843190.01</v>
      </c>
      <c r="G292" s="14">
        <f>'B) D RI'!U293</f>
        <v>10409.753209876544</v>
      </c>
      <c r="H292" s="52">
        <f>'B) D RI'!T293</f>
        <v>794160.01</v>
      </c>
      <c r="I292" s="14">
        <f t="shared" si="53"/>
        <v>19608.88913580247</v>
      </c>
      <c r="J292" s="41">
        <f t="shared" si="52"/>
        <v>30815.378600943561</v>
      </c>
      <c r="K292" s="14">
        <f t="shared" si="47"/>
        <v>19608.88913580247</v>
      </c>
      <c r="L292" s="14">
        <f t="shared" si="51"/>
        <v>11206.48946514109</v>
      </c>
      <c r="M292" s="14">
        <f>'D) Ecrêtage'!M291</f>
        <v>10409.753209876544</v>
      </c>
      <c r="N292" s="14">
        <f t="shared" si="48"/>
        <v>13974.741313358103</v>
      </c>
      <c r="O292" s="74">
        <f t="shared" si="49"/>
        <v>33583.63044916057</v>
      </c>
      <c r="P292" s="290"/>
      <c r="Q292" s="291"/>
      <c r="R292" s="287"/>
      <c r="S292" s="287"/>
      <c r="T292" s="292"/>
    </row>
    <row r="293" spans="1:20" s="286" customFormat="1" x14ac:dyDescent="0.25">
      <c r="A293" s="299">
        <f>'A) Base RI'!A294</f>
        <v>5911</v>
      </c>
      <c r="B293" s="299" t="str">
        <f>'A) Base RI'!B294</f>
        <v>Cuarny</v>
      </c>
      <c r="C293" s="316">
        <v>0</v>
      </c>
      <c r="D293" s="288">
        <f>'B) D RI'!AR294</f>
        <v>216</v>
      </c>
      <c r="E293" s="289">
        <f>'B) D RI'!S294</f>
        <v>81</v>
      </c>
      <c r="F293" s="14">
        <f>'B) D RI'!R294</f>
        <v>549473.87</v>
      </c>
      <c r="G293" s="14">
        <f>'B) D RI'!U294</f>
        <v>6783.6280246913584</v>
      </c>
      <c r="H293" s="52">
        <f>'B) D RI'!T294</f>
        <v>524115.52</v>
      </c>
      <c r="I293" s="14">
        <f t="shared" si="53"/>
        <v>12941.123950617284</v>
      </c>
      <c r="J293" s="41">
        <f t="shared" si="52"/>
        <v>18286.048840120355</v>
      </c>
      <c r="K293" s="14">
        <f t="shared" si="47"/>
        <v>12941.123950617284</v>
      </c>
      <c r="L293" s="14">
        <f t="shared" si="51"/>
        <v>5344.9248895030705</v>
      </c>
      <c r="M293" s="14">
        <f>'D) Ecrêtage'!M292</f>
        <v>6783.6280246913584</v>
      </c>
      <c r="N293" s="14">
        <f t="shared" si="48"/>
        <v>9106.7909968475069</v>
      </c>
      <c r="O293" s="74">
        <f t="shared" si="49"/>
        <v>22047.914947464793</v>
      </c>
      <c r="P293" s="290"/>
      <c r="Q293" s="291"/>
      <c r="R293" s="287"/>
      <c r="S293" s="287"/>
      <c r="T293" s="292"/>
    </row>
    <row r="294" spans="1:20" s="286" customFormat="1" x14ac:dyDescent="0.25">
      <c r="A294" s="299">
        <f>'A) Base RI'!A295</f>
        <v>5912</v>
      </c>
      <c r="B294" s="299" t="str">
        <f>'A) Base RI'!B295</f>
        <v>Démoret</v>
      </c>
      <c r="C294" s="316">
        <v>0</v>
      </c>
      <c r="D294" s="288">
        <f>'B) D RI'!AR295</f>
        <v>123</v>
      </c>
      <c r="E294" s="289">
        <f>'B) D RI'!S295</f>
        <v>81</v>
      </c>
      <c r="F294" s="14">
        <f>'B) D RI'!R295</f>
        <v>254874.81</v>
      </c>
      <c r="G294" s="14">
        <f>'B) D RI'!U295</f>
        <v>3146.6025925925924</v>
      </c>
      <c r="H294" s="52">
        <f>'B) D RI'!T295</f>
        <v>239356.11</v>
      </c>
      <c r="I294" s="14">
        <f t="shared" si="53"/>
        <v>5910.0274074074068</v>
      </c>
      <c r="J294" s="41">
        <f t="shared" si="52"/>
        <v>10412.888922846312</v>
      </c>
      <c r="K294" s="14">
        <f t="shared" si="47"/>
        <v>5910.0274074074068</v>
      </c>
      <c r="L294" s="14">
        <f t="shared" si="51"/>
        <v>4502.8615154389054</v>
      </c>
      <c r="M294" s="14">
        <f>'D) Ecrêtage'!M293</f>
        <v>3146.6025925925924</v>
      </c>
      <c r="N294" s="14">
        <f t="shared" si="48"/>
        <v>4224.2074678295776</v>
      </c>
      <c r="O294" s="74">
        <f t="shared" si="49"/>
        <v>10134.234875236983</v>
      </c>
      <c r="P294" s="290"/>
      <c r="Q294" s="291"/>
      <c r="R294" s="287"/>
      <c r="S294" s="287"/>
      <c r="T294" s="292"/>
    </row>
    <row r="295" spans="1:20" s="286" customFormat="1" x14ac:dyDescent="0.25">
      <c r="A295" s="299">
        <f>'A) Base RI'!A296</f>
        <v>5913</v>
      </c>
      <c r="B295" s="299" t="str">
        <f>'A) Base RI'!B296</f>
        <v>Donneloye</v>
      </c>
      <c r="C295" s="316">
        <v>0</v>
      </c>
      <c r="D295" s="288">
        <f>'B) D RI'!AR296</f>
        <v>765</v>
      </c>
      <c r="E295" s="289">
        <f>'B) D RI'!S296</f>
        <v>73</v>
      </c>
      <c r="F295" s="14">
        <f>'B) D RI'!R296</f>
        <v>1687485.4299999997</v>
      </c>
      <c r="G295" s="14">
        <f>'B) D RI'!U296</f>
        <v>23116.238767123283</v>
      </c>
      <c r="H295" s="52">
        <f>'B) D RI'!T296</f>
        <v>1593304.7299999997</v>
      </c>
      <c r="I295" s="14">
        <f t="shared" si="53"/>
        <v>43652.184383561638</v>
      </c>
      <c r="J295" s="41">
        <f t="shared" si="52"/>
        <v>64763.08964209292</v>
      </c>
      <c r="K295" s="14">
        <f t="shared" si="47"/>
        <v>43652.184383561638</v>
      </c>
      <c r="L295" s="14">
        <f t="shared" si="51"/>
        <v>21110.905258531282</v>
      </c>
      <c r="M295" s="14">
        <f>'D) Ecrêtage'!M294</f>
        <v>23116.238767123283</v>
      </c>
      <c r="N295" s="14">
        <f t="shared" si="48"/>
        <v>31032.768058504153</v>
      </c>
      <c r="O295" s="74">
        <f t="shared" si="49"/>
        <v>74684.952442065784</v>
      </c>
      <c r="P295" s="290"/>
      <c r="Q295" s="291"/>
      <c r="R295" s="287"/>
      <c r="S295" s="287"/>
      <c r="T295" s="292"/>
    </row>
    <row r="296" spans="1:20" s="286" customFormat="1" x14ac:dyDescent="0.25">
      <c r="A296" s="299">
        <f>'A) Base RI'!A297</f>
        <v>5914</v>
      </c>
      <c r="B296" s="299" t="str">
        <f>'A) Base RI'!B297</f>
        <v>Ependes</v>
      </c>
      <c r="C296" s="316">
        <v>1</v>
      </c>
      <c r="D296" s="288">
        <f>'B) D RI'!AR297</f>
        <v>345</v>
      </c>
      <c r="E296" s="289">
        <f>'B) D RI'!S297</f>
        <v>75</v>
      </c>
      <c r="F296" s="14">
        <f>'B) D RI'!R297</f>
        <v>656271.92999999982</v>
      </c>
      <c r="G296" s="14">
        <f>'B) D RI'!U297</f>
        <v>8750.2923999999985</v>
      </c>
      <c r="H296" s="52">
        <f>'B) D RI'!T297</f>
        <v>606962.2799999998</v>
      </c>
      <c r="I296" s="14">
        <f t="shared" si="53"/>
        <v>16185.660799999994</v>
      </c>
      <c r="J296" s="41">
        <f t="shared" si="52"/>
        <v>29206.883564081123</v>
      </c>
      <c r="K296" s="14">
        <f t="shared" si="47"/>
        <v>0</v>
      </c>
      <c r="L296" s="14">
        <f t="shared" si="51"/>
        <v>29206.883564081123</v>
      </c>
      <c r="M296" s="14">
        <f>'D) Ecrêtage'!M295</f>
        <v>8750.2923999999985</v>
      </c>
      <c r="N296" s="14">
        <f t="shared" si="48"/>
        <v>11746.971348967612</v>
      </c>
      <c r="O296" s="74">
        <f t="shared" si="49"/>
        <v>11746.971348967612</v>
      </c>
      <c r="P296" s="290"/>
      <c r="Q296" s="291"/>
      <c r="R296" s="287"/>
      <c r="S296" s="287"/>
      <c r="T296" s="292"/>
    </row>
    <row r="297" spans="1:20" s="286" customFormat="1" x14ac:dyDescent="0.25">
      <c r="A297" s="299">
        <f>'A) Base RI'!A298</f>
        <v>5919</v>
      </c>
      <c r="B297" s="299" t="str">
        <f>'A) Base RI'!B298</f>
        <v>Mathod</v>
      </c>
      <c r="C297" s="316">
        <v>1</v>
      </c>
      <c r="D297" s="288">
        <f>'B) D RI'!AR298</f>
        <v>581</v>
      </c>
      <c r="E297" s="289">
        <f>'B) D RI'!S298</f>
        <v>74</v>
      </c>
      <c r="F297" s="14">
        <f>'B) D RI'!R298</f>
        <v>1203293.5649999999</v>
      </c>
      <c r="G297" s="14">
        <f>'B) D RI'!U298</f>
        <v>16260.723851351351</v>
      </c>
      <c r="H297" s="52">
        <f>'B) D RI'!T298</f>
        <v>1112649.94</v>
      </c>
      <c r="I297" s="14">
        <f t="shared" si="53"/>
        <v>30071.62</v>
      </c>
      <c r="J297" s="41">
        <f t="shared" si="52"/>
        <v>49186.085074582988</v>
      </c>
      <c r="K297" s="14">
        <f t="shared" si="47"/>
        <v>0</v>
      </c>
      <c r="L297" s="14">
        <f t="shared" si="51"/>
        <v>49186.085074582988</v>
      </c>
      <c r="M297" s="14">
        <f>'D) Ecrêtage'!M296</f>
        <v>16260.723851351351</v>
      </c>
      <c r="N297" s="14">
        <f t="shared" si="48"/>
        <v>21829.471343757454</v>
      </c>
      <c r="O297" s="74">
        <f t="shared" si="49"/>
        <v>21829.471343757454</v>
      </c>
      <c r="P297" s="290"/>
      <c r="Q297" s="291"/>
      <c r="R297" s="287"/>
      <c r="S297" s="287"/>
      <c r="T297" s="292"/>
    </row>
    <row r="298" spans="1:20" s="286" customFormat="1" x14ac:dyDescent="0.25">
      <c r="A298" s="299">
        <f>'A) Base RI'!A299</f>
        <v>5921</v>
      </c>
      <c r="B298" s="299" t="str">
        <f>'A) Base RI'!B299</f>
        <v>Molondin</v>
      </c>
      <c r="C298" s="316">
        <v>0</v>
      </c>
      <c r="D298" s="288">
        <f>'B) D RI'!AR299</f>
        <v>224</v>
      </c>
      <c r="E298" s="289">
        <f>'B) D RI'!S299</f>
        <v>81</v>
      </c>
      <c r="F298" s="14">
        <f>'B) D RI'!R299</f>
        <v>399501.24</v>
      </c>
      <c r="G298" s="14">
        <f>'B) D RI'!U299</f>
        <v>4932.1140740740739</v>
      </c>
      <c r="H298" s="52">
        <f>'B) D RI'!T299</f>
        <v>372152.69</v>
      </c>
      <c r="I298" s="14">
        <f t="shared" si="53"/>
        <v>9188.9553086419746</v>
      </c>
      <c r="J298" s="41">
        <f t="shared" si="52"/>
        <v>18963.30990827296</v>
      </c>
      <c r="K298" s="14">
        <f t="shared" si="47"/>
        <v>9188.9553086419746</v>
      </c>
      <c r="L298" s="14">
        <f t="shared" si="51"/>
        <v>9774.3545996309858</v>
      </c>
      <c r="M298" s="14">
        <f>'D) Ecrêtage'!M297</f>
        <v>4932.1140740740739</v>
      </c>
      <c r="N298" s="14">
        <f t="shared" si="48"/>
        <v>6621.1961920253179</v>
      </c>
      <c r="O298" s="74">
        <f t="shared" si="49"/>
        <v>15810.151500667293</v>
      </c>
      <c r="P298" s="290"/>
      <c r="Q298" s="291"/>
      <c r="R298" s="287"/>
      <c r="S298" s="287"/>
      <c r="T298" s="292"/>
    </row>
    <row r="299" spans="1:20" s="286" customFormat="1" x14ac:dyDescent="0.25">
      <c r="A299" s="299">
        <f>'A) Base RI'!A300</f>
        <v>5922</v>
      </c>
      <c r="B299" s="299" t="str">
        <f>'A) Base RI'!B300</f>
        <v>Montagny-près-Yverdon</v>
      </c>
      <c r="C299" s="316">
        <v>0</v>
      </c>
      <c r="D299" s="288">
        <f>'B) D RI'!AR300</f>
        <v>713</v>
      </c>
      <c r="E299" s="289">
        <f>'B) D RI'!S300</f>
        <v>61</v>
      </c>
      <c r="F299" s="14">
        <f>'B) D RI'!R300</f>
        <v>3310725.0075000003</v>
      </c>
      <c r="G299" s="14">
        <f>'B) D RI'!U300</f>
        <v>54274.18045081968</v>
      </c>
      <c r="H299" s="52">
        <f>'B) D RI'!T300</f>
        <v>2988320.3200000003</v>
      </c>
      <c r="I299" s="14">
        <f t="shared" si="53"/>
        <v>97977.715409836077</v>
      </c>
      <c r="J299" s="41">
        <f t="shared" si="52"/>
        <v>60360.892699100987</v>
      </c>
      <c r="K299" s="14">
        <f t="shared" si="47"/>
        <v>60360.892699100987</v>
      </c>
      <c r="L299" s="14">
        <f t="shared" si="51"/>
        <v>0</v>
      </c>
      <c r="M299" s="14">
        <f>'D) Ecrêtage'!M298</f>
        <v>50302.260950596246</v>
      </c>
      <c r="N299" s="14">
        <f t="shared" si="48"/>
        <v>67529.08259099393</v>
      </c>
      <c r="O299" s="74">
        <f t="shared" si="49"/>
        <v>127889.97529009491</v>
      </c>
      <c r="P299" s="290"/>
      <c r="Q299" s="291"/>
      <c r="R299" s="287"/>
      <c r="S299" s="287"/>
      <c r="T299" s="292"/>
    </row>
    <row r="300" spans="1:20" s="286" customFormat="1" x14ac:dyDescent="0.25">
      <c r="A300" s="299">
        <f>'A) Base RI'!A301</f>
        <v>5923</v>
      </c>
      <c r="B300" s="299" t="str">
        <f>'A) Base RI'!B301</f>
        <v>Oppens</v>
      </c>
      <c r="C300" s="316">
        <v>0</v>
      </c>
      <c r="D300" s="288">
        <f>'B) D RI'!AR301</f>
        <v>182</v>
      </c>
      <c r="E300" s="289">
        <f>'B) D RI'!S301</f>
        <v>81</v>
      </c>
      <c r="F300" s="14">
        <f>'B) D RI'!R301</f>
        <v>397072.31999999995</v>
      </c>
      <c r="G300" s="14">
        <f>'B) D RI'!U301</f>
        <v>4902.1274074074072</v>
      </c>
      <c r="H300" s="52">
        <f>'B) D RI'!T301</f>
        <v>375130.31999999995</v>
      </c>
      <c r="I300" s="14">
        <f t="shared" si="53"/>
        <v>9262.4770370370352</v>
      </c>
      <c r="J300" s="41">
        <f t="shared" si="52"/>
        <v>15407.68930047178</v>
      </c>
      <c r="K300" s="14">
        <f t="shared" si="47"/>
        <v>9262.4770370370352</v>
      </c>
      <c r="L300" s="14">
        <f t="shared" si="51"/>
        <v>6145.2122634347452</v>
      </c>
      <c r="M300" s="14">
        <f>'D) Ecrêtage'!M299</f>
        <v>4902.1274074074072</v>
      </c>
      <c r="N300" s="14">
        <f t="shared" si="48"/>
        <v>6580.9401070761596</v>
      </c>
      <c r="O300" s="74">
        <f t="shared" si="49"/>
        <v>15843.417144113195</v>
      </c>
      <c r="P300" s="290"/>
      <c r="Q300" s="291"/>
      <c r="R300" s="287"/>
      <c r="S300" s="287"/>
      <c r="T300" s="292"/>
    </row>
    <row r="301" spans="1:20" s="286" customFormat="1" x14ac:dyDescent="0.25">
      <c r="A301" s="299">
        <f>'A) Base RI'!A302</f>
        <v>5924</v>
      </c>
      <c r="B301" s="299" t="str">
        <f>'A) Base RI'!B302</f>
        <v>Orges</v>
      </c>
      <c r="C301" s="316">
        <v>0</v>
      </c>
      <c r="D301" s="288">
        <f>'B) D RI'!AR302</f>
        <v>275</v>
      </c>
      <c r="E301" s="289">
        <f>'B) D RI'!S302</f>
        <v>74</v>
      </c>
      <c r="F301" s="14">
        <f>'B) D RI'!R302</f>
        <v>666211.31000000006</v>
      </c>
      <c r="G301" s="14">
        <f>'B) D RI'!U302</f>
        <v>9002.8555405405405</v>
      </c>
      <c r="H301" s="52">
        <f>'B) D RI'!T302</f>
        <v>624961.01</v>
      </c>
      <c r="I301" s="14">
        <f t="shared" si="53"/>
        <v>16890.83810810811</v>
      </c>
      <c r="J301" s="41">
        <f t="shared" si="52"/>
        <v>23280.849217745821</v>
      </c>
      <c r="K301" s="14">
        <f t="shared" si="47"/>
        <v>16890.83810810811</v>
      </c>
      <c r="L301" s="14">
        <f t="shared" si="51"/>
        <v>6390.0111096377113</v>
      </c>
      <c r="M301" s="14">
        <f>'D) Ecrêtage'!M300</f>
        <v>9002.8555405405405</v>
      </c>
      <c r="N301" s="14">
        <f t="shared" si="48"/>
        <v>12086.028815862664</v>
      </c>
      <c r="O301" s="74">
        <f t="shared" si="49"/>
        <v>28976.866923970774</v>
      </c>
      <c r="P301" s="290"/>
      <c r="Q301" s="291"/>
      <c r="R301" s="287"/>
      <c r="S301" s="287"/>
      <c r="T301" s="292"/>
    </row>
    <row r="302" spans="1:20" s="286" customFormat="1" x14ac:dyDescent="0.25">
      <c r="A302" s="299">
        <f>'A) Base RI'!A303</f>
        <v>5925</v>
      </c>
      <c r="B302" s="299" t="str">
        <f>'A) Base RI'!B303</f>
        <v>Orzens</v>
      </c>
      <c r="C302" s="316">
        <v>0</v>
      </c>
      <c r="D302" s="288">
        <f>'B) D RI'!AR303</f>
        <v>211</v>
      </c>
      <c r="E302" s="289">
        <f>'B) D RI'!S303</f>
        <v>79</v>
      </c>
      <c r="F302" s="14">
        <f>'B) D RI'!R303</f>
        <v>399246.47</v>
      </c>
      <c r="G302" s="14">
        <f>'B) D RI'!U303</f>
        <v>5053.7527848101263</v>
      </c>
      <c r="H302" s="52">
        <f>'B) D RI'!T303</f>
        <v>371767.76999999996</v>
      </c>
      <c r="I302" s="14">
        <f t="shared" si="53"/>
        <v>9411.8422784810118</v>
      </c>
      <c r="J302" s="41">
        <f t="shared" si="52"/>
        <v>17862.760672524975</v>
      </c>
      <c r="K302" s="14">
        <f t="shared" si="47"/>
        <v>9411.8422784810118</v>
      </c>
      <c r="L302" s="14">
        <f t="shared" si="51"/>
        <v>8450.9183940439634</v>
      </c>
      <c r="M302" s="14">
        <f>'D) Ecrêtage'!M301</f>
        <v>5053.7527848101263</v>
      </c>
      <c r="N302" s="14">
        <f t="shared" si="48"/>
        <v>6784.4920437092878</v>
      </c>
      <c r="O302" s="74">
        <f t="shared" si="49"/>
        <v>16196.3343221903</v>
      </c>
      <c r="P302" s="290"/>
      <c r="Q302" s="291"/>
      <c r="R302" s="287"/>
      <c r="S302" s="287"/>
      <c r="T302" s="292"/>
    </row>
    <row r="303" spans="1:20" s="286" customFormat="1" x14ac:dyDescent="0.25">
      <c r="A303" s="299">
        <f>'A) Base RI'!A304</f>
        <v>5926</v>
      </c>
      <c r="B303" s="299" t="str">
        <f>'A) Base RI'!B304</f>
        <v>Pomy</v>
      </c>
      <c r="C303" s="316">
        <v>1</v>
      </c>
      <c r="D303" s="288">
        <f>'B) D RI'!AR304</f>
        <v>730</v>
      </c>
      <c r="E303" s="289">
        <f>'B) D RI'!S304</f>
        <v>71</v>
      </c>
      <c r="F303" s="14">
        <f>'B) D RI'!R304</f>
        <v>1493067.9600000002</v>
      </c>
      <c r="G303" s="14">
        <f>'B) D RI'!U304</f>
        <v>21029.126197183101</v>
      </c>
      <c r="H303" s="52">
        <f>'B) D RI'!T304</f>
        <v>1385940.1600000001</v>
      </c>
      <c r="I303" s="14">
        <f t="shared" si="53"/>
        <v>39040.567887323945</v>
      </c>
      <c r="J303" s="41">
        <f t="shared" si="52"/>
        <v>61800.072468925275</v>
      </c>
      <c r="K303" s="14">
        <f t="shared" si="47"/>
        <v>0</v>
      </c>
      <c r="L303" s="14">
        <f t="shared" si="51"/>
        <v>61800.072468925275</v>
      </c>
      <c r="M303" s="14">
        <f>'D) Ecrêtage'!M302</f>
        <v>21029.126197183101</v>
      </c>
      <c r="N303" s="14">
        <f t="shared" si="48"/>
        <v>28230.890082271326</v>
      </c>
      <c r="O303" s="74">
        <f t="shared" si="49"/>
        <v>28230.890082271326</v>
      </c>
      <c r="P303" s="290"/>
      <c r="Q303" s="291"/>
      <c r="R303" s="287"/>
      <c r="S303" s="287"/>
      <c r="T303" s="292"/>
    </row>
    <row r="304" spans="1:20" s="286" customFormat="1" x14ac:dyDescent="0.25">
      <c r="A304" s="299">
        <f>'A) Base RI'!A305</f>
        <v>5928</v>
      </c>
      <c r="B304" s="299" t="str">
        <f>'A) Base RI'!B305</f>
        <v>Rovray</v>
      </c>
      <c r="C304" s="316">
        <v>0</v>
      </c>
      <c r="D304" s="288">
        <f>'B) D RI'!AR305</f>
        <v>176</v>
      </c>
      <c r="E304" s="289">
        <f>'B) D RI'!S305</f>
        <v>75</v>
      </c>
      <c r="F304" s="14">
        <f>'B) D RI'!R305</f>
        <v>367285.92999999993</v>
      </c>
      <c r="G304" s="14">
        <f>'B) D RI'!U305</f>
        <v>4897.1457333333328</v>
      </c>
      <c r="H304" s="52">
        <f>'B) D RI'!T305</f>
        <v>347808.12999999995</v>
      </c>
      <c r="I304" s="14">
        <f t="shared" si="53"/>
        <v>9274.8834666666644</v>
      </c>
      <c r="J304" s="41">
        <f t="shared" si="52"/>
        <v>14899.743499357326</v>
      </c>
      <c r="K304" s="14">
        <f t="shared" ref="K304:K314" si="54">IF(C304=1,0,IF(J304&gt;I304,I304,J304))</f>
        <v>9274.8834666666644</v>
      </c>
      <c r="L304" s="14">
        <f t="shared" si="51"/>
        <v>5624.8600326906617</v>
      </c>
      <c r="M304" s="14">
        <f>'D) Ecrêtage'!M303</f>
        <v>4897.1457333333328</v>
      </c>
      <c r="N304" s="14">
        <f t="shared" si="48"/>
        <v>6574.2523782617436</v>
      </c>
      <c r="O304" s="74">
        <f t="shared" si="49"/>
        <v>15849.135844928409</v>
      </c>
      <c r="P304" s="290"/>
      <c r="Q304" s="291"/>
      <c r="R304" s="287"/>
      <c r="S304" s="287"/>
      <c r="T304" s="292"/>
    </row>
    <row r="305" spans="1:20" s="286" customFormat="1" x14ac:dyDescent="0.25">
      <c r="A305" s="299">
        <f>'A) Base RI'!A306</f>
        <v>5929</v>
      </c>
      <c r="B305" s="299" t="str">
        <f>'A) Base RI'!B306</f>
        <v>Suchy</v>
      </c>
      <c r="C305" s="316">
        <v>1</v>
      </c>
      <c r="D305" s="288">
        <f>'B) D RI'!AR306</f>
        <v>542</v>
      </c>
      <c r="E305" s="289">
        <f>'B) D RI'!S306</f>
        <v>68</v>
      </c>
      <c r="F305" s="14">
        <f>'B) D RI'!R306</f>
        <v>1093706.1033333335</v>
      </c>
      <c r="G305" s="14">
        <f>'B) D RI'!U306</f>
        <v>16083.913284313729</v>
      </c>
      <c r="H305" s="52">
        <f>'B) D RI'!T306</f>
        <v>1006917.5200000001</v>
      </c>
      <c r="I305" s="14">
        <f t="shared" si="53"/>
        <v>29615.221176470593</v>
      </c>
      <c r="J305" s="41">
        <f t="shared" si="52"/>
        <v>45884.437367339036</v>
      </c>
      <c r="K305" s="14">
        <f t="shared" si="54"/>
        <v>0</v>
      </c>
      <c r="L305" s="14">
        <f t="shared" si="51"/>
        <v>45884.437367339036</v>
      </c>
      <c r="M305" s="14">
        <f>'D) Ecrêtage'!M304</f>
        <v>16083.913284313729</v>
      </c>
      <c r="N305" s="14">
        <f t="shared" si="48"/>
        <v>21592.109142559962</v>
      </c>
      <c r="O305" s="74">
        <f t="shared" si="49"/>
        <v>21592.109142559962</v>
      </c>
      <c r="P305" s="290"/>
      <c r="Q305" s="291"/>
      <c r="R305" s="287"/>
      <c r="S305" s="287"/>
      <c r="T305" s="292"/>
    </row>
    <row r="306" spans="1:20" s="286" customFormat="1" x14ac:dyDescent="0.25">
      <c r="A306" s="299">
        <f>'A) Base RI'!A307</f>
        <v>5930</v>
      </c>
      <c r="B306" s="299" t="str">
        <f>'A) Base RI'!B307</f>
        <v>Suscévaz</v>
      </c>
      <c r="C306" s="316">
        <v>1</v>
      </c>
      <c r="D306" s="288">
        <f>'B) D RI'!AR307</f>
        <v>199</v>
      </c>
      <c r="E306" s="289">
        <f>'B) D RI'!S307</f>
        <v>66</v>
      </c>
      <c r="F306" s="14">
        <f>'B) D RI'!R307</f>
        <v>343733.52999999997</v>
      </c>
      <c r="G306" s="14">
        <f>'B) D RI'!U307</f>
        <v>5208.083787878787</v>
      </c>
      <c r="H306" s="52">
        <f>'B) D RI'!T307</f>
        <v>317486.93</v>
      </c>
      <c r="I306" s="14">
        <f t="shared" si="53"/>
        <v>9620.816060606061</v>
      </c>
      <c r="J306" s="41">
        <f t="shared" si="52"/>
        <v>16846.869070296067</v>
      </c>
      <c r="K306" s="14">
        <f t="shared" si="54"/>
        <v>0</v>
      </c>
      <c r="L306" s="14">
        <f t="shared" si="51"/>
        <v>16846.869070296067</v>
      </c>
      <c r="M306" s="14">
        <f>'D) Ecrêtage'!M305</f>
        <v>5208.083787878787</v>
      </c>
      <c r="N306" s="14">
        <f t="shared" si="48"/>
        <v>6991.676191213317</v>
      </c>
      <c r="O306" s="74">
        <f t="shared" si="49"/>
        <v>6991.676191213317</v>
      </c>
      <c r="P306" s="290"/>
      <c r="Q306" s="291"/>
      <c r="R306" s="287"/>
      <c r="S306" s="287"/>
      <c r="T306" s="292"/>
    </row>
    <row r="307" spans="1:20" s="286" customFormat="1" x14ac:dyDescent="0.25">
      <c r="A307" s="299">
        <f>'A) Base RI'!A308</f>
        <v>5931</v>
      </c>
      <c r="B307" s="299" t="str">
        <f>'A) Base RI'!B308</f>
        <v>Treycovagnes</v>
      </c>
      <c r="C307" s="316">
        <v>1</v>
      </c>
      <c r="D307" s="288">
        <f>'B) D RI'!AR308</f>
        <v>462</v>
      </c>
      <c r="E307" s="289">
        <f>'B) D RI'!S308</f>
        <v>77</v>
      </c>
      <c r="F307" s="14">
        <f>'B) D RI'!R308</f>
        <v>1071999.71</v>
      </c>
      <c r="G307" s="14">
        <f>'B) D RI'!U308</f>
        <v>13922.074155844155</v>
      </c>
      <c r="H307" s="52">
        <f>'B) D RI'!T308</f>
        <v>1002238.51</v>
      </c>
      <c r="I307" s="14">
        <f t="shared" si="53"/>
        <v>26032.16909090909</v>
      </c>
      <c r="J307" s="41">
        <f t="shared" si="52"/>
        <v>39111.826685812979</v>
      </c>
      <c r="K307" s="14">
        <f t="shared" si="54"/>
        <v>0</v>
      </c>
      <c r="L307" s="14">
        <f t="shared" si="51"/>
        <v>39111.826685812979</v>
      </c>
      <c r="M307" s="14">
        <f>'D) Ecrêtage'!M306</f>
        <v>13922.074155844155</v>
      </c>
      <c r="N307" s="14">
        <f t="shared" si="48"/>
        <v>18689.913291000856</v>
      </c>
      <c r="O307" s="74">
        <f t="shared" si="49"/>
        <v>18689.913291000856</v>
      </c>
      <c r="P307" s="290"/>
      <c r="Q307" s="291"/>
      <c r="R307" s="287"/>
      <c r="S307" s="287"/>
      <c r="T307" s="292"/>
    </row>
    <row r="308" spans="1:20" s="286" customFormat="1" x14ac:dyDescent="0.25">
      <c r="A308" s="299">
        <f>'A) Base RI'!A309</f>
        <v>5932</v>
      </c>
      <c r="B308" s="299" t="str">
        <f>'A) Base RI'!B309</f>
        <v>Ursins</v>
      </c>
      <c r="C308" s="316">
        <v>0</v>
      </c>
      <c r="D308" s="288">
        <f>'B) D RI'!AR309</f>
        <v>207</v>
      </c>
      <c r="E308" s="289">
        <f>'B) D RI'!S309</f>
        <v>78</v>
      </c>
      <c r="F308" s="14">
        <f>'B) D RI'!R309</f>
        <v>423485.94</v>
      </c>
      <c r="G308" s="14">
        <f>'B) D RI'!U309</f>
        <v>5429.3069230769233</v>
      </c>
      <c r="H308" s="52">
        <f>'B) D RI'!T309</f>
        <v>394542.24</v>
      </c>
      <c r="I308" s="14">
        <f t="shared" si="53"/>
        <v>10116.467692307691</v>
      </c>
      <c r="J308" s="41">
        <f t="shared" si="52"/>
        <v>17524.130138448672</v>
      </c>
      <c r="K308" s="14">
        <f t="shared" si="54"/>
        <v>10116.467692307691</v>
      </c>
      <c r="L308" s="14">
        <f t="shared" si="51"/>
        <v>7407.662446140981</v>
      </c>
      <c r="M308" s="14">
        <f>'D) Ecrêtage'!M307</f>
        <v>5429.3069230769233</v>
      </c>
      <c r="N308" s="14">
        <f t="shared" si="48"/>
        <v>7288.6607617976442</v>
      </c>
      <c r="O308" s="74">
        <f t="shared" si="49"/>
        <v>17405.128454105336</v>
      </c>
      <c r="P308" s="290"/>
      <c r="Q308" s="291"/>
      <c r="R308" s="287"/>
      <c r="S308" s="287"/>
      <c r="T308" s="292"/>
    </row>
    <row r="309" spans="1:20" s="286" customFormat="1" x14ac:dyDescent="0.25">
      <c r="A309" s="299">
        <f>'A) Base RI'!A310</f>
        <v>5933</v>
      </c>
      <c r="B309" s="299" t="str">
        <f>'A) Base RI'!B310</f>
        <v>Valeyres-sous-Montagny</v>
      </c>
      <c r="C309" s="316">
        <v>0</v>
      </c>
      <c r="D309" s="288">
        <f>'B) D RI'!AR310</f>
        <v>661</v>
      </c>
      <c r="E309" s="289">
        <f>'B) D RI'!S310</f>
        <v>72</v>
      </c>
      <c r="F309" s="14">
        <f>'B) D RI'!R310</f>
        <v>1235949.9200000002</v>
      </c>
      <c r="G309" s="14">
        <f>'B) D RI'!U310</f>
        <v>17165.971111111114</v>
      </c>
      <c r="H309" s="52">
        <f>'B) D RI'!T310</f>
        <v>1136761.6700000002</v>
      </c>
      <c r="I309" s="14">
        <f t="shared" si="53"/>
        <v>31576.71305555556</v>
      </c>
      <c r="J309" s="41">
        <f t="shared" ref="J309:J314" si="55">+$I$315/$D$315*D309</f>
        <v>55958.695756109046</v>
      </c>
      <c r="K309" s="14">
        <f t="shared" si="54"/>
        <v>31576.71305555556</v>
      </c>
      <c r="L309" s="14">
        <f t="shared" si="51"/>
        <v>24381.982700553486</v>
      </c>
      <c r="M309" s="14">
        <f>'D) Ecrêtage'!M308</f>
        <v>17165.971111111114</v>
      </c>
      <c r="N309" s="14">
        <f t="shared" si="48"/>
        <v>23044.735147299536</v>
      </c>
      <c r="O309" s="74">
        <f t="shared" si="49"/>
        <v>54621.448202855099</v>
      </c>
      <c r="P309" s="290"/>
      <c r="Q309" s="291"/>
      <c r="R309" s="287"/>
      <c r="S309" s="287"/>
      <c r="T309" s="292"/>
    </row>
    <row r="310" spans="1:20" s="286" customFormat="1" x14ac:dyDescent="0.25">
      <c r="A310" s="299">
        <f>'A) Base RI'!A311</f>
        <v>5934</v>
      </c>
      <c r="B310" s="299" t="str">
        <f>'A) Base RI'!B311</f>
        <v>Valeyres-sous-Ursins</v>
      </c>
      <c r="C310" s="316">
        <v>0</v>
      </c>
      <c r="D310" s="288">
        <f>'B) D RI'!AR311</f>
        <v>245</v>
      </c>
      <c r="E310" s="289">
        <f>'B) D RI'!S311</f>
        <v>79</v>
      </c>
      <c r="F310" s="14">
        <f>'B) D RI'!R311</f>
        <v>521592.01</v>
      </c>
      <c r="G310" s="14">
        <f>'B) D RI'!U311</f>
        <v>6602.430506329114</v>
      </c>
      <c r="H310" s="52">
        <f>'B) D RI'!T311</f>
        <v>495067.91000000003</v>
      </c>
      <c r="I310" s="14">
        <f t="shared" si="53"/>
        <v>12533.364810126583</v>
      </c>
      <c r="J310" s="41">
        <f t="shared" si="55"/>
        <v>20741.120212173551</v>
      </c>
      <c r="K310" s="14">
        <f t="shared" si="54"/>
        <v>12533.364810126583</v>
      </c>
      <c r="L310" s="14">
        <f t="shared" si="51"/>
        <v>8207.7554020469688</v>
      </c>
      <c r="M310" s="14">
        <f>'D) Ecrêtage'!M309</f>
        <v>6602.430506329114</v>
      </c>
      <c r="N310" s="14">
        <f t="shared" si="48"/>
        <v>8863.5394619953313</v>
      </c>
      <c r="O310" s="74">
        <f t="shared" si="49"/>
        <v>21396.904272121916</v>
      </c>
      <c r="P310" s="290"/>
      <c r="Q310" s="291"/>
      <c r="R310" s="287"/>
      <c r="S310" s="287"/>
      <c r="T310" s="292"/>
    </row>
    <row r="311" spans="1:20" s="286" customFormat="1" x14ac:dyDescent="0.25">
      <c r="A311" s="299">
        <f>'A) Base RI'!A312</f>
        <v>5935</v>
      </c>
      <c r="B311" s="299" t="str">
        <f>'A) Base RI'!B312</f>
        <v>Villars-Epeney</v>
      </c>
      <c r="C311" s="316">
        <v>0</v>
      </c>
      <c r="D311" s="288">
        <f>'B) D RI'!AR312</f>
        <v>90</v>
      </c>
      <c r="E311" s="289">
        <f>'B) D RI'!S312</f>
        <v>60</v>
      </c>
      <c r="F311" s="14">
        <f>'B) D RI'!R312</f>
        <v>388714.85000000003</v>
      </c>
      <c r="G311" s="14">
        <f>'B) D RI'!U312</f>
        <v>6478.5808333333343</v>
      </c>
      <c r="H311" s="52">
        <f>'B) D RI'!T312</f>
        <v>371446.9</v>
      </c>
      <c r="I311" s="14">
        <f t="shared" si="53"/>
        <v>12381.563333333334</v>
      </c>
      <c r="J311" s="41">
        <f t="shared" si="55"/>
        <v>7619.1870167168145</v>
      </c>
      <c r="K311" s="14">
        <f t="shared" si="54"/>
        <v>7619.1870167168145</v>
      </c>
      <c r="L311" s="14">
        <f t="shared" si="51"/>
        <v>0</v>
      </c>
      <c r="M311" s="14">
        <f>'D) Ecrêtage'!M310</f>
        <v>6088.5334683902975</v>
      </c>
      <c r="N311" s="14">
        <f t="shared" si="48"/>
        <v>8173.6500840144772</v>
      </c>
      <c r="O311" s="74">
        <f t="shared" si="49"/>
        <v>15792.837100731293</v>
      </c>
      <c r="P311" s="290"/>
      <c r="Q311" s="291"/>
      <c r="R311" s="287"/>
      <c r="S311" s="287"/>
      <c r="T311" s="292"/>
    </row>
    <row r="312" spans="1:20" s="286" customFormat="1" x14ac:dyDescent="0.25">
      <c r="A312" s="299">
        <f>'A) Base RI'!A313</f>
        <v>5937</v>
      </c>
      <c r="B312" s="299" t="str">
        <f>'A) Base RI'!B313</f>
        <v>Vugelles-La Mothe</v>
      </c>
      <c r="C312" s="316">
        <v>0</v>
      </c>
      <c r="D312" s="288">
        <f>'B) D RI'!AR313</f>
        <v>135</v>
      </c>
      <c r="E312" s="289">
        <f>'B) D RI'!S313</f>
        <v>70</v>
      </c>
      <c r="F312" s="14">
        <f>'B) D RI'!R313</f>
        <v>149028.46428571429</v>
      </c>
      <c r="G312" s="14">
        <f>'B) D RI'!U313</f>
        <v>2128.9780612244899</v>
      </c>
      <c r="H312" s="52">
        <f>'B) D RI'!T313</f>
        <v>134485.75</v>
      </c>
      <c r="I312" s="14">
        <f t="shared" si="53"/>
        <v>3842.45</v>
      </c>
      <c r="J312" s="41">
        <f t="shared" si="55"/>
        <v>11428.780525075221</v>
      </c>
      <c r="K312" s="14">
        <f t="shared" si="54"/>
        <v>3842.45</v>
      </c>
      <c r="L312" s="14">
        <f t="shared" si="51"/>
        <v>7586.330525075221</v>
      </c>
      <c r="M312" s="14">
        <f>'D) Ecrêtage'!M311</f>
        <v>2128.9780612244899</v>
      </c>
      <c r="N312" s="14">
        <f t="shared" si="48"/>
        <v>2858.0809811320937</v>
      </c>
      <c r="O312" s="74">
        <f t="shared" si="49"/>
        <v>6700.5309811320931</v>
      </c>
      <c r="P312" s="290"/>
      <c r="Q312" s="291"/>
      <c r="R312" s="287"/>
      <c r="S312" s="287"/>
      <c r="T312" s="292"/>
    </row>
    <row r="313" spans="1:20" s="286" customFormat="1" x14ac:dyDescent="0.25">
      <c r="A313" s="299">
        <f>'A) Base RI'!A314</f>
        <v>5938</v>
      </c>
      <c r="B313" s="299" t="str">
        <f>'A) Base RI'!B314</f>
        <v>Yverdon-les-Bains</v>
      </c>
      <c r="C313" s="316">
        <v>1</v>
      </c>
      <c r="D313" s="288">
        <f>'B) D RI'!AR314</f>
        <v>29308</v>
      </c>
      <c r="E313" s="289">
        <f>'B) D RI'!S314</f>
        <v>76.5</v>
      </c>
      <c r="F313" s="14">
        <f>'B) D RI'!R314</f>
        <v>59007512.110000007</v>
      </c>
      <c r="G313" s="14">
        <f>'B) D RI'!U314</f>
        <v>771340.02758169943</v>
      </c>
      <c r="H313" s="52">
        <f>'B) D RI'!T314</f>
        <v>54715573.56000001</v>
      </c>
      <c r="I313" s="14">
        <f t="shared" si="53"/>
        <v>1430472.5113725492</v>
      </c>
      <c r="J313" s="41">
        <f t="shared" si="55"/>
        <v>2481145.9231770709</v>
      </c>
      <c r="K313" s="14">
        <f t="shared" si="54"/>
        <v>0</v>
      </c>
      <c r="L313" s="14">
        <f t="shared" si="51"/>
        <v>2481145.9231770709</v>
      </c>
      <c r="M313" s="14">
        <f>'D) Ecrêtage'!M312</f>
        <v>771340.02758169943</v>
      </c>
      <c r="N313" s="14">
        <f t="shared" si="48"/>
        <v>1035497.8771125537</v>
      </c>
      <c r="O313" s="74">
        <f t="shared" si="49"/>
        <v>1035497.8771125537</v>
      </c>
      <c r="P313" s="290"/>
      <c r="Q313" s="291"/>
      <c r="R313" s="287"/>
      <c r="S313" s="287"/>
      <c r="T313" s="292"/>
    </row>
    <row r="314" spans="1:20" s="286" customFormat="1" x14ac:dyDescent="0.25">
      <c r="A314" s="300">
        <f>'A) Base RI'!A315</f>
        <v>5939</v>
      </c>
      <c r="B314" s="299" t="str">
        <f>'A) Base RI'!B315</f>
        <v>Yvonand</v>
      </c>
      <c r="C314" s="316">
        <v>0</v>
      </c>
      <c r="D314" s="288">
        <f>'B) D RI'!AR315</f>
        <v>3152</v>
      </c>
      <c r="E314" s="289">
        <f>'B) D RI'!S315</f>
        <v>73</v>
      </c>
      <c r="F314" s="14">
        <f>'B) D RI'!R315</f>
        <v>6440173.2899999991</v>
      </c>
      <c r="G314" s="14">
        <f>'B) D RI'!U315</f>
        <v>88221.551917808203</v>
      </c>
      <c r="H314" s="52">
        <f>'B) D RI'!T315</f>
        <v>5968615.2399999993</v>
      </c>
      <c r="I314" s="25">
        <f t="shared" si="53"/>
        <v>163523.70520547943</v>
      </c>
      <c r="J314" s="140">
        <f t="shared" si="55"/>
        <v>266840.86085212667</v>
      </c>
      <c r="K314" s="14">
        <f t="shared" si="54"/>
        <v>163523.70520547943</v>
      </c>
      <c r="L314" s="25">
        <f t="shared" si="51"/>
        <v>103317.15564664724</v>
      </c>
      <c r="M314" s="25">
        <f>'D) Ecrêtage'!M313</f>
        <v>88221.551917808203</v>
      </c>
      <c r="N314" s="25">
        <f>+$N$5*M314</f>
        <v>118434.44714372652</v>
      </c>
      <c r="O314" s="133">
        <f t="shared" si="49"/>
        <v>281958.15234920592</v>
      </c>
      <c r="P314" s="290"/>
      <c r="Q314" s="291"/>
      <c r="R314" s="287"/>
      <c r="S314" s="287"/>
      <c r="T314" s="292"/>
    </row>
    <row r="315" spans="1:20" s="286" customFormat="1" x14ac:dyDescent="0.25">
      <c r="A315" s="40"/>
      <c r="B315" s="158">
        <f>COUNTA(B6:B314)</f>
        <v>309</v>
      </c>
      <c r="C315" s="310">
        <f>SUM(C6:C314)</f>
        <v>52</v>
      </c>
      <c r="D315" s="302">
        <f>SUM(D6:D314)</f>
        <v>767496</v>
      </c>
      <c r="E315" s="302"/>
      <c r="F315" s="302">
        <f t="shared" ref="F315:M315" si="56">SUM(F6:F314)</f>
        <v>2367917248.9224544</v>
      </c>
      <c r="G315" s="302">
        <f t="shared" si="56"/>
        <v>34873950.283385321</v>
      </c>
      <c r="H315" s="302">
        <f t="shared" si="56"/>
        <v>2205865172.2850008</v>
      </c>
      <c r="I315" s="319">
        <f>SUM(I6:I314)</f>
        <v>64974395.095356531</v>
      </c>
      <c r="J315" s="302">
        <f t="shared" si="56"/>
        <v>64974395.095356546</v>
      </c>
      <c r="K315" s="302">
        <f t="shared" si="56"/>
        <v>20500448.896711204</v>
      </c>
      <c r="L315" s="304">
        <f t="shared" si="56"/>
        <v>44473946.198645316</v>
      </c>
      <c r="M315" s="302">
        <f t="shared" si="56"/>
        <v>33840443.986265205</v>
      </c>
      <c r="N315" s="311">
        <f>Paramètres!B66-K315</f>
        <v>45429650.550077707</v>
      </c>
      <c r="O315" s="305">
        <f>SUM(O6:O314)</f>
        <v>65930099.4467889</v>
      </c>
      <c r="P315" s="287"/>
      <c r="R315" s="287"/>
      <c r="S315" s="287"/>
    </row>
    <row r="316" spans="1:20" s="286" customFormat="1" x14ac:dyDescent="0.25">
      <c r="A316" s="285"/>
      <c r="B316" s="285"/>
      <c r="C316" s="285"/>
      <c r="D316" s="285"/>
      <c r="E316" s="285"/>
      <c r="F316" s="285"/>
      <c r="G316" s="285"/>
      <c r="H316" s="285"/>
      <c r="I316" s="317"/>
      <c r="J316" s="285"/>
      <c r="K316" s="285"/>
      <c r="L316" s="293"/>
      <c r="M316" s="285"/>
      <c r="N316" s="293"/>
      <c r="O316" s="285"/>
      <c r="P316" s="287"/>
      <c r="R316" s="287"/>
      <c r="S316" s="287"/>
    </row>
    <row r="317" spans="1:20" x14ac:dyDescent="0.25">
      <c r="I317" s="317"/>
      <c r="J317" s="317"/>
      <c r="K317" s="317"/>
      <c r="L317" s="317"/>
      <c r="M317" s="317"/>
      <c r="N317" s="317"/>
      <c r="O317" s="317"/>
    </row>
  </sheetData>
  <sheetProtection password="CBF3" sheet="1" objects="1" scenarios="1"/>
  <protectedRanges>
    <protectedRange sqref="C6:C314" name="Plage1"/>
  </protectedRanges>
  <mergeCells count="13">
    <mergeCell ref="O4:O5"/>
    <mergeCell ref="B4:B5"/>
    <mergeCell ref="A4:A5"/>
    <mergeCell ref="M4:M5"/>
    <mergeCell ref="L4:L5"/>
    <mergeCell ref="K4:K5"/>
    <mergeCell ref="J4:J5"/>
    <mergeCell ref="H4:H5"/>
    <mergeCell ref="G4:G5"/>
    <mergeCell ref="F4:F5"/>
    <mergeCell ref="E4:E5"/>
    <mergeCell ref="D4:D5"/>
    <mergeCell ref="C4:C5"/>
  </mergeCells>
  <printOptions horizontalCentered="1" verticalCentered="1"/>
  <pageMargins left="0.78740157480314965" right="0.78740157480314965" top="0.98425196850393704" bottom="0.98425196850393704" header="0.51181102362204722" footer="0.51181102362204722"/>
  <pageSetup paperSize="8" fitToHeight="9" orientation="landscape" r:id="rId1"/>
  <headerFooter alignWithMargins="0">
    <oddFooter>&amp;L&amp;8SCL - Division finances communales&amp;C- &amp;N -&amp;R&amp;8ASFiCo/FW/Juillet 2014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rgb="FF00B0F0"/>
  </sheetPr>
  <dimension ref="A1:P317"/>
  <sheetViews>
    <sheetView workbookViewId="0">
      <selection sqref="A1:E1"/>
    </sheetView>
  </sheetViews>
  <sheetFormatPr baseColWidth="10" defaultColWidth="10.75" defaultRowHeight="15" x14ac:dyDescent="0.25"/>
  <cols>
    <col min="1" max="1" width="12.5" style="18" bestFit="1" customWidth="1"/>
    <col min="2" max="2" width="20.25" style="18" bestFit="1" customWidth="1"/>
    <col min="3" max="3" width="6.125" style="20" bestFit="1" customWidth="1"/>
    <col min="4" max="4" width="6.5" style="211" bestFit="1" customWidth="1"/>
    <col min="5" max="5" width="8.625" style="211" bestFit="1" customWidth="1"/>
    <col min="6" max="6" width="9.5" style="18" bestFit="1" customWidth="1"/>
    <col min="7" max="7" width="10.625" style="18" customWidth="1"/>
    <col min="8" max="8" width="10.75" style="18" customWidth="1"/>
    <col min="9" max="10" width="9.375" style="18" bestFit="1" customWidth="1"/>
    <col min="11" max="11" width="9.625" style="18" bestFit="1" customWidth="1"/>
    <col min="12" max="12" width="11.25" style="18" bestFit="1" customWidth="1"/>
    <col min="13" max="13" width="8.625" style="18" bestFit="1" customWidth="1"/>
    <col min="14" max="14" width="9.5" style="18" bestFit="1" customWidth="1"/>
    <col min="15" max="15" width="1.375" style="18" customWidth="1"/>
    <col min="16" max="16" width="13" style="8" bestFit="1" customWidth="1"/>
    <col min="17" max="16384" width="10.75" style="18"/>
  </cols>
  <sheetData>
    <row r="1" spans="1:16" s="54" customFormat="1" ht="20.25" customHeight="1" x14ac:dyDescent="0.2">
      <c r="A1" s="462" t="s">
        <v>525</v>
      </c>
      <c r="B1" s="463"/>
      <c r="C1" s="463"/>
      <c r="D1" s="463"/>
      <c r="E1" s="463"/>
      <c r="F1" s="92"/>
      <c r="G1" s="92"/>
      <c r="H1" s="92"/>
      <c r="I1" s="92"/>
      <c r="J1" s="92"/>
      <c r="K1" s="92"/>
      <c r="L1" s="92"/>
      <c r="M1" s="92"/>
      <c r="N1" s="92"/>
      <c r="P1" s="55"/>
    </row>
    <row r="2" spans="1:16" s="54" customFormat="1" ht="20.25" customHeight="1" x14ac:dyDescent="0.2">
      <c r="A2" s="376" t="str">
        <f>Paramètres!B5</f>
        <v>Acomptes 2017</v>
      </c>
      <c r="C2" s="179"/>
      <c r="D2" s="377"/>
      <c r="E2" s="377"/>
      <c r="F2" s="92"/>
      <c r="G2" s="92"/>
      <c r="H2" s="92"/>
      <c r="I2" s="92"/>
      <c r="J2" s="92"/>
      <c r="K2" s="92"/>
      <c r="L2" s="92"/>
      <c r="M2" s="92"/>
      <c r="N2" s="92"/>
      <c r="P2" s="55"/>
    </row>
    <row r="3" spans="1:16" x14ac:dyDescent="0.25">
      <c r="D3" s="18"/>
      <c r="E3" s="18"/>
    </row>
    <row r="4" spans="1:16" ht="53.25" customHeight="1" x14ac:dyDescent="0.25">
      <c r="A4" s="424" t="s">
        <v>50</v>
      </c>
      <c r="B4" s="424" t="s">
        <v>119</v>
      </c>
      <c r="C4" s="443" t="s">
        <v>395</v>
      </c>
      <c r="D4" s="453" t="s">
        <v>396</v>
      </c>
      <c r="E4" s="453" t="s">
        <v>472</v>
      </c>
      <c r="F4" s="453" t="s">
        <v>116</v>
      </c>
      <c r="G4" s="453" t="s">
        <v>173</v>
      </c>
      <c r="H4" s="453" t="s">
        <v>167</v>
      </c>
      <c r="I4" s="453" t="s">
        <v>446</v>
      </c>
      <c r="J4" s="453" t="s">
        <v>240</v>
      </c>
      <c r="K4" s="453" t="s">
        <v>154</v>
      </c>
      <c r="L4" s="453" t="s">
        <v>241</v>
      </c>
      <c r="M4" s="453" t="s">
        <v>553</v>
      </c>
      <c r="N4" s="460" t="s">
        <v>166</v>
      </c>
      <c r="O4" s="459" t="s">
        <v>572</v>
      </c>
    </row>
    <row r="5" spans="1:16" ht="14.25" customHeight="1" x14ac:dyDescent="0.25">
      <c r="A5" s="426"/>
      <c r="B5" s="426"/>
      <c r="C5" s="449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61"/>
      <c r="O5" s="459"/>
    </row>
    <row r="6" spans="1:16" s="215" customFormat="1" x14ac:dyDescent="0.25">
      <c r="A6" s="212">
        <f>'B) D RI'!A7</f>
        <v>5401</v>
      </c>
      <c r="B6" s="213" t="str">
        <f>'B) D RI'!B7</f>
        <v>Aigle</v>
      </c>
      <c r="C6" s="333">
        <f>'B) D RI'!S7</f>
        <v>67.5</v>
      </c>
      <c r="D6" s="214">
        <f>'B) D RI'!AR7</f>
        <v>9757</v>
      </c>
      <c r="E6" s="218">
        <f>'D) Ecrêtage'!M5</f>
        <v>260845.44622222218</v>
      </c>
      <c r="F6" s="221">
        <f>'E) Fact soc'!G11</f>
        <v>4902430.7602059953</v>
      </c>
      <c r="G6" s="221">
        <f>'H) Péréquation directe'!I16</f>
        <v>-3014591.6934490083</v>
      </c>
      <c r="H6" s="221">
        <f>'I) Dépenses thématiques'!O5</f>
        <v>-2160744.472286833</v>
      </c>
      <c r="I6" s="221">
        <f>'K) Plafonnement aide'!J5</f>
        <v>0</v>
      </c>
      <c r="J6" s="221">
        <f>'J) Plafonnement effort'!I5</f>
        <v>0</v>
      </c>
      <c r="K6" s="221">
        <f>'L) Plafonnement taux'!Q6</f>
        <v>0</v>
      </c>
      <c r="L6" s="306">
        <f>F6+G6+H6+I6+J6+K6</f>
        <v>-272905.40552984597</v>
      </c>
      <c r="M6" s="307">
        <f>'M) Police'!O6</f>
        <v>350176.18191605993</v>
      </c>
      <c r="N6" s="306">
        <f>L6+M6</f>
        <v>77270.776386213955</v>
      </c>
      <c r="P6" s="380"/>
    </row>
    <row r="7" spans="1:16" s="215" customFormat="1" x14ac:dyDescent="0.25">
      <c r="A7" s="212">
        <f>'B) D RI'!A8</f>
        <v>5402</v>
      </c>
      <c r="B7" s="213" t="str">
        <f>'B) D RI'!B8</f>
        <v>Bex</v>
      </c>
      <c r="C7" s="333">
        <f>'B) D RI'!S8</f>
        <v>71</v>
      </c>
      <c r="D7" s="214">
        <f>'B) D RI'!AR8</f>
        <v>7236</v>
      </c>
      <c r="E7" s="219">
        <f>'D) Ecrêtage'!M6</f>
        <v>175890.90239436619</v>
      </c>
      <c r="F7" s="222">
        <f>'E) Fact soc'!G12</f>
        <v>3649663.5208985298</v>
      </c>
      <c r="G7" s="222">
        <f>'H) Péréquation directe'!I17</f>
        <v>-2710230.2441200926</v>
      </c>
      <c r="H7" s="222">
        <f>'I) Dépenses thématiques'!O6</f>
        <v>-1833160.95775392</v>
      </c>
      <c r="I7" s="222">
        <f>'K) Plafonnement aide'!J6</f>
        <v>0</v>
      </c>
      <c r="J7" s="222">
        <f>'J) Plafonnement effort'!I6</f>
        <v>0</v>
      </c>
      <c r="K7" s="222">
        <f>'L) Plafonnement taux'!Q7</f>
        <v>0</v>
      </c>
      <c r="L7" s="307">
        <f t="shared" ref="L7:L61" si="0">F7+G7+H7+I7+J7+K7</f>
        <v>-893727.6809754828</v>
      </c>
      <c r="M7" s="307">
        <f>'M) Police'!O7</f>
        <v>236127.58254463345</v>
      </c>
      <c r="N7" s="307">
        <f t="shared" ref="N7:N70" si="1">L7+M7</f>
        <v>-657600.09843084938</v>
      </c>
      <c r="P7" s="380"/>
    </row>
    <row r="8" spans="1:16" s="215" customFormat="1" x14ac:dyDescent="0.25">
      <c r="A8" s="212">
        <f>'B) D RI'!A9</f>
        <v>5403</v>
      </c>
      <c r="B8" s="213" t="str">
        <f>'B) D RI'!B9</f>
        <v>Chessel</v>
      </c>
      <c r="C8" s="333">
        <f>'B) D RI'!S9</f>
        <v>76</v>
      </c>
      <c r="D8" s="214">
        <f>'B) D RI'!AR9</f>
        <v>396</v>
      </c>
      <c r="E8" s="219">
        <f>'D) Ecrêtage'!M7</f>
        <v>8284.5784210526326</v>
      </c>
      <c r="F8" s="222">
        <f>'E) Fact soc'!G13</f>
        <v>143842.93098801051</v>
      </c>
      <c r="G8" s="222">
        <f>'H) Péréquation directe'!I18</f>
        <v>-95960.910476996563</v>
      </c>
      <c r="H8" s="222">
        <f>'I) Dépenses thématiques'!O7</f>
        <v>-43751.847040664623</v>
      </c>
      <c r="I8" s="222">
        <f>'K) Plafonnement aide'!J7</f>
        <v>0</v>
      </c>
      <c r="J8" s="222">
        <f>'J) Plafonnement effort'!I7</f>
        <v>0</v>
      </c>
      <c r="K8" s="222">
        <f>'L) Plafonnement taux'!Q8</f>
        <v>0</v>
      </c>
      <c r="L8" s="307">
        <f t="shared" si="0"/>
        <v>4130.1734703493275</v>
      </c>
      <c r="M8" s="307">
        <f>'M) Police'!O8</f>
        <v>26273.474254577479</v>
      </c>
      <c r="N8" s="307">
        <f t="shared" si="1"/>
        <v>30403.647724926806</v>
      </c>
      <c r="P8" s="380"/>
    </row>
    <row r="9" spans="1:16" s="215" customFormat="1" x14ac:dyDescent="0.25">
      <c r="A9" s="212">
        <f>'B) D RI'!A10</f>
        <v>5404</v>
      </c>
      <c r="B9" s="213" t="str">
        <f>'B) D RI'!B10</f>
        <v>Corbeyrier</v>
      </c>
      <c r="C9" s="333">
        <f>'B) D RI'!S10</f>
        <v>70</v>
      </c>
      <c r="D9" s="214">
        <f>'B) D RI'!AR10</f>
        <v>433</v>
      </c>
      <c r="E9" s="219">
        <f>'D) Ecrêtage'!M8</f>
        <v>9966.1885714285709</v>
      </c>
      <c r="F9" s="222">
        <f>'E) Fact soc'!G14</f>
        <v>202301.18355607672</v>
      </c>
      <c r="G9" s="222">
        <f>'H) Péréquation directe'!I19</f>
        <v>-35424.703277160821</v>
      </c>
      <c r="H9" s="222">
        <f>'I) Dépenses thématiques'!O8</f>
        <v>-211331.51531632576</v>
      </c>
      <c r="I9" s="222">
        <f>'K) Plafonnement aide'!J8</f>
        <v>0</v>
      </c>
      <c r="J9" s="222">
        <f>'J) Plafonnement effort'!I8</f>
        <v>0</v>
      </c>
      <c r="K9" s="222">
        <f>'L) Plafonnement taux'!Q9</f>
        <v>0</v>
      </c>
      <c r="L9" s="307">
        <f t="shared" si="0"/>
        <v>-44455.035037409863</v>
      </c>
      <c r="M9" s="307">
        <f>'M) Police'!O9</f>
        <v>31274.90794379402</v>
      </c>
      <c r="N9" s="307">
        <f t="shared" si="1"/>
        <v>-13180.127093615843</v>
      </c>
      <c r="P9" s="380"/>
    </row>
    <row r="10" spans="1:16" s="215" customFormat="1" x14ac:dyDescent="0.25">
      <c r="A10" s="212">
        <f>'B) D RI'!A11</f>
        <v>5405</v>
      </c>
      <c r="B10" s="213" t="str">
        <f>'B) D RI'!B11</f>
        <v>Gryon</v>
      </c>
      <c r="C10" s="333">
        <f>'B) D RI'!S11</f>
        <v>75</v>
      </c>
      <c r="D10" s="214">
        <f>'B) D RI'!AR11</f>
        <v>1265</v>
      </c>
      <c r="E10" s="219">
        <f>'D) Ecrêtage'!M9</f>
        <v>71437.220657546874</v>
      </c>
      <c r="F10" s="222">
        <f>'E) Fact soc'!G15</f>
        <v>1538137.8273783054</v>
      </c>
      <c r="G10" s="222">
        <f>'H) Péréquation directe'!I20</f>
        <v>1137057.6740137397</v>
      </c>
      <c r="H10" s="222">
        <f>'I) Dépenses thématiques'!O9</f>
        <v>-516531.2156964388</v>
      </c>
      <c r="I10" s="222">
        <f>'K) Plafonnement aide'!J9</f>
        <v>0</v>
      </c>
      <c r="J10" s="222">
        <f>'J) Plafonnement effort'!I9</f>
        <v>0</v>
      </c>
      <c r="K10" s="222">
        <f>'L) Plafonnement taux'!Q10</f>
        <v>0</v>
      </c>
      <c r="L10" s="307">
        <f t="shared" si="0"/>
        <v>2158664.2856956064</v>
      </c>
      <c r="M10" s="307">
        <f>'M) Police'!O10</f>
        <v>202993.95697928697</v>
      </c>
      <c r="N10" s="307">
        <f t="shared" si="1"/>
        <v>2361658.2426748932</v>
      </c>
      <c r="P10" s="380"/>
    </row>
    <row r="11" spans="1:16" s="215" customFormat="1" x14ac:dyDescent="0.25">
      <c r="A11" s="212">
        <f>'B) D RI'!A12</f>
        <v>5406</v>
      </c>
      <c r="B11" s="213" t="str">
        <f>'B) D RI'!B12</f>
        <v>Lavey-Morcles</v>
      </c>
      <c r="C11" s="333">
        <f>'B) D RI'!S12</f>
        <v>71</v>
      </c>
      <c r="D11" s="214">
        <f>'B) D RI'!AR12</f>
        <v>907</v>
      </c>
      <c r="E11" s="219">
        <f>'D) Ecrêtage'!M10</f>
        <v>19831.448851570964</v>
      </c>
      <c r="F11" s="222">
        <f>'E) Fact soc'!G16</f>
        <v>349944.20440788346</v>
      </c>
      <c r="G11" s="222">
        <f>'H) Péréquation directe'!I21</f>
        <v>-125278.10828361998</v>
      </c>
      <c r="H11" s="222">
        <f>'I) Dépenses thématiques'!O10</f>
        <v>-83126.786087691115</v>
      </c>
      <c r="I11" s="222">
        <f>'K) Plafonnement aide'!J10</f>
        <v>0</v>
      </c>
      <c r="J11" s="222">
        <f>'J) Plafonnement effort'!I10</f>
        <v>0</v>
      </c>
      <c r="K11" s="222">
        <f>'L) Plafonnement taux'!Q11</f>
        <v>0</v>
      </c>
      <c r="L11" s="307">
        <f t="shared" si="0"/>
        <v>141539.31003657237</v>
      </c>
      <c r="M11" s="307">
        <f>'M) Police'!O11</f>
        <v>62452.04399851965</v>
      </c>
      <c r="N11" s="307">
        <f t="shared" si="1"/>
        <v>203991.35403509202</v>
      </c>
      <c r="P11" s="380"/>
    </row>
    <row r="12" spans="1:16" s="215" customFormat="1" x14ac:dyDescent="0.25">
      <c r="A12" s="212">
        <f>'B) D RI'!A13</f>
        <v>5407</v>
      </c>
      <c r="B12" s="213" t="str">
        <f>'B) D RI'!B13</f>
        <v>Leysin</v>
      </c>
      <c r="C12" s="333">
        <f>'B) D RI'!S13</f>
        <v>78</v>
      </c>
      <c r="D12" s="214">
        <f>'B) D RI'!AR13</f>
        <v>4148</v>
      </c>
      <c r="E12" s="219">
        <f>'D) Ecrêtage'!M11</f>
        <v>102799.09089743589</v>
      </c>
      <c r="F12" s="222">
        <f>'E) Fact soc'!G17</f>
        <v>1988631.7169619468</v>
      </c>
      <c r="G12" s="222">
        <f>'H) Péréquation directe'!I22</f>
        <v>-1387075.6237685857</v>
      </c>
      <c r="H12" s="222">
        <f>'I) Dépenses thématiques'!O11</f>
        <v>-1347394.6860862824</v>
      </c>
      <c r="I12" s="222">
        <f>'K) Plafonnement aide'!J11</f>
        <v>0</v>
      </c>
      <c r="J12" s="222">
        <f>'J) Plafonnement effort'!I11</f>
        <v>0</v>
      </c>
      <c r="K12" s="222">
        <f>'L) Plafonnement taux'!Q12</f>
        <v>0</v>
      </c>
      <c r="L12" s="307">
        <f t="shared" si="0"/>
        <v>-745838.5928929213</v>
      </c>
      <c r="M12" s="307">
        <f>'M) Police'!O12</f>
        <v>323552.07900389418</v>
      </c>
      <c r="N12" s="307">
        <f t="shared" si="1"/>
        <v>-422286.51388902712</v>
      </c>
      <c r="P12" s="380"/>
    </row>
    <row r="13" spans="1:16" s="215" customFormat="1" x14ac:dyDescent="0.25">
      <c r="A13" s="212">
        <f>'B) D RI'!A14</f>
        <v>5408</v>
      </c>
      <c r="B13" s="213" t="str">
        <f>'B) D RI'!B14</f>
        <v>Noville</v>
      </c>
      <c r="C13" s="333">
        <f>'B) D RI'!S14</f>
        <v>78.5</v>
      </c>
      <c r="D13" s="214">
        <f>'B) D RI'!AR14</f>
        <v>1029</v>
      </c>
      <c r="E13" s="219">
        <f>'D) Ecrêtage'!M12</f>
        <v>34745.229256900217</v>
      </c>
      <c r="F13" s="222">
        <f>'E) Fact soc'!G18</f>
        <v>682292.77817890071</v>
      </c>
      <c r="G13" s="222">
        <f>'H) Péréquation directe'!I23</f>
        <v>276432.77908067801</v>
      </c>
      <c r="H13" s="222">
        <f>'I) Dépenses thématiques'!O12</f>
        <v>-91701.918199432723</v>
      </c>
      <c r="I13" s="222">
        <f>'K) Plafonnement aide'!J12</f>
        <v>0</v>
      </c>
      <c r="J13" s="222">
        <f>'J) Plafonnement effort'!I12</f>
        <v>0</v>
      </c>
      <c r="K13" s="222">
        <f>'L) Plafonnement taux'!Q13</f>
        <v>0</v>
      </c>
      <c r="L13" s="307">
        <f t="shared" si="0"/>
        <v>867023.63906014594</v>
      </c>
      <c r="M13" s="307">
        <f>'M) Police'!O13</f>
        <v>112397.55860745691</v>
      </c>
      <c r="N13" s="307">
        <f t="shared" si="1"/>
        <v>979421.19766760292</v>
      </c>
      <c r="P13" s="380"/>
    </row>
    <row r="14" spans="1:16" s="215" customFormat="1" x14ac:dyDescent="0.25">
      <c r="A14" s="212">
        <f>'B) D RI'!A15</f>
        <v>5409</v>
      </c>
      <c r="B14" s="213" t="str">
        <f>'B) D RI'!B15</f>
        <v>Ollon</v>
      </c>
      <c r="C14" s="333">
        <f>'B) D RI'!S15</f>
        <v>68</v>
      </c>
      <c r="D14" s="214">
        <f>'B) D RI'!AR15</f>
        <v>7419</v>
      </c>
      <c r="E14" s="219">
        <f>'D) Ecrêtage'!M13</f>
        <v>466449.88785891997</v>
      </c>
      <c r="F14" s="222">
        <f>'E) Fact soc'!G19</f>
        <v>10876314.109612634</v>
      </c>
      <c r="G14" s="222">
        <f>'H) Péréquation directe'!I24</f>
        <v>5451638.2152938209</v>
      </c>
      <c r="H14" s="222">
        <f>'I) Dépenses thématiques'!O13</f>
        <v>-1131975.7960946448</v>
      </c>
      <c r="I14" s="222">
        <f>'K) Plafonnement aide'!J13</f>
        <v>0</v>
      </c>
      <c r="J14" s="222">
        <f>'J) Plafonnement effort'!I13</f>
        <v>0</v>
      </c>
      <c r="K14" s="222">
        <f>'L) Plafonnement taux'!Q14</f>
        <v>0</v>
      </c>
      <c r="L14" s="307">
        <f t="shared" si="0"/>
        <v>15195976.528811811</v>
      </c>
      <c r="M14" s="307">
        <f>'M) Police'!O14</f>
        <v>626193.1850880651</v>
      </c>
      <c r="N14" s="307">
        <f t="shared" si="1"/>
        <v>15822169.713899875</v>
      </c>
      <c r="P14" s="380"/>
    </row>
    <row r="15" spans="1:16" s="215" customFormat="1" x14ac:dyDescent="0.25">
      <c r="A15" s="212">
        <f>'B) D RI'!A16</f>
        <v>5410</v>
      </c>
      <c r="B15" s="213" t="str">
        <f>'B) D RI'!B16</f>
        <v>Ormont-Dessous</v>
      </c>
      <c r="C15" s="333">
        <f>'B) D RI'!S16</f>
        <v>78.5</v>
      </c>
      <c r="D15" s="214">
        <f>'B) D RI'!AR16</f>
        <v>1119</v>
      </c>
      <c r="E15" s="219">
        <f>'D) Ecrêtage'!M14</f>
        <v>35234.198174097655</v>
      </c>
      <c r="F15" s="222">
        <f>'E) Fact soc'!G20</f>
        <v>710746.96891676937</v>
      </c>
      <c r="G15" s="222">
        <f>'H) Péréquation directe'!I25</f>
        <v>169081.38086196652</v>
      </c>
      <c r="H15" s="222">
        <f>'I) Dépenses thématiques'!O14</f>
        <v>-793224.07996009884</v>
      </c>
      <c r="I15" s="222">
        <f>'K) Plafonnement aide'!J14</f>
        <v>0</v>
      </c>
      <c r="J15" s="222">
        <f>'J) Plafonnement effort'!I14</f>
        <v>0</v>
      </c>
      <c r="K15" s="222">
        <f>'L) Plafonnement taux'!Q15</f>
        <v>0</v>
      </c>
      <c r="L15" s="307">
        <f t="shared" si="0"/>
        <v>86604.269818637054</v>
      </c>
      <c r="M15" s="307">
        <f>'M) Police'!O15</f>
        <v>109085.19709467707</v>
      </c>
      <c r="N15" s="307">
        <f t="shared" si="1"/>
        <v>195689.46691331413</v>
      </c>
      <c r="P15" s="380"/>
    </row>
    <row r="16" spans="1:16" s="215" customFormat="1" x14ac:dyDescent="0.25">
      <c r="A16" s="212">
        <f>'B) D RI'!A17</f>
        <v>5411</v>
      </c>
      <c r="B16" s="213" t="str">
        <f>'B) D RI'!B17</f>
        <v>Ormont-Dessus</v>
      </c>
      <c r="C16" s="333">
        <f>'B) D RI'!S17</f>
        <v>76</v>
      </c>
      <c r="D16" s="214">
        <f>'B) D RI'!AR17</f>
        <v>1481</v>
      </c>
      <c r="E16" s="219">
        <f>'D) Ecrêtage'!M15</f>
        <v>71790.213859649128</v>
      </c>
      <c r="F16" s="222">
        <f>'E) Fact soc'!G21</f>
        <v>1372213.1122473751</v>
      </c>
      <c r="G16" s="222">
        <f>'H) Péréquation directe'!I26</f>
        <v>1068779.6428253967</v>
      </c>
      <c r="H16" s="222">
        <f>'I) Dépenses thématiques'!O15</f>
        <v>-817826.57664386346</v>
      </c>
      <c r="I16" s="222">
        <f>'K) Plafonnement aide'!J15</f>
        <v>0</v>
      </c>
      <c r="J16" s="222">
        <f>'J) Plafonnement effort'!I15</f>
        <v>0</v>
      </c>
      <c r="K16" s="222">
        <f>'L) Plafonnement taux'!Q16</f>
        <v>0</v>
      </c>
      <c r="L16" s="307">
        <f t="shared" si="0"/>
        <v>1623166.1784289081</v>
      </c>
      <c r="M16" s="307">
        <f>'M) Police'!O16</f>
        <v>219820.86673947508</v>
      </c>
      <c r="N16" s="307">
        <f t="shared" si="1"/>
        <v>1842987.0451683833</v>
      </c>
      <c r="P16" s="380"/>
    </row>
    <row r="17" spans="1:16" s="215" customFormat="1" x14ac:dyDescent="0.25">
      <c r="A17" s="212">
        <f>'B) D RI'!A18</f>
        <v>5412</v>
      </c>
      <c r="B17" s="213" t="str">
        <f>'B) D RI'!B18</f>
        <v>Rennaz</v>
      </c>
      <c r="C17" s="333">
        <f>'B) D RI'!S18</f>
        <v>67.5</v>
      </c>
      <c r="D17" s="214">
        <f>'B) D RI'!AR18</f>
        <v>843</v>
      </c>
      <c r="E17" s="219">
        <f>'D) Ecrêtage'!M16</f>
        <v>26501.739703703701</v>
      </c>
      <c r="F17" s="222">
        <f>'E) Fact soc'!G22</f>
        <v>503459.3548731358</v>
      </c>
      <c r="G17" s="222">
        <f>'H) Péréquation directe'!I27</f>
        <v>215882.22995714698</v>
      </c>
      <c r="H17" s="222">
        <f>'I) Dépenses thématiques'!O16</f>
        <v>0</v>
      </c>
      <c r="I17" s="222">
        <f>'K) Plafonnement aide'!J16</f>
        <v>0</v>
      </c>
      <c r="J17" s="222">
        <f>'J) Plafonnement effort'!I16</f>
        <v>0</v>
      </c>
      <c r="K17" s="222">
        <f>'L) Plafonnement taux'!Q17</f>
        <v>0</v>
      </c>
      <c r="L17" s="307">
        <f t="shared" si="0"/>
        <v>719341.58483028272</v>
      </c>
      <c r="M17" s="307">
        <f>'M) Police'!O17</f>
        <v>82827.721947892584</v>
      </c>
      <c r="N17" s="307">
        <f t="shared" si="1"/>
        <v>802169.30677817529</v>
      </c>
      <c r="P17" s="380"/>
    </row>
    <row r="18" spans="1:16" s="215" customFormat="1" x14ac:dyDescent="0.25">
      <c r="A18" s="212">
        <f>'B) D RI'!A19</f>
        <v>5413</v>
      </c>
      <c r="B18" s="213" t="str">
        <f>'B) D RI'!B19</f>
        <v>Roche</v>
      </c>
      <c r="C18" s="333">
        <f>'B) D RI'!S19</f>
        <v>68</v>
      </c>
      <c r="D18" s="214">
        <f>'B) D RI'!AR19</f>
        <v>1507</v>
      </c>
      <c r="E18" s="219">
        <f>'D) Ecrêtage'!M17</f>
        <v>34861.221617647054</v>
      </c>
      <c r="F18" s="222">
        <f>'E) Fact soc'!G23</f>
        <v>711873.47749908944</v>
      </c>
      <c r="G18" s="222">
        <f>'H) Péréquation directe'!I28</f>
        <v>-207430.21744671615</v>
      </c>
      <c r="H18" s="222">
        <f>'I) Dépenses thématiques'!O17</f>
        <v>-20837.797398048246</v>
      </c>
      <c r="I18" s="222">
        <f>'K) Plafonnement aide'!J17</f>
        <v>0</v>
      </c>
      <c r="J18" s="222">
        <f>'J) Plafonnement effort'!I17</f>
        <v>0</v>
      </c>
      <c r="K18" s="222">
        <f>'L) Plafonnement taux'!Q18</f>
        <v>0</v>
      </c>
      <c r="L18" s="307">
        <f t="shared" si="0"/>
        <v>483605.46265432506</v>
      </c>
      <c r="M18" s="307">
        <f>'M) Police'!O18</f>
        <v>109815.45173151686</v>
      </c>
      <c r="N18" s="307">
        <f t="shared" si="1"/>
        <v>593420.91438584193</v>
      </c>
      <c r="P18" s="380"/>
    </row>
    <row r="19" spans="1:16" s="215" customFormat="1" x14ac:dyDescent="0.25">
      <c r="A19" s="212">
        <f>'B) D RI'!A20</f>
        <v>5414</v>
      </c>
      <c r="B19" s="213" t="str">
        <f>'B) D RI'!B20</f>
        <v>Villeneuve</v>
      </c>
      <c r="C19" s="333">
        <f>'B) D RI'!S20</f>
        <v>69</v>
      </c>
      <c r="D19" s="214">
        <f>'B) D RI'!AR20</f>
        <v>5428</v>
      </c>
      <c r="E19" s="219">
        <f>'D) Ecrêtage'!M18</f>
        <v>168009.32057971013</v>
      </c>
      <c r="F19" s="222">
        <f>'E) Fact soc'!G24</f>
        <v>3532159.6565365447</v>
      </c>
      <c r="G19" s="222">
        <f>'H) Péréquation directe'!I29</f>
        <v>-263436.69228189392</v>
      </c>
      <c r="H19" s="222">
        <f>'I) Dépenses thématiques'!O18</f>
        <v>-1048590.9465127918</v>
      </c>
      <c r="I19" s="222">
        <f>'K) Plafonnement aide'!J18</f>
        <v>0</v>
      </c>
      <c r="J19" s="222">
        <f>'J) Plafonnement effort'!I18</f>
        <v>0</v>
      </c>
      <c r="K19" s="222">
        <f>'L) Plafonnement taux'!Q19</f>
        <v>0</v>
      </c>
      <c r="L19" s="307">
        <f t="shared" si="0"/>
        <v>2220132.017741859</v>
      </c>
      <c r="M19" s="307">
        <f>'M) Police'!O19</f>
        <v>531438.37995347229</v>
      </c>
      <c r="N19" s="307">
        <f t="shared" si="1"/>
        <v>2751570.3976953314</v>
      </c>
      <c r="P19" s="380"/>
    </row>
    <row r="20" spans="1:16" s="215" customFormat="1" x14ac:dyDescent="0.25">
      <c r="A20" s="212">
        <f>'B) D RI'!A21</f>
        <v>5415</v>
      </c>
      <c r="B20" s="213" t="str">
        <f>'B) D RI'!B21</f>
        <v>Yvorne</v>
      </c>
      <c r="C20" s="333">
        <f>'B) D RI'!S21</f>
        <v>68.5</v>
      </c>
      <c r="D20" s="214">
        <f>'B) D RI'!AR21</f>
        <v>1032</v>
      </c>
      <c r="E20" s="219">
        <f>'D) Ecrêtage'!M19</f>
        <v>43055.973722627736</v>
      </c>
      <c r="F20" s="222">
        <f>'E) Fact soc'!G25</f>
        <v>744475.18800612981</v>
      </c>
      <c r="G20" s="222">
        <f>'H) Péréquation directe'!I30</f>
        <v>644581.87373551959</v>
      </c>
      <c r="H20" s="222">
        <f>'I) Dépenses thématiques'!O19</f>
        <v>-181677.0825207532</v>
      </c>
      <c r="I20" s="222">
        <f>'K) Plafonnement aide'!J19</f>
        <v>0</v>
      </c>
      <c r="J20" s="222">
        <f>'J) Plafonnement effort'!I19</f>
        <v>0</v>
      </c>
      <c r="K20" s="222">
        <f>'L) Plafonnement taux'!Q20</f>
        <v>0</v>
      </c>
      <c r="L20" s="307">
        <f t="shared" si="0"/>
        <v>1207379.9792208963</v>
      </c>
      <c r="M20" s="307">
        <f>'M) Police'!O20</f>
        <v>137626.37559596231</v>
      </c>
      <c r="N20" s="307">
        <f t="shared" si="1"/>
        <v>1345006.3548168587</v>
      </c>
      <c r="P20" s="380"/>
    </row>
    <row r="21" spans="1:16" s="215" customFormat="1" x14ac:dyDescent="0.25">
      <c r="A21" s="212">
        <f>'B) D RI'!A22</f>
        <v>5421</v>
      </c>
      <c r="B21" s="213" t="str">
        <f>'B) D RI'!B22</f>
        <v>Apples</v>
      </c>
      <c r="C21" s="333">
        <f>'B) D RI'!S22</f>
        <v>71</v>
      </c>
      <c r="D21" s="214">
        <f>'B) D RI'!AR22</f>
        <v>1363</v>
      </c>
      <c r="E21" s="219">
        <f>'D) Ecrêtage'!M20</f>
        <v>57391.691408450701</v>
      </c>
      <c r="F21" s="222">
        <f>'E) Fact soc'!G26</f>
        <v>1193828.677442431</v>
      </c>
      <c r="G21" s="222">
        <f>'H) Péréquation directe'!I31</f>
        <v>787788.38427036582</v>
      </c>
      <c r="H21" s="222">
        <f>'I) Dépenses thématiques'!O20</f>
        <v>-184342.31550149992</v>
      </c>
      <c r="I21" s="222">
        <f>'K) Plafonnement aide'!J20</f>
        <v>0</v>
      </c>
      <c r="J21" s="222">
        <f>'J) Plafonnement effort'!I20</f>
        <v>0</v>
      </c>
      <c r="K21" s="222">
        <f>'L) Plafonnement taux'!Q21</f>
        <v>0</v>
      </c>
      <c r="L21" s="307">
        <f t="shared" si="0"/>
        <v>1797274.7462112969</v>
      </c>
      <c r="M21" s="307">
        <f>'M) Police'!O21</f>
        <v>184349.65765081567</v>
      </c>
      <c r="N21" s="307">
        <f t="shared" si="1"/>
        <v>1981624.4038621127</v>
      </c>
      <c r="P21" s="380"/>
    </row>
    <row r="22" spans="1:16" s="215" customFormat="1" x14ac:dyDescent="0.25">
      <c r="A22" s="212">
        <f>'B) D RI'!A23</f>
        <v>5422</v>
      </c>
      <c r="B22" s="213" t="str">
        <f>'B) D RI'!B23</f>
        <v>Aubonne</v>
      </c>
      <c r="C22" s="333">
        <f>'B) D RI'!S23</f>
        <v>68</v>
      </c>
      <c r="D22" s="214">
        <f>'B) D RI'!AR23</f>
        <v>3227</v>
      </c>
      <c r="E22" s="219">
        <f>'D) Ecrêtage'!M21</f>
        <v>217787.45958715957</v>
      </c>
      <c r="F22" s="222">
        <f>'E) Fact soc'!G27</f>
        <v>5539674.2986934129</v>
      </c>
      <c r="G22" s="222">
        <f>'H) Péréquation directe'!I32</f>
        <v>3143903.5673649544</v>
      </c>
      <c r="H22" s="222">
        <f>'I) Dépenses thématiques'!O21</f>
        <v>-11691.510844771356</v>
      </c>
      <c r="I22" s="222">
        <f>'K) Plafonnement aide'!J21</f>
        <v>0</v>
      </c>
      <c r="J22" s="222">
        <f>'J) Plafonnement effort'!I21</f>
        <v>0</v>
      </c>
      <c r="K22" s="222">
        <f>'L) Plafonnement taux'!Q22</f>
        <v>0</v>
      </c>
      <c r="L22" s="307">
        <f t="shared" si="0"/>
        <v>8671886.3552135974</v>
      </c>
      <c r="M22" s="307">
        <f>'M) Police'!O22</f>
        <v>565562.47574051633</v>
      </c>
      <c r="N22" s="307">
        <f t="shared" si="1"/>
        <v>9237448.830954114</v>
      </c>
      <c r="P22" s="380"/>
    </row>
    <row r="23" spans="1:16" s="215" customFormat="1" x14ac:dyDescent="0.25">
      <c r="A23" s="212">
        <f>'B) D RI'!A24</f>
        <v>5423</v>
      </c>
      <c r="B23" s="213" t="str">
        <f>'B) D RI'!B24</f>
        <v>Ballens</v>
      </c>
      <c r="C23" s="333">
        <f>'B) D RI'!S24</f>
        <v>69</v>
      </c>
      <c r="D23" s="214">
        <f>'B) D RI'!AR24</f>
        <v>509</v>
      </c>
      <c r="E23" s="219">
        <f>'D) Ecrêtage'!M22</f>
        <v>18689.408115942024</v>
      </c>
      <c r="F23" s="222">
        <f>'E) Fact soc'!G28</f>
        <v>322899.08322019171</v>
      </c>
      <c r="G23" s="222">
        <f>'H) Péréquation directe'!I33</f>
        <v>225949.1979955025</v>
      </c>
      <c r="H23" s="222">
        <f>'I) Dépenses thématiques'!O22</f>
        <v>-63708.045252601711</v>
      </c>
      <c r="I23" s="222">
        <f>'K) Plafonnement aide'!J22</f>
        <v>0</v>
      </c>
      <c r="J23" s="222">
        <f>'J) Plafonnement effort'!I22</f>
        <v>0</v>
      </c>
      <c r="K23" s="222">
        <f>'L) Plafonnement taux'!Q23</f>
        <v>0</v>
      </c>
      <c r="L23" s="307">
        <f t="shared" si="0"/>
        <v>485140.23596309253</v>
      </c>
      <c r="M23" s="307">
        <f>'M) Police'!O23</f>
        <v>60273.82413464351</v>
      </c>
      <c r="N23" s="307">
        <f t="shared" si="1"/>
        <v>545414.06009773607</v>
      </c>
      <c r="P23" s="380"/>
    </row>
    <row r="24" spans="1:16" s="215" customFormat="1" x14ac:dyDescent="0.25">
      <c r="A24" s="212">
        <f>'B) D RI'!A25</f>
        <v>5424</v>
      </c>
      <c r="B24" s="213" t="str">
        <f>'B) D RI'!B25</f>
        <v>Berolle</v>
      </c>
      <c r="C24" s="333">
        <f>'B) D RI'!S25</f>
        <v>77</v>
      </c>
      <c r="D24" s="214">
        <f>'B) D RI'!AR25</f>
        <v>292</v>
      </c>
      <c r="E24" s="219">
        <f>'D) Ecrêtage'!M23</f>
        <v>9360.1262337662338</v>
      </c>
      <c r="F24" s="222">
        <f>'E) Fact soc'!G29</f>
        <v>171302.50013519605</v>
      </c>
      <c r="G24" s="222">
        <f>'H) Péréquation directe'!I34</f>
        <v>62213.530907406675</v>
      </c>
      <c r="H24" s="222">
        <f>'I) Dépenses thématiques'!O23</f>
        <v>-43532.160500307327</v>
      </c>
      <c r="I24" s="222">
        <f>'K) Plafonnement aide'!J23</f>
        <v>0</v>
      </c>
      <c r="J24" s="222">
        <f>'J) Plafonnement effort'!I23</f>
        <v>0</v>
      </c>
      <c r="K24" s="222">
        <f>'L) Plafonnement taux'!Q24</f>
        <v>0</v>
      </c>
      <c r="L24" s="307">
        <f t="shared" si="0"/>
        <v>189983.87054229539</v>
      </c>
      <c r="M24" s="307">
        <f>'M) Police'!O24</f>
        <v>30051.234965541618</v>
      </c>
      <c r="N24" s="307">
        <f t="shared" si="1"/>
        <v>220035.10550783703</v>
      </c>
      <c r="P24" s="380"/>
    </row>
    <row r="25" spans="1:16" s="215" customFormat="1" x14ac:dyDescent="0.25">
      <c r="A25" s="212">
        <f>'B) D RI'!A26</f>
        <v>5425</v>
      </c>
      <c r="B25" s="213" t="str">
        <f>'B) D RI'!B26</f>
        <v>Bière</v>
      </c>
      <c r="C25" s="333">
        <f>'B) D RI'!S26</f>
        <v>68</v>
      </c>
      <c r="D25" s="214">
        <f>'B) D RI'!AR26</f>
        <v>1550</v>
      </c>
      <c r="E25" s="219">
        <f>'D) Ecrêtage'!M24</f>
        <v>40787.403970588231</v>
      </c>
      <c r="F25" s="222">
        <f>'E) Fact soc'!G30</f>
        <v>747762.37176956632</v>
      </c>
      <c r="G25" s="222">
        <f>'H) Péréquation directe'!I35</f>
        <v>-38068.800309894257</v>
      </c>
      <c r="H25" s="222">
        <f>'I) Dépenses thématiques'!O24</f>
        <v>-406409.53118112544</v>
      </c>
      <c r="I25" s="222">
        <f>'K) Plafonnement aide'!J24</f>
        <v>0</v>
      </c>
      <c r="J25" s="222">
        <f>'J) Plafonnement effort'!I24</f>
        <v>0</v>
      </c>
      <c r="K25" s="222">
        <f>'L) Plafonnement taux'!Q25</f>
        <v>0</v>
      </c>
      <c r="L25" s="307">
        <f t="shared" si="0"/>
        <v>303284.04027854663</v>
      </c>
      <c r="M25" s="307">
        <f>'M) Police'!O25</f>
        <v>130517.02005628498</v>
      </c>
      <c r="N25" s="307">
        <f t="shared" si="1"/>
        <v>433801.06033483159</v>
      </c>
      <c r="P25" s="380"/>
    </row>
    <row r="26" spans="1:16" s="215" customFormat="1" x14ac:dyDescent="0.25">
      <c r="A26" s="212">
        <f>'B) D RI'!A27</f>
        <v>5426</v>
      </c>
      <c r="B26" s="213" t="str">
        <f>'B) D RI'!B27</f>
        <v>Bougy-Villars</v>
      </c>
      <c r="C26" s="333">
        <f>'B) D RI'!S27</f>
        <v>62</v>
      </c>
      <c r="D26" s="214">
        <f>'B) D RI'!AR27</f>
        <v>481</v>
      </c>
      <c r="E26" s="219">
        <f>'D) Ecrêtage'!M25</f>
        <v>37789.643747698407</v>
      </c>
      <c r="F26" s="222">
        <f>'E) Fact soc'!G31</f>
        <v>1122988.3955019275</v>
      </c>
      <c r="G26" s="222">
        <f>'H) Péréquation directe'!I36</f>
        <v>654814.35323993675</v>
      </c>
      <c r="H26" s="222">
        <f>'I) Dépenses thématiques'!O25</f>
        <v>0</v>
      </c>
      <c r="I26" s="222">
        <f>'K) Plafonnement aide'!J25</f>
        <v>0</v>
      </c>
      <c r="J26" s="222">
        <f>'J) Plafonnement effort'!I25</f>
        <v>0</v>
      </c>
      <c r="K26" s="222">
        <f>'L) Plafonnement taux'!Q26</f>
        <v>0</v>
      </c>
      <c r="L26" s="307">
        <f t="shared" si="0"/>
        <v>1777802.7487418642</v>
      </c>
      <c r="M26" s="307">
        <f>'M) Police'!O26</f>
        <v>91451.63927177884</v>
      </c>
      <c r="N26" s="307">
        <f t="shared" si="1"/>
        <v>1869254.388013643</v>
      </c>
      <c r="P26" s="380"/>
    </row>
    <row r="27" spans="1:16" s="215" customFormat="1" x14ac:dyDescent="0.25">
      <c r="A27" s="212">
        <f>'B) D RI'!A28</f>
        <v>5427</v>
      </c>
      <c r="B27" s="213" t="str">
        <f>'B) D RI'!B28</f>
        <v>Féchy</v>
      </c>
      <c r="C27" s="333">
        <f>'B) D RI'!S28</f>
        <v>64</v>
      </c>
      <c r="D27" s="214">
        <f>'B) D RI'!AR28</f>
        <v>860</v>
      </c>
      <c r="E27" s="219">
        <f>'D) Ecrêtage'!M26</f>
        <v>59897.218306141724</v>
      </c>
      <c r="F27" s="222">
        <f>'E) Fact soc'!G32</f>
        <v>1491440.25900349</v>
      </c>
      <c r="G27" s="222">
        <f>'H) Péréquation directe'!I37</f>
        <v>1028229.219625643</v>
      </c>
      <c r="H27" s="222">
        <f>'I) Dépenses thématiques'!O26</f>
        <v>0</v>
      </c>
      <c r="I27" s="222">
        <f>'K) Plafonnement aide'!J26</f>
        <v>0</v>
      </c>
      <c r="J27" s="222">
        <f>'J) Plafonnement effort'!I26</f>
        <v>0</v>
      </c>
      <c r="K27" s="222">
        <f>'L) Plafonnement taux'!Q27</f>
        <v>0</v>
      </c>
      <c r="L27" s="307">
        <f t="shared" si="0"/>
        <v>2519669.4786291327</v>
      </c>
      <c r="M27" s="307">
        <f>'M) Police'!O27</f>
        <v>153215.55287721645</v>
      </c>
      <c r="N27" s="307">
        <f t="shared" si="1"/>
        <v>2672885.0315063493</v>
      </c>
      <c r="P27" s="380"/>
    </row>
    <row r="28" spans="1:16" s="215" customFormat="1" x14ac:dyDescent="0.25">
      <c r="A28" s="212">
        <f>'B) D RI'!A29</f>
        <v>5428</v>
      </c>
      <c r="B28" s="213" t="str">
        <f>'B) D RI'!B29</f>
        <v>Gimel</v>
      </c>
      <c r="C28" s="333">
        <f>'B) D RI'!S29</f>
        <v>71.5</v>
      </c>
      <c r="D28" s="214">
        <f>'B) D RI'!AR29</f>
        <v>1907</v>
      </c>
      <c r="E28" s="219">
        <f>'D) Ecrêtage'!M27</f>
        <v>57546.053752913758</v>
      </c>
      <c r="F28" s="222">
        <f>'E) Fact soc'!G33</f>
        <v>1163549.8802237704</v>
      </c>
      <c r="G28" s="222">
        <f>'H) Péréquation directe'!I38</f>
        <v>116938.25326302205</v>
      </c>
      <c r="H28" s="222">
        <f>'I) Dépenses thématiques'!O27</f>
        <v>-321740.00392705639</v>
      </c>
      <c r="I28" s="222">
        <f>'K) Plafonnement aide'!J27</f>
        <v>0</v>
      </c>
      <c r="J28" s="222">
        <f>'J) Plafonnement effort'!I27</f>
        <v>0</v>
      </c>
      <c r="K28" s="222">
        <f>'L) Plafonnement taux'!Q28</f>
        <v>0</v>
      </c>
      <c r="L28" s="307">
        <f t="shared" si="0"/>
        <v>958748.129559736</v>
      </c>
      <c r="M28" s="307">
        <f>'M) Police'!O28</f>
        <v>183606.00013428438</v>
      </c>
      <c r="N28" s="307">
        <f t="shared" si="1"/>
        <v>1142354.1296940204</v>
      </c>
      <c r="P28" s="380"/>
    </row>
    <row r="29" spans="1:16" s="215" customFormat="1" x14ac:dyDescent="0.25">
      <c r="A29" s="212">
        <f>'B) D RI'!A30</f>
        <v>5429</v>
      </c>
      <c r="B29" s="213" t="str">
        <f>'B) D RI'!B30</f>
        <v>Longirod</v>
      </c>
      <c r="C29" s="333">
        <f>'B) D RI'!S30</f>
        <v>81</v>
      </c>
      <c r="D29" s="214">
        <f>'B) D RI'!AR30</f>
        <v>463</v>
      </c>
      <c r="E29" s="219">
        <f>'D) Ecrêtage'!M28</f>
        <v>13645.142716049384</v>
      </c>
      <c r="F29" s="222">
        <f>'E) Fact soc'!G34</f>
        <v>246352.31263399741</v>
      </c>
      <c r="G29" s="222">
        <f>'H) Péréquation directe'!I39</f>
        <v>31187.562759705266</v>
      </c>
      <c r="H29" s="222">
        <f>'I) Dépenses thématiques'!O28</f>
        <v>-142365.40321984212</v>
      </c>
      <c r="I29" s="222">
        <f>'K) Plafonnement aide'!J28</f>
        <v>0</v>
      </c>
      <c r="J29" s="222">
        <f>'J) Plafonnement effort'!I28</f>
        <v>0</v>
      </c>
      <c r="K29" s="222">
        <f>'L) Plafonnement taux'!Q29</f>
        <v>0</v>
      </c>
      <c r="L29" s="307">
        <f t="shared" si="0"/>
        <v>135174.47217386053</v>
      </c>
      <c r="M29" s="307">
        <f>'M) Police'!O29</f>
        <v>43528.316528213356</v>
      </c>
      <c r="N29" s="307">
        <f t="shared" si="1"/>
        <v>178702.78870207389</v>
      </c>
      <c r="P29" s="380"/>
    </row>
    <row r="30" spans="1:16" s="215" customFormat="1" x14ac:dyDescent="0.25">
      <c r="A30" s="212">
        <f>'B) D RI'!A31</f>
        <v>5430</v>
      </c>
      <c r="B30" s="213" t="str">
        <f>'B) D RI'!B31</f>
        <v>Marchissy</v>
      </c>
      <c r="C30" s="333">
        <f>'B) D RI'!S31</f>
        <v>81</v>
      </c>
      <c r="D30" s="214">
        <f>'B) D RI'!AR31</f>
        <v>448</v>
      </c>
      <c r="E30" s="219">
        <f>'D) Ecrêtage'!M29</f>
        <v>12901.686543209877</v>
      </c>
      <c r="F30" s="222">
        <f>'E) Fact soc'!G35</f>
        <v>298266.17345670518</v>
      </c>
      <c r="G30" s="222">
        <f>'H) Péréquation directe'!I40</f>
        <v>16711.842522524617</v>
      </c>
      <c r="H30" s="222">
        <f>'I) Dépenses thématiques'!O29</f>
        <v>-227193.13454158869</v>
      </c>
      <c r="I30" s="222">
        <f>'K) Plafonnement aide'!J29</f>
        <v>0</v>
      </c>
      <c r="J30" s="222">
        <f>'J) Plafonnement effort'!I29</f>
        <v>0</v>
      </c>
      <c r="K30" s="222">
        <f>'L) Plafonnement taux'!Q30</f>
        <v>0</v>
      </c>
      <c r="L30" s="307">
        <f t="shared" si="0"/>
        <v>87784.881437641132</v>
      </c>
      <c r="M30" s="307">
        <f>'M) Police'!O30</f>
        <v>41242.069066172306</v>
      </c>
      <c r="N30" s="307">
        <f t="shared" si="1"/>
        <v>129026.95050381344</v>
      </c>
      <c r="P30" s="380"/>
    </row>
    <row r="31" spans="1:16" s="215" customFormat="1" x14ac:dyDescent="0.25">
      <c r="A31" s="212">
        <f>'B) D RI'!A32</f>
        <v>5431</v>
      </c>
      <c r="B31" s="213" t="str">
        <f>'B) D RI'!B32</f>
        <v>Mollens</v>
      </c>
      <c r="C31" s="333">
        <f>'B) D RI'!S32</f>
        <v>74</v>
      </c>
      <c r="D31" s="214">
        <f>'B) D RI'!AR32</f>
        <v>294</v>
      </c>
      <c r="E31" s="219">
        <f>'D) Ecrêtage'!M30</f>
        <v>8965.3154054054066</v>
      </c>
      <c r="F31" s="222">
        <f>'E) Fact soc'!G36</f>
        <v>157887.52333205586</v>
      </c>
      <c r="G31" s="222">
        <f>'H) Péréquation directe'!I41</f>
        <v>50490.79153710563</v>
      </c>
      <c r="H31" s="222">
        <f>'I) Dépenses thématiques'!O30</f>
        <v>-44883.825884129656</v>
      </c>
      <c r="I31" s="222">
        <f>'K) Plafonnement aide'!J30</f>
        <v>0</v>
      </c>
      <c r="J31" s="222">
        <f>'J) Plafonnement effort'!I30</f>
        <v>0</v>
      </c>
      <c r="K31" s="222">
        <f>'L) Plafonnement taux'!Q31</f>
        <v>0</v>
      </c>
      <c r="L31" s="307">
        <f t="shared" si="0"/>
        <v>163494.48898503184</v>
      </c>
      <c r="M31" s="307">
        <f>'M) Police'!O31</f>
        <v>28706.517320044914</v>
      </c>
      <c r="N31" s="307">
        <f t="shared" si="1"/>
        <v>192201.00630507676</v>
      </c>
      <c r="P31" s="380"/>
    </row>
    <row r="32" spans="1:16" s="215" customFormat="1" x14ac:dyDescent="0.25">
      <c r="A32" s="212">
        <f>'B) D RI'!A33</f>
        <v>5432</v>
      </c>
      <c r="B32" s="213" t="str">
        <f>'B) D RI'!B33</f>
        <v>Montherod</v>
      </c>
      <c r="C32" s="333">
        <f>'B) D RI'!S33</f>
        <v>74</v>
      </c>
      <c r="D32" s="214">
        <f>'B) D RI'!AR33</f>
        <v>518</v>
      </c>
      <c r="E32" s="219">
        <f>'D) Ecrêtage'!M31</f>
        <v>18938.674054054052</v>
      </c>
      <c r="F32" s="222">
        <f>'E) Fact soc'!G37</f>
        <v>379565.70349946892</v>
      </c>
      <c r="G32" s="222">
        <f>'H) Péréquation directe'!I42</f>
        <v>215806.72151828086</v>
      </c>
      <c r="H32" s="222">
        <f>'I) Dépenses thématiques'!O31</f>
        <v>0</v>
      </c>
      <c r="I32" s="222">
        <f>'K) Plafonnement aide'!J31</f>
        <v>0</v>
      </c>
      <c r="J32" s="222">
        <f>'J) Plafonnement effort'!I31</f>
        <v>0</v>
      </c>
      <c r="K32" s="222">
        <f>'L) Plafonnement taux'!Q32</f>
        <v>0</v>
      </c>
      <c r="L32" s="307">
        <f t="shared" si="0"/>
        <v>595372.42501774977</v>
      </c>
      <c r="M32" s="307">
        <f>'M) Police'!O32</f>
        <v>60909.785058293455</v>
      </c>
      <c r="N32" s="307">
        <f t="shared" si="1"/>
        <v>656282.21007604327</v>
      </c>
      <c r="P32" s="380"/>
    </row>
    <row r="33" spans="1:16" s="215" customFormat="1" x14ac:dyDescent="0.25">
      <c r="A33" s="212">
        <f>'B) D RI'!A34</f>
        <v>5434</v>
      </c>
      <c r="B33" s="213" t="str">
        <f>'B) D RI'!B34</f>
        <v>Saint-George</v>
      </c>
      <c r="C33" s="333">
        <f>'B) D RI'!S34</f>
        <v>68.5</v>
      </c>
      <c r="D33" s="214">
        <f>'B) D RI'!AR34</f>
        <v>949</v>
      </c>
      <c r="E33" s="219">
        <f>'D) Ecrêtage'!M32</f>
        <v>33015.772116788328</v>
      </c>
      <c r="F33" s="222">
        <f>'E) Fact soc'!G38</f>
        <v>648210.37170342682</v>
      </c>
      <c r="G33" s="222">
        <f>'H) Péréquation directe'!I43</f>
        <v>355039.00760770927</v>
      </c>
      <c r="H33" s="222">
        <f>'I) Dépenses thématiques'!O32</f>
        <v>-138418.28463102476</v>
      </c>
      <c r="I33" s="222">
        <f>'K) Plafonnement aide'!J32</f>
        <v>0</v>
      </c>
      <c r="J33" s="222">
        <f>'J) Plafonnement effort'!I32</f>
        <v>0</v>
      </c>
      <c r="K33" s="222">
        <f>'L) Plafonnement taux'!Q33</f>
        <v>0</v>
      </c>
      <c r="L33" s="307">
        <f t="shared" si="0"/>
        <v>864831.09468011139</v>
      </c>
      <c r="M33" s="307">
        <f>'M) Police'!O33</f>
        <v>104661.31239291636</v>
      </c>
      <c r="N33" s="307">
        <f t="shared" si="1"/>
        <v>969492.40707302769</v>
      </c>
      <c r="P33" s="380"/>
    </row>
    <row r="34" spans="1:16" s="215" customFormat="1" x14ac:dyDescent="0.25">
      <c r="A34" s="212">
        <f>'B) D RI'!A35</f>
        <v>5435</v>
      </c>
      <c r="B34" s="213" t="str">
        <f>'B) D RI'!B35</f>
        <v>Saint-Livres</v>
      </c>
      <c r="C34" s="333">
        <f>'B) D RI'!S35</f>
        <v>69</v>
      </c>
      <c r="D34" s="214">
        <f>'B) D RI'!AR35</f>
        <v>713</v>
      </c>
      <c r="E34" s="219">
        <f>'D) Ecrêtage'!M33</f>
        <v>24335.25550724638</v>
      </c>
      <c r="F34" s="222">
        <f>'E) Fact soc'!G39</f>
        <v>392658.84224965714</v>
      </c>
      <c r="G34" s="222">
        <f>'H) Péréquation directe'!I44</f>
        <v>247297.09783614936</v>
      </c>
      <c r="H34" s="222">
        <f>'I) Dépenses thématiques'!O33</f>
        <v>-26162.265289090876</v>
      </c>
      <c r="I34" s="222">
        <f>'K) Plafonnement aide'!J33</f>
        <v>0</v>
      </c>
      <c r="J34" s="222">
        <f>'J) Plafonnement effort'!I33</f>
        <v>0</v>
      </c>
      <c r="K34" s="222">
        <f>'L) Plafonnement taux'!Q34</f>
        <v>0</v>
      </c>
      <c r="L34" s="307">
        <f t="shared" si="0"/>
        <v>613793.67479671561</v>
      </c>
      <c r="M34" s="307">
        <f>'M) Police'!O34</f>
        <v>78120.457637879575</v>
      </c>
      <c r="N34" s="307">
        <f t="shared" si="1"/>
        <v>691914.13243459514</v>
      </c>
      <c r="P34" s="380"/>
    </row>
    <row r="35" spans="1:16" s="215" customFormat="1" x14ac:dyDescent="0.25">
      <c r="A35" s="212">
        <f>'B) D RI'!A36</f>
        <v>5436</v>
      </c>
      <c r="B35" s="213" t="str">
        <f>'B) D RI'!B36</f>
        <v>Saint-Oyens</v>
      </c>
      <c r="C35" s="333">
        <f>'B) D RI'!S36</f>
        <v>81</v>
      </c>
      <c r="D35" s="214">
        <f>'B) D RI'!AR36</f>
        <v>345</v>
      </c>
      <c r="E35" s="219">
        <f>'D) Ecrêtage'!M34</f>
        <v>9937.7678395061721</v>
      </c>
      <c r="F35" s="222">
        <f>'E) Fact soc'!G40</f>
        <v>192852.50190407442</v>
      </c>
      <c r="G35" s="222">
        <f>'H) Péréquation directe'!I45</f>
        <v>12973.140635401738</v>
      </c>
      <c r="H35" s="222">
        <f>'I) Dépenses thématiques'!O34</f>
        <v>-64234.95525405099</v>
      </c>
      <c r="I35" s="222">
        <f>'K) Plafonnement aide'!J34</f>
        <v>0</v>
      </c>
      <c r="J35" s="222">
        <f>'J) Plafonnement effort'!I34</f>
        <v>0</v>
      </c>
      <c r="K35" s="222">
        <f>'L) Plafonnement taux'!Q35</f>
        <v>0</v>
      </c>
      <c r="L35" s="307">
        <f t="shared" si="0"/>
        <v>141590.68728542517</v>
      </c>
      <c r="M35" s="307">
        <f>'M) Police'!O35</f>
        <v>31761.600140251441</v>
      </c>
      <c r="N35" s="307">
        <f t="shared" si="1"/>
        <v>173352.28742567662</v>
      </c>
      <c r="P35" s="380"/>
    </row>
    <row r="36" spans="1:16" s="215" customFormat="1" x14ac:dyDescent="0.25">
      <c r="A36" s="212">
        <f>'B) D RI'!A37</f>
        <v>5437</v>
      </c>
      <c r="B36" s="213" t="str">
        <f>'B) D RI'!B37</f>
        <v>Saubraz</v>
      </c>
      <c r="C36" s="333">
        <f>'B) D RI'!S37</f>
        <v>83</v>
      </c>
      <c r="D36" s="214">
        <f>'B) D RI'!AR37</f>
        <v>391</v>
      </c>
      <c r="E36" s="219">
        <f>'D) Ecrêtage'!M35</f>
        <v>9144.65614457831</v>
      </c>
      <c r="F36" s="222">
        <f>'E) Fact soc'!G41</f>
        <v>266172.96732255007</v>
      </c>
      <c r="G36" s="222">
        <f>'H) Péréquation directe'!I46</f>
        <v>-90489.383758886339</v>
      </c>
      <c r="H36" s="222">
        <f>'I) Dépenses thématiques'!O35</f>
        <v>-52474.743377323925</v>
      </c>
      <c r="I36" s="222">
        <f>'K) Plafonnement aide'!J35</f>
        <v>0</v>
      </c>
      <c r="J36" s="222">
        <f>'J) Plafonnement effort'!I35</f>
        <v>0</v>
      </c>
      <c r="K36" s="222">
        <f>'L) Plafonnement taux'!Q36</f>
        <v>-11112.370696710883</v>
      </c>
      <c r="L36" s="307">
        <f t="shared" si="0"/>
        <v>112096.46948962891</v>
      </c>
      <c r="M36" s="307">
        <f>'M) Police'!O36</f>
        <v>29201.418073810586</v>
      </c>
      <c r="N36" s="307">
        <f t="shared" si="1"/>
        <v>141297.88756343949</v>
      </c>
      <c r="P36" s="380"/>
    </row>
    <row r="37" spans="1:16" s="215" customFormat="1" x14ac:dyDescent="0.25">
      <c r="A37" s="212">
        <f>'B) D RI'!A38</f>
        <v>5451</v>
      </c>
      <c r="B37" s="213" t="str">
        <f>'B) D RI'!B38</f>
        <v>Avenches</v>
      </c>
      <c r="C37" s="333">
        <f>'B) D RI'!S38</f>
        <v>68</v>
      </c>
      <c r="D37" s="214">
        <f>'B) D RI'!AR38</f>
        <v>4090</v>
      </c>
      <c r="E37" s="219">
        <f>'D) Ecrêtage'!M36</f>
        <v>102028.81651960785</v>
      </c>
      <c r="F37" s="222">
        <f>'E) Fact soc'!G42</f>
        <v>2025751.9795056102</v>
      </c>
      <c r="G37" s="222">
        <f>'H) Péréquation directe'!I47</f>
        <v>-874824.51908843429</v>
      </c>
      <c r="H37" s="222">
        <f>'I) Dépenses thématiques'!O36</f>
        <v>-1588769.9127626442</v>
      </c>
      <c r="I37" s="222">
        <f>'K) Plafonnement aide'!J36</f>
        <v>0</v>
      </c>
      <c r="J37" s="222">
        <f>'J) Plafonnement effort'!I36</f>
        <v>0</v>
      </c>
      <c r="K37" s="222">
        <f>'L) Plafonnement taux'!Q37</f>
        <v>0</v>
      </c>
      <c r="L37" s="307">
        <f t="shared" si="0"/>
        <v>-437842.45234546834</v>
      </c>
      <c r="M37" s="307">
        <f>'M) Police'!O37</f>
        <v>319440.92043591081</v>
      </c>
      <c r="N37" s="307">
        <f t="shared" si="1"/>
        <v>-118401.53190955753</v>
      </c>
      <c r="P37" s="380"/>
    </row>
    <row r="38" spans="1:16" s="215" customFormat="1" x14ac:dyDescent="0.25">
      <c r="A38" s="212">
        <f>'B) D RI'!A39</f>
        <v>5456</v>
      </c>
      <c r="B38" s="213" t="str">
        <f>'B) D RI'!B39</f>
        <v>Cudrefin</v>
      </c>
      <c r="C38" s="333">
        <f>'B) D RI'!S39</f>
        <v>59</v>
      </c>
      <c r="D38" s="214">
        <f>'B) D RI'!AR39</f>
        <v>1516</v>
      </c>
      <c r="E38" s="219">
        <f>'D) Ecrêtage'!M37</f>
        <v>45272.368813559326</v>
      </c>
      <c r="F38" s="222">
        <f>'E) Fact soc'!G43</f>
        <v>1086943.5705534539</v>
      </c>
      <c r="G38" s="222">
        <f>'H) Péréquation directe'!I48</f>
        <v>265151.65342016087</v>
      </c>
      <c r="H38" s="222">
        <f>'I) Dépenses thématiques'!O37</f>
        <v>-267848.87460596918</v>
      </c>
      <c r="I38" s="222">
        <f>'K) Plafonnement aide'!J37</f>
        <v>0</v>
      </c>
      <c r="J38" s="222">
        <f>'J) Plafonnement effort'!I37</f>
        <v>0</v>
      </c>
      <c r="K38" s="222">
        <f>'L) Plafonnement taux'!Q38</f>
        <v>0</v>
      </c>
      <c r="L38" s="307">
        <f t="shared" si="0"/>
        <v>1084246.3493676456</v>
      </c>
      <c r="M38" s="307">
        <f>'M) Police'!O38</f>
        <v>142192.32638804908</v>
      </c>
      <c r="N38" s="307">
        <f t="shared" si="1"/>
        <v>1226438.6757556947</v>
      </c>
      <c r="P38" s="380"/>
    </row>
    <row r="39" spans="1:16" s="215" customFormat="1" x14ac:dyDescent="0.25">
      <c r="A39" s="212">
        <f>'B) D RI'!A40</f>
        <v>5458</v>
      </c>
      <c r="B39" s="213" t="str">
        <f>'B) D RI'!B40</f>
        <v>Faoug</v>
      </c>
      <c r="C39" s="333">
        <f>'B) D RI'!S40</f>
        <v>61</v>
      </c>
      <c r="D39" s="214">
        <f>'B) D RI'!AR40</f>
        <v>853</v>
      </c>
      <c r="E39" s="219">
        <f>'D) Ecrêtage'!M38</f>
        <v>28143.986721311474</v>
      </c>
      <c r="F39" s="222">
        <f>'E) Fact soc'!G44</f>
        <v>527125.7808725643</v>
      </c>
      <c r="G39" s="222">
        <f>'H) Péréquation directe'!I49</f>
        <v>298625.23075310793</v>
      </c>
      <c r="H39" s="222">
        <f>'I) Dépenses thématiques'!O38</f>
        <v>-115106.14011465144</v>
      </c>
      <c r="I39" s="222">
        <f>'K) Plafonnement aide'!J38</f>
        <v>0</v>
      </c>
      <c r="J39" s="222">
        <f>'J) Plafonnement effort'!I38</f>
        <v>0</v>
      </c>
      <c r="K39" s="222">
        <f>'L) Plafonnement taux'!Q39</f>
        <v>0</v>
      </c>
      <c r="L39" s="307">
        <f t="shared" si="0"/>
        <v>710644.87151102081</v>
      </c>
      <c r="M39" s="307">
        <f>'M) Police'!O39</f>
        <v>88642.309825237753</v>
      </c>
      <c r="N39" s="307">
        <f t="shared" si="1"/>
        <v>799287.18133625854</v>
      </c>
      <c r="P39" s="380"/>
    </row>
    <row r="40" spans="1:16" s="215" customFormat="1" x14ac:dyDescent="0.25">
      <c r="A40" s="212">
        <f>'B) D RI'!A41</f>
        <v>5464</v>
      </c>
      <c r="B40" s="213" t="str">
        <f>'B) D RI'!B41</f>
        <v>Vully-les-Lacs</v>
      </c>
      <c r="C40" s="333">
        <f>'B) D RI'!S41</f>
        <v>67</v>
      </c>
      <c r="D40" s="214">
        <f>'B) D RI'!AR41</f>
        <v>2825</v>
      </c>
      <c r="E40" s="219">
        <f>'D) Ecrêtage'!M39</f>
        <v>96865.968557213928</v>
      </c>
      <c r="F40" s="222">
        <f>'E) Fact soc'!G45</f>
        <v>1876173.1681032944</v>
      </c>
      <c r="G40" s="222">
        <f>'H) Péréquation directe'!I50</f>
        <v>574869.3976675407</v>
      </c>
      <c r="H40" s="222">
        <f>'I) Dépenses thématiques'!O39</f>
        <v>-448710.89637993701</v>
      </c>
      <c r="I40" s="222">
        <f>'K) Plafonnement aide'!J39</f>
        <v>0</v>
      </c>
      <c r="J40" s="222">
        <f>'J) Plafonnement effort'!I39</f>
        <v>0</v>
      </c>
      <c r="K40" s="222">
        <f>'L) Plafonnement taux'!Q40</f>
        <v>0</v>
      </c>
      <c r="L40" s="307">
        <f t="shared" si="0"/>
        <v>2002331.6693908982</v>
      </c>
      <c r="M40" s="307">
        <f>'M) Police'!O40</f>
        <v>307148.58118143131</v>
      </c>
      <c r="N40" s="307">
        <f t="shared" si="1"/>
        <v>2309480.2505723294</v>
      </c>
      <c r="P40" s="380"/>
    </row>
    <row r="41" spans="1:16" s="215" customFormat="1" x14ac:dyDescent="0.25">
      <c r="A41" s="212">
        <f>'B) D RI'!A42</f>
        <v>5471</v>
      </c>
      <c r="B41" s="213" t="str">
        <f>'B) D RI'!B42</f>
        <v>Bettens</v>
      </c>
      <c r="C41" s="333">
        <f>'B) D RI'!S42</f>
        <v>70</v>
      </c>
      <c r="D41" s="214">
        <f>'B) D RI'!AR42</f>
        <v>557</v>
      </c>
      <c r="E41" s="219">
        <f>'D) Ecrêtage'!M40</f>
        <v>18168.257063492067</v>
      </c>
      <c r="F41" s="222">
        <f>'E) Fact soc'!G46</f>
        <v>345683.71205676574</v>
      </c>
      <c r="G41" s="222">
        <f>'H) Péréquation directe'!I51</f>
        <v>158043.44387157296</v>
      </c>
      <c r="H41" s="222">
        <f>'I) Dépenses thématiques'!O40</f>
        <v>0</v>
      </c>
      <c r="I41" s="222">
        <f>'K) Plafonnement aide'!J40</f>
        <v>0</v>
      </c>
      <c r="J41" s="222">
        <f>'J) Plafonnement effort'!I40</f>
        <v>0</v>
      </c>
      <c r="K41" s="222">
        <f>'L) Plafonnement taux'!Q41</f>
        <v>0</v>
      </c>
      <c r="L41" s="307">
        <f t="shared" si="0"/>
        <v>503727.1559283387</v>
      </c>
      <c r="M41" s="307">
        <f>'M) Police'!O41</f>
        <v>58254.042968061651</v>
      </c>
      <c r="N41" s="307">
        <f t="shared" si="1"/>
        <v>561981.1988964004</v>
      </c>
      <c r="P41" s="380"/>
    </row>
    <row r="42" spans="1:16" s="215" customFormat="1" x14ac:dyDescent="0.25">
      <c r="A42" s="212">
        <f>'B) D RI'!A43</f>
        <v>5472</v>
      </c>
      <c r="B42" s="213" t="str">
        <f>'B) D RI'!B43</f>
        <v>Bournens</v>
      </c>
      <c r="C42" s="333">
        <f>'B) D RI'!S43</f>
        <v>80</v>
      </c>
      <c r="D42" s="214">
        <f>'B) D RI'!AR43</f>
        <v>373</v>
      </c>
      <c r="E42" s="219">
        <f>'D) Ecrêtage'!M41</f>
        <v>13213.617875</v>
      </c>
      <c r="F42" s="222">
        <f>'E) Fact soc'!G47</f>
        <v>256085.14543361671</v>
      </c>
      <c r="G42" s="222">
        <f>'H) Péréquation directe'!I52</f>
        <v>126418.26507886557</v>
      </c>
      <c r="H42" s="222">
        <f>'I) Dépenses thématiques'!O41</f>
        <v>-26971.903524012378</v>
      </c>
      <c r="I42" s="222">
        <f>'K) Plafonnement aide'!J41</f>
        <v>0</v>
      </c>
      <c r="J42" s="222">
        <f>'J) Plafonnement effort'!I41</f>
        <v>0</v>
      </c>
      <c r="K42" s="222">
        <f>'L) Plafonnement taux'!Q42</f>
        <v>0</v>
      </c>
      <c r="L42" s="307">
        <f t="shared" si="0"/>
        <v>355531.50698846992</v>
      </c>
      <c r="M42" s="307">
        <f>'M) Police'!O42</f>
        <v>42502.17921526407</v>
      </c>
      <c r="N42" s="307">
        <f t="shared" si="1"/>
        <v>398033.68620373402</v>
      </c>
      <c r="P42" s="380"/>
    </row>
    <row r="43" spans="1:16" s="215" customFormat="1" x14ac:dyDescent="0.25">
      <c r="A43" s="212">
        <f>'B) D RI'!A44</f>
        <v>5473</v>
      </c>
      <c r="B43" s="213" t="str">
        <f>'B) D RI'!B44</f>
        <v>Boussens</v>
      </c>
      <c r="C43" s="333">
        <f>'B) D RI'!S44</f>
        <v>69</v>
      </c>
      <c r="D43" s="214">
        <f>'B) D RI'!AR44</f>
        <v>958</v>
      </c>
      <c r="E43" s="219">
        <f>'D) Ecrêtage'!M42</f>
        <v>33007.750579710155</v>
      </c>
      <c r="F43" s="222">
        <f>'E) Fact soc'!G48</f>
        <v>532210.33663350437</v>
      </c>
      <c r="G43" s="222">
        <f>'H) Péréquation directe'!I53</f>
        <v>343921.04388063506</v>
      </c>
      <c r="H43" s="222">
        <f>'I) Dépenses thématiques'!O42</f>
        <v>0</v>
      </c>
      <c r="I43" s="222">
        <f>'K) Plafonnement aide'!J42</f>
        <v>0</v>
      </c>
      <c r="J43" s="222">
        <f>'J) Plafonnement effort'!I42</f>
        <v>0</v>
      </c>
      <c r="K43" s="222">
        <f>'L) Plafonnement taux'!Q43</f>
        <v>0</v>
      </c>
      <c r="L43" s="307">
        <f t="shared" si="0"/>
        <v>876131.38051413943</v>
      </c>
      <c r="M43" s="307">
        <f>'M) Police'!O43</f>
        <v>105362.12667908947</v>
      </c>
      <c r="N43" s="307">
        <f t="shared" si="1"/>
        <v>981493.50719322893</v>
      </c>
      <c r="P43" s="380"/>
    </row>
    <row r="44" spans="1:16" s="215" customFormat="1" x14ac:dyDescent="0.25">
      <c r="A44" s="212">
        <f>'B) D RI'!A45</f>
        <v>5474</v>
      </c>
      <c r="B44" s="213" t="str">
        <f>'B) D RI'!B45</f>
        <v>La Chaux (Cossonay)</v>
      </c>
      <c r="C44" s="333">
        <f>'B) D RI'!S45</f>
        <v>77</v>
      </c>
      <c r="D44" s="214">
        <f>'B) D RI'!AR45</f>
        <v>421</v>
      </c>
      <c r="E44" s="219">
        <f>'D) Ecrêtage'!M43</f>
        <v>12690.44829004329</v>
      </c>
      <c r="F44" s="222">
        <f>'E) Fact soc'!G49</f>
        <v>189631.06763336452</v>
      </c>
      <c r="G44" s="222">
        <f>'H) Péréquation directe'!I54</f>
        <v>55764.244579862687</v>
      </c>
      <c r="H44" s="222">
        <f>'I) Dépenses thématiques'!O43</f>
        <v>-111541.42332931928</v>
      </c>
      <c r="I44" s="222">
        <f>'K) Plafonnement aide'!J43</f>
        <v>0</v>
      </c>
      <c r="J44" s="222">
        <f>'J) Plafonnement effort'!I43</f>
        <v>0</v>
      </c>
      <c r="K44" s="222">
        <f>'L) Plafonnement taux'!Q44</f>
        <v>0</v>
      </c>
      <c r="L44" s="307">
        <f t="shared" si="0"/>
        <v>133853.88888390793</v>
      </c>
      <c r="M44" s="307">
        <f>'M) Police'!O44</f>
        <v>40704.51829574912</v>
      </c>
      <c r="N44" s="307">
        <f t="shared" si="1"/>
        <v>174558.40717965705</v>
      </c>
      <c r="P44" s="380"/>
    </row>
    <row r="45" spans="1:16" s="215" customFormat="1" x14ac:dyDescent="0.25">
      <c r="A45" s="212">
        <f>'B) D RI'!A46</f>
        <v>5475</v>
      </c>
      <c r="B45" s="213" t="str">
        <f>'B) D RI'!B46</f>
        <v>Chavannes-le-Veyron</v>
      </c>
      <c r="C45" s="333">
        <f>'B) D RI'!S46</f>
        <v>77</v>
      </c>
      <c r="D45" s="214">
        <f>'B) D RI'!AR46</f>
        <v>120</v>
      </c>
      <c r="E45" s="219">
        <f>'D) Ecrêtage'!M44</f>
        <v>2750.1545454545449</v>
      </c>
      <c r="F45" s="222">
        <f>'E) Fact soc'!G50</f>
        <v>44519.302404775772</v>
      </c>
      <c r="G45" s="222">
        <f>'H) Péréquation directe'!I55</f>
        <v>-20664.947539078632</v>
      </c>
      <c r="H45" s="222">
        <f>'I) Dépenses thématiques'!O44</f>
        <v>-65792.154904984782</v>
      </c>
      <c r="I45" s="222">
        <f>'K) Plafonnement aide'!J44</f>
        <v>0</v>
      </c>
      <c r="J45" s="222">
        <f>'J) Plafonnement effort'!I44</f>
        <v>0</v>
      </c>
      <c r="K45" s="222">
        <f>'L) Plafonnement taux'!Q45</f>
        <v>0</v>
      </c>
      <c r="L45" s="307">
        <f t="shared" si="0"/>
        <v>-41937.800039287642</v>
      </c>
      <c r="M45" s="307">
        <f>'M) Police'!O45</f>
        <v>8679.9919817444952</v>
      </c>
      <c r="N45" s="307">
        <f t="shared" si="1"/>
        <v>-33257.808057543145</v>
      </c>
      <c r="P45" s="380"/>
    </row>
    <row r="46" spans="1:16" s="215" customFormat="1" x14ac:dyDescent="0.25">
      <c r="A46" s="212">
        <f>'B) D RI'!A47</f>
        <v>5476</v>
      </c>
      <c r="B46" s="213" t="str">
        <f>'B) D RI'!B47</f>
        <v>Chevilly</v>
      </c>
      <c r="C46" s="333">
        <f>'B) D RI'!S47</f>
        <v>74</v>
      </c>
      <c r="D46" s="214">
        <f>'B) D RI'!AR47</f>
        <v>286</v>
      </c>
      <c r="E46" s="219">
        <f>'D) Ecrêtage'!M45</f>
        <v>7887.6179729729729</v>
      </c>
      <c r="F46" s="222">
        <f>'E) Fact soc'!G51</f>
        <v>160996.98748923591</v>
      </c>
      <c r="G46" s="222">
        <f>'H) Péréquation directe'!I56</f>
        <v>15464.435725941992</v>
      </c>
      <c r="H46" s="222">
        <f>'I) Dépenses thématiques'!O45</f>
        <v>-36858.33852292235</v>
      </c>
      <c r="I46" s="222">
        <f>'K) Plafonnement aide'!J45</f>
        <v>0</v>
      </c>
      <c r="J46" s="222">
        <f>'J) Plafonnement effort'!I45</f>
        <v>0</v>
      </c>
      <c r="K46" s="222">
        <f>'L) Plafonnement taux'!Q46</f>
        <v>0</v>
      </c>
      <c r="L46" s="307">
        <f t="shared" si="0"/>
        <v>139603.08469225554</v>
      </c>
      <c r="M46" s="307">
        <f>'M) Police'!O46</f>
        <v>25054.928510654132</v>
      </c>
      <c r="N46" s="307">
        <f t="shared" si="1"/>
        <v>164658.01320290967</v>
      </c>
      <c r="P46" s="380"/>
    </row>
    <row r="47" spans="1:16" s="215" customFormat="1" x14ac:dyDescent="0.25">
      <c r="A47" s="212">
        <f>'B) D RI'!A48</f>
        <v>5477</v>
      </c>
      <c r="B47" s="213" t="str">
        <f>'B) D RI'!B48</f>
        <v>Cossonay</v>
      </c>
      <c r="C47" s="333">
        <f>'B) D RI'!S48</f>
        <v>69.3</v>
      </c>
      <c r="D47" s="214">
        <f>'B) D RI'!AR48</f>
        <v>3642</v>
      </c>
      <c r="E47" s="219">
        <f>'D) Ecrêtage'!M46</f>
        <v>120589.74256854257</v>
      </c>
      <c r="F47" s="222">
        <f>'E) Fact soc'!G52</f>
        <v>2259383.7874005497</v>
      </c>
      <c r="G47" s="222">
        <f>'H) Péréquation directe'!I57</f>
        <v>368035.91289450508</v>
      </c>
      <c r="H47" s="222">
        <f>'I) Dépenses thématiques'!O46</f>
        <v>-658520.41635801108</v>
      </c>
      <c r="I47" s="222">
        <f>'K) Plafonnement aide'!J46</f>
        <v>0</v>
      </c>
      <c r="J47" s="222">
        <f>'J) Plafonnement effort'!I46</f>
        <v>0</v>
      </c>
      <c r="K47" s="222">
        <f>'L) Plafonnement taux'!Q47</f>
        <v>0</v>
      </c>
      <c r="L47" s="307">
        <f t="shared" si="0"/>
        <v>1968899.2839370437</v>
      </c>
      <c r="M47" s="307">
        <f>'M) Police'!O47</f>
        <v>387996.04309773195</v>
      </c>
      <c r="N47" s="307">
        <f t="shared" si="1"/>
        <v>2356895.3270347756</v>
      </c>
      <c r="P47" s="380"/>
    </row>
    <row r="48" spans="1:16" s="215" customFormat="1" x14ac:dyDescent="0.25">
      <c r="A48" s="212">
        <f>'B) D RI'!A49</f>
        <v>5478</v>
      </c>
      <c r="B48" s="213" t="str">
        <f>'B) D RI'!B49</f>
        <v>Cottens</v>
      </c>
      <c r="C48" s="333">
        <f>'B) D RI'!S49</f>
        <v>72</v>
      </c>
      <c r="D48" s="214">
        <f>'B) D RI'!AR49</f>
        <v>473</v>
      </c>
      <c r="E48" s="219">
        <f>'D) Ecrêtage'!M47</f>
        <v>15464.23347222222</v>
      </c>
      <c r="F48" s="222">
        <f>'E) Fact soc'!G53</f>
        <v>253810.37302590586</v>
      </c>
      <c r="G48" s="222">
        <f>'H) Péréquation directe'!I58</f>
        <v>129487.30268242926</v>
      </c>
      <c r="H48" s="222">
        <f>'I) Dépenses thématiques'!O47</f>
        <v>-9629.7274730551435</v>
      </c>
      <c r="I48" s="222">
        <f>'K) Plafonnement aide'!J47</f>
        <v>0</v>
      </c>
      <c r="J48" s="222">
        <f>'J) Plafonnement effort'!I47</f>
        <v>0</v>
      </c>
      <c r="K48" s="222">
        <f>'L) Plafonnement taux'!Q48</f>
        <v>0</v>
      </c>
      <c r="L48" s="307">
        <f t="shared" si="0"/>
        <v>373667.94823528</v>
      </c>
      <c r="M48" s="307">
        <f>'M) Police'!O48</f>
        <v>49679.585248811476</v>
      </c>
      <c r="N48" s="307">
        <f t="shared" si="1"/>
        <v>423347.53348409146</v>
      </c>
      <c r="P48" s="380"/>
    </row>
    <row r="49" spans="1:16" s="215" customFormat="1" x14ac:dyDescent="0.25">
      <c r="A49" s="212">
        <f>'B) D RI'!A50</f>
        <v>5479</v>
      </c>
      <c r="B49" s="213" t="str">
        <f>'B) D RI'!B50</f>
        <v>Cuarnens</v>
      </c>
      <c r="C49" s="333">
        <f>'B) D RI'!S50</f>
        <v>77</v>
      </c>
      <c r="D49" s="214">
        <f>'B) D RI'!AR50</f>
        <v>439</v>
      </c>
      <c r="E49" s="219">
        <f>'D) Ecrêtage'!M48</f>
        <v>11805.525064935064</v>
      </c>
      <c r="F49" s="222">
        <f>'E) Fact soc'!G54</f>
        <v>191308.67318434565</v>
      </c>
      <c r="G49" s="222">
        <f>'H) Péréquation directe'!I59</f>
        <v>-2041.5937015166855</v>
      </c>
      <c r="H49" s="222">
        <f>'I) Dépenses thématiques'!O48</f>
        <v>-186401.44624418719</v>
      </c>
      <c r="I49" s="222">
        <f>'K) Plafonnement aide'!J48</f>
        <v>0</v>
      </c>
      <c r="J49" s="222">
        <f>'J) Plafonnement effort'!I48</f>
        <v>0</v>
      </c>
      <c r="K49" s="222">
        <f>'L) Plafonnement taux'!Q49</f>
        <v>0</v>
      </c>
      <c r="L49" s="307">
        <f t="shared" si="0"/>
        <v>2865.633238641778</v>
      </c>
      <c r="M49" s="307">
        <f>'M) Police'!O49</f>
        <v>37591.495184393039</v>
      </c>
      <c r="N49" s="307">
        <f t="shared" si="1"/>
        <v>40457.128423034817</v>
      </c>
      <c r="P49" s="380"/>
    </row>
    <row r="50" spans="1:16" s="215" customFormat="1" x14ac:dyDescent="0.25">
      <c r="A50" s="212">
        <f>'B) D RI'!A51</f>
        <v>5480</v>
      </c>
      <c r="B50" s="213" t="str">
        <f>'B) D RI'!B51</f>
        <v>Daillens</v>
      </c>
      <c r="C50" s="333">
        <f>'B) D RI'!S51</f>
        <v>71</v>
      </c>
      <c r="D50" s="214">
        <f>'B) D RI'!AR51</f>
        <v>940</v>
      </c>
      <c r="E50" s="219">
        <f>'D) Ecrêtage'!M49</f>
        <v>42113.849718309852</v>
      </c>
      <c r="F50" s="222">
        <f>'E) Fact soc'!G55</f>
        <v>829372.66707437648</v>
      </c>
      <c r="G50" s="222">
        <f>'H) Péréquation directe'!I60</f>
        <v>689754.06987788028</v>
      </c>
      <c r="H50" s="222">
        <f>'I) Dépenses thématiques'!O49</f>
        <v>-181851.55462796794</v>
      </c>
      <c r="I50" s="222">
        <f>'K) Plafonnement aide'!J49</f>
        <v>0</v>
      </c>
      <c r="J50" s="222">
        <f>'J) Plafonnement effort'!I49</f>
        <v>0</v>
      </c>
      <c r="K50" s="222">
        <f>'L) Plafonnement taux'!Q50</f>
        <v>0</v>
      </c>
      <c r="L50" s="307">
        <f t="shared" si="0"/>
        <v>1337275.1823242889</v>
      </c>
      <c r="M50" s="307">
        <f>'M) Police'!O50</f>
        <v>132773.27768996355</v>
      </c>
      <c r="N50" s="307">
        <f t="shared" si="1"/>
        <v>1470048.4600142525</v>
      </c>
      <c r="P50" s="380"/>
    </row>
    <row r="51" spans="1:16" s="215" customFormat="1" x14ac:dyDescent="0.25">
      <c r="A51" s="212">
        <f>'B) D RI'!A52</f>
        <v>5481</v>
      </c>
      <c r="B51" s="213" t="str">
        <f>'B) D RI'!B52</f>
        <v>Dizy</v>
      </c>
      <c r="C51" s="333">
        <f>'B) D RI'!S52</f>
        <v>74</v>
      </c>
      <c r="D51" s="214">
        <f>'B) D RI'!AR52</f>
        <v>221</v>
      </c>
      <c r="E51" s="219">
        <f>'D) Ecrêtage'!M50</f>
        <v>8240.9954054054051</v>
      </c>
      <c r="F51" s="222">
        <f>'E) Fact soc'!G56</f>
        <v>139793.74299620368</v>
      </c>
      <c r="G51" s="222">
        <f>'H) Péréquation directe'!I61</f>
        <v>98569.709275851157</v>
      </c>
      <c r="H51" s="222">
        <f>'I) Dépenses thématiques'!O50</f>
        <v>-12326.817739058943</v>
      </c>
      <c r="I51" s="222">
        <f>'K) Plafonnement aide'!J50</f>
        <v>0</v>
      </c>
      <c r="J51" s="222">
        <f>'J) Plafonnement effort'!I50</f>
        <v>0</v>
      </c>
      <c r="K51" s="222">
        <f>'L) Plafonnement taux'!Q51</f>
        <v>0</v>
      </c>
      <c r="L51" s="307">
        <f t="shared" si="0"/>
        <v>226036.6345329959</v>
      </c>
      <c r="M51" s="307">
        <f>'M) Police'!O51</f>
        <v>26617.961697788898</v>
      </c>
      <c r="N51" s="307">
        <f t="shared" si="1"/>
        <v>252654.59623078481</v>
      </c>
      <c r="P51" s="380"/>
    </row>
    <row r="52" spans="1:16" s="215" customFormat="1" x14ac:dyDescent="0.25">
      <c r="A52" s="212">
        <f>'B) D RI'!A53</f>
        <v>5482</v>
      </c>
      <c r="B52" s="213" t="str">
        <f>'B) D RI'!B53</f>
        <v>Eclépens</v>
      </c>
      <c r="C52" s="333">
        <f>'B) D RI'!S53</f>
        <v>46</v>
      </c>
      <c r="D52" s="214">
        <f>'B) D RI'!AR53</f>
        <v>1039</v>
      </c>
      <c r="E52" s="219">
        <f>'D) Ecrêtage'!M51</f>
        <v>62703.545442857772</v>
      </c>
      <c r="F52" s="222">
        <f>'E) Fact soc'!G57</f>
        <v>1235991.6581761807</v>
      </c>
      <c r="G52" s="222">
        <f>'H) Péréquation directe'!I62</f>
        <v>1053021.1413902133</v>
      </c>
      <c r="H52" s="222">
        <f>'I) Dépenses thématiques'!O51</f>
        <v>-9958.8457178984027</v>
      </c>
      <c r="I52" s="222">
        <f>'K) Plafonnement aide'!J51</f>
        <v>0</v>
      </c>
      <c r="J52" s="222">
        <f>'J) Plafonnement effort'!I51</f>
        <v>0</v>
      </c>
      <c r="K52" s="222">
        <f>'L) Plafonnement taux'!Q52</f>
        <v>0</v>
      </c>
      <c r="L52" s="307">
        <f t="shared" si="0"/>
        <v>2279053.9538484951</v>
      </c>
      <c r="M52" s="307">
        <f>'M) Police'!O52</f>
        <v>172136.66846379521</v>
      </c>
      <c r="N52" s="307">
        <f t="shared" si="1"/>
        <v>2451190.6223122906</v>
      </c>
      <c r="P52" s="380"/>
    </row>
    <row r="53" spans="1:16" s="215" customFormat="1" x14ac:dyDescent="0.25">
      <c r="A53" s="212">
        <f>'B) D RI'!A54</f>
        <v>5483</v>
      </c>
      <c r="B53" s="213" t="str">
        <f>'B) D RI'!B54</f>
        <v>Ferreyres</v>
      </c>
      <c r="C53" s="333">
        <f>'B) D RI'!S54</f>
        <v>76</v>
      </c>
      <c r="D53" s="214">
        <f>'B) D RI'!AR54</f>
        <v>313</v>
      </c>
      <c r="E53" s="219">
        <f>'D) Ecrêtage'!M52</f>
        <v>9097.5578947368413</v>
      </c>
      <c r="F53" s="222">
        <f>'E) Fact soc'!G58</f>
        <v>154560.20220127021</v>
      </c>
      <c r="G53" s="222">
        <f>'H) Péréquation directe'!I63</f>
        <v>30094.800555358437</v>
      </c>
      <c r="H53" s="222">
        <f>'I) Dépenses thématiques'!O52</f>
        <v>-17331.569767836401</v>
      </c>
      <c r="I53" s="222">
        <f>'K) Plafonnement aide'!J52</f>
        <v>0</v>
      </c>
      <c r="J53" s="222">
        <f>'J) Plafonnement effort'!I52</f>
        <v>0</v>
      </c>
      <c r="K53" s="222">
        <f>'L) Plafonnement taux'!Q53</f>
        <v>0</v>
      </c>
      <c r="L53" s="307">
        <f t="shared" si="0"/>
        <v>167323.43298879225</v>
      </c>
      <c r="M53" s="307">
        <f>'M) Police'!O53</f>
        <v>29143.700362794902</v>
      </c>
      <c r="N53" s="307">
        <f t="shared" si="1"/>
        <v>196467.13335158717</v>
      </c>
      <c r="P53" s="380"/>
    </row>
    <row r="54" spans="1:16" s="215" customFormat="1" x14ac:dyDescent="0.25">
      <c r="A54" s="212">
        <f>'B) D RI'!A55</f>
        <v>5484</v>
      </c>
      <c r="B54" s="213" t="str">
        <f>'B) D RI'!B55</f>
        <v>Gollion</v>
      </c>
      <c r="C54" s="333">
        <f>'B) D RI'!S55</f>
        <v>74</v>
      </c>
      <c r="D54" s="214">
        <f>'B) D RI'!AR55</f>
        <v>857</v>
      </c>
      <c r="E54" s="219">
        <f>'D) Ecrêtage'!M53</f>
        <v>23163.007162162161</v>
      </c>
      <c r="F54" s="222">
        <f>'E) Fact soc'!G59</f>
        <v>482389.97909262188</v>
      </c>
      <c r="G54" s="222">
        <f>'H) Péréquation directe'!I64</f>
        <v>27277.052000311553</v>
      </c>
      <c r="H54" s="222">
        <f>'I) Dépenses thématiques'!O53</f>
        <v>-153017.75871966593</v>
      </c>
      <c r="I54" s="222">
        <f>'K) Plafonnement aide'!J53</f>
        <v>0</v>
      </c>
      <c r="J54" s="222">
        <f>'J) Plafonnement effort'!I53</f>
        <v>0</v>
      </c>
      <c r="K54" s="222">
        <f>'L) Plafonnement taux'!Q54</f>
        <v>0</v>
      </c>
      <c r="L54" s="307">
        <f t="shared" si="0"/>
        <v>356649.27237326751</v>
      </c>
      <c r="M54" s="307">
        <f>'M) Police'!O54</f>
        <v>73811.575478162718</v>
      </c>
      <c r="N54" s="307">
        <f t="shared" si="1"/>
        <v>430460.84785143024</v>
      </c>
      <c r="P54" s="380"/>
    </row>
    <row r="55" spans="1:16" s="215" customFormat="1" x14ac:dyDescent="0.25">
      <c r="A55" s="212">
        <f>'B) D RI'!A56</f>
        <v>5485</v>
      </c>
      <c r="B55" s="213" t="str">
        <f>'B) D RI'!B56</f>
        <v>Grancy</v>
      </c>
      <c r="C55" s="333">
        <f>'B) D RI'!S56</f>
        <v>70</v>
      </c>
      <c r="D55" s="214">
        <f>'B) D RI'!AR56</f>
        <v>396</v>
      </c>
      <c r="E55" s="219">
        <f>'D) Ecrêtage'!M54</f>
        <v>17298.355857142858</v>
      </c>
      <c r="F55" s="222">
        <f>'E) Fact soc'!G60</f>
        <v>300596.26140902849</v>
      </c>
      <c r="G55" s="222">
        <f>'H) Péréquation directe'!I65</f>
        <v>279180.53608068253</v>
      </c>
      <c r="H55" s="222">
        <f>'I) Dépenses thématiques'!O54</f>
        <v>-52047.872355097636</v>
      </c>
      <c r="I55" s="222">
        <f>'K) Plafonnement aide'!J54</f>
        <v>0</v>
      </c>
      <c r="J55" s="222">
        <f>'J) Plafonnement effort'!I54</f>
        <v>0</v>
      </c>
      <c r="K55" s="222">
        <f>'L) Plafonnement taux'!Q55</f>
        <v>0</v>
      </c>
      <c r="L55" s="307">
        <f t="shared" si="0"/>
        <v>527728.92513461341</v>
      </c>
      <c r="M55" s="307">
        <f>'M) Police'!O55</f>
        <v>55899.967473328186</v>
      </c>
      <c r="N55" s="307">
        <f t="shared" si="1"/>
        <v>583628.89260794164</v>
      </c>
      <c r="P55" s="380"/>
    </row>
    <row r="56" spans="1:16" s="215" customFormat="1" x14ac:dyDescent="0.25">
      <c r="A56" s="212">
        <f>'B) D RI'!A57</f>
        <v>5486</v>
      </c>
      <c r="B56" s="213" t="str">
        <f>'B) D RI'!B57</f>
        <v>L'Isle</v>
      </c>
      <c r="C56" s="333">
        <f>'B) D RI'!S57</f>
        <v>76</v>
      </c>
      <c r="D56" s="214">
        <f>'B) D RI'!AR57</f>
        <v>1032</v>
      </c>
      <c r="E56" s="219">
        <f>'D) Ecrêtage'!M55</f>
        <v>27212.445657894736</v>
      </c>
      <c r="F56" s="222">
        <f>'E) Fact soc'!G61</f>
        <v>690105.40943419305</v>
      </c>
      <c r="G56" s="222">
        <f>'H) Péréquation directe'!I66</f>
        <v>-24357.630558797217</v>
      </c>
      <c r="H56" s="222">
        <f>'I) Dépenses thématiques'!O55</f>
        <v>-348586.22672746296</v>
      </c>
      <c r="I56" s="222">
        <f>'K) Plafonnement aide'!J55</f>
        <v>0</v>
      </c>
      <c r="J56" s="222">
        <f>'J) Plafonnement effort'!I55</f>
        <v>0</v>
      </c>
      <c r="K56" s="222">
        <f>'L) Plafonnement taux'!Q56</f>
        <v>0</v>
      </c>
      <c r="L56" s="307">
        <f t="shared" si="0"/>
        <v>317161.55214793293</v>
      </c>
      <c r="M56" s="307">
        <f>'M) Police'!O56</f>
        <v>86315.00346825397</v>
      </c>
      <c r="N56" s="307">
        <f t="shared" si="1"/>
        <v>403476.55561618693</v>
      </c>
      <c r="P56" s="380"/>
    </row>
    <row r="57" spans="1:16" s="215" customFormat="1" x14ac:dyDescent="0.25">
      <c r="A57" s="212">
        <f>'B) D RI'!A58</f>
        <v>5487</v>
      </c>
      <c r="B57" s="213" t="str">
        <f>'B) D RI'!B58</f>
        <v>Lussery-Villars</v>
      </c>
      <c r="C57" s="333">
        <f>'B) D RI'!S58</f>
        <v>68</v>
      </c>
      <c r="D57" s="214">
        <f>'B) D RI'!AR58</f>
        <v>423</v>
      </c>
      <c r="E57" s="219">
        <f>'D) Ecrêtage'!M56</f>
        <v>12274.32455882353</v>
      </c>
      <c r="F57" s="222">
        <f>'E) Fact soc'!G62</f>
        <v>214062.16942024289</v>
      </c>
      <c r="G57" s="222">
        <f>'H) Péréquation directe'!I67</f>
        <v>69031.645783375629</v>
      </c>
      <c r="H57" s="222">
        <f>'I) Dépenses thématiques'!O56</f>
        <v>-44186.013003539199</v>
      </c>
      <c r="I57" s="222">
        <f>'K) Plafonnement aide'!J56</f>
        <v>0</v>
      </c>
      <c r="J57" s="222">
        <f>'J) Plafonnement effort'!I56</f>
        <v>0</v>
      </c>
      <c r="K57" s="222">
        <f>'L) Plafonnement taux'!Q57</f>
        <v>0</v>
      </c>
      <c r="L57" s="307">
        <f t="shared" si="0"/>
        <v>238907.80220007928</v>
      </c>
      <c r="M57" s="307">
        <f>'M) Police'!O57</f>
        <v>39143.452586385218</v>
      </c>
      <c r="N57" s="307">
        <f t="shared" si="1"/>
        <v>278051.2547864645</v>
      </c>
      <c r="P57" s="380"/>
    </row>
    <row r="58" spans="1:16" s="215" customFormat="1" x14ac:dyDescent="0.25">
      <c r="A58" s="212">
        <f>'B) D RI'!A59</f>
        <v>5488</v>
      </c>
      <c r="B58" s="213" t="str">
        <f>'B) D RI'!B59</f>
        <v>Mauraz</v>
      </c>
      <c r="C58" s="333">
        <f>'B) D RI'!S59</f>
        <v>74</v>
      </c>
      <c r="D58" s="214">
        <f>'B) D RI'!AR59</f>
        <v>49</v>
      </c>
      <c r="E58" s="219">
        <f>'D) Ecrêtage'!M57</f>
        <v>1417.5255405405405</v>
      </c>
      <c r="F58" s="222">
        <f>'E) Fact soc'!G63</f>
        <v>22006.325341402193</v>
      </c>
      <c r="G58" s="222">
        <f>'H) Péréquation directe'!I68</f>
        <v>5319.5372771922775</v>
      </c>
      <c r="H58" s="222">
        <f>'I) Dépenses thématiques'!O57</f>
        <v>-4740.7059181863706</v>
      </c>
      <c r="I58" s="222">
        <f>'K) Plafonnement aide'!J57</f>
        <v>0</v>
      </c>
      <c r="J58" s="222">
        <f>'J) Plafonnement effort'!I57</f>
        <v>0</v>
      </c>
      <c r="K58" s="222">
        <f>'L) Plafonnement taux'!Q58</f>
        <v>0</v>
      </c>
      <c r="L58" s="307">
        <f t="shared" si="0"/>
        <v>22585.156700408101</v>
      </c>
      <c r="M58" s="307">
        <f>'M) Police'!O58</f>
        <v>4509.0041088873713</v>
      </c>
      <c r="N58" s="307">
        <f t="shared" si="1"/>
        <v>27094.16080929547</v>
      </c>
      <c r="P58" s="380"/>
    </row>
    <row r="59" spans="1:16" s="215" customFormat="1" x14ac:dyDescent="0.25">
      <c r="A59" s="212">
        <f>'B) D RI'!A60</f>
        <v>5489</v>
      </c>
      <c r="B59" s="213" t="str">
        <f>'B) D RI'!B60</f>
        <v>Mex</v>
      </c>
      <c r="C59" s="333">
        <f>'B) D RI'!S60</f>
        <v>61</v>
      </c>
      <c r="D59" s="214">
        <f>'B) D RI'!AR60</f>
        <v>678</v>
      </c>
      <c r="E59" s="219">
        <f>'D) Ecrêtage'!M58</f>
        <v>37085.616091888587</v>
      </c>
      <c r="F59" s="222">
        <f>'E) Fact soc'!G64</f>
        <v>648947.44487524335</v>
      </c>
      <c r="G59" s="222">
        <f>'H) Péréquation directe'!I69</f>
        <v>622226.14054842736</v>
      </c>
      <c r="H59" s="222">
        <f>'I) Dépenses thématiques'!O58</f>
        <v>-6900.2106777687404</v>
      </c>
      <c r="I59" s="222">
        <f>'K) Plafonnement aide'!J58</f>
        <v>0</v>
      </c>
      <c r="J59" s="222">
        <f>'J) Plafonnement effort'!I58</f>
        <v>0</v>
      </c>
      <c r="K59" s="222">
        <f>'L) Plafonnement taux'!Q59</f>
        <v>0</v>
      </c>
      <c r="L59" s="307">
        <f t="shared" si="0"/>
        <v>1264273.3747459019</v>
      </c>
      <c r="M59" s="307">
        <f>'M) Police'!O59</f>
        <v>107184.05977849929</v>
      </c>
      <c r="N59" s="307">
        <f t="shared" si="1"/>
        <v>1371457.4345244011</v>
      </c>
      <c r="P59" s="380"/>
    </row>
    <row r="60" spans="1:16" s="215" customFormat="1" x14ac:dyDescent="0.25">
      <c r="A60" s="212">
        <f>'B) D RI'!A61</f>
        <v>5490</v>
      </c>
      <c r="B60" s="213" t="str">
        <f>'B) D RI'!B61</f>
        <v>Moiry</v>
      </c>
      <c r="C60" s="333">
        <f>'B) D RI'!S61</f>
        <v>81</v>
      </c>
      <c r="D60" s="214">
        <f>'B) D RI'!AR61</f>
        <v>290</v>
      </c>
      <c r="E60" s="219">
        <f>'D) Ecrêtage'!M59</f>
        <v>7321.727037037037</v>
      </c>
      <c r="F60" s="222">
        <f>'E) Fact soc'!G65</f>
        <v>127652.94357997509</v>
      </c>
      <c r="G60" s="222">
        <f>'H) Péréquation directe'!I70</f>
        <v>-35191.523995884228</v>
      </c>
      <c r="H60" s="222">
        <f>'I) Dépenses thématiques'!O59</f>
        <v>-17917.280397775594</v>
      </c>
      <c r="I60" s="222">
        <f>'K) Plafonnement aide'!J59</f>
        <v>0</v>
      </c>
      <c r="J60" s="222">
        <f>'J) Plafonnement effort'!I59</f>
        <v>0</v>
      </c>
      <c r="K60" s="222">
        <f>'L) Plafonnement taux'!Q60</f>
        <v>0</v>
      </c>
      <c r="L60" s="307">
        <f t="shared" si="0"/>
        <v>74544.139186315268</v>
      </c>
      <c r="M60" s="307">
        <f>'M) Police'!O60</f>
        <v>23534.9655210458</v>
      </c>
      <c r="N60" s="307">
        <f t="shared" si="1"/>
        <v>98079.104707361068</v>
      </c>
      <c r="P60" s="380"/>
    </row>
    <row r="61" spans="1:16" s="215" customFormat="1" x14ac:dyDescent="0.25">
      <c r="A61" s="212">
        <f>'B) D RI'!A62</f>
        <v>5491</v>
      </c>
      <c r="B61" s="213" t="str">
        <f>'B) D RI'!B62</f>
        <v>Mont-la-Ville</v>
      </c>
      <c r="C61" s="333">
        <f>'B) D RI'!S62</f>
        <v>76</v>
      </c>
      <c r="D61" s="214">
        <f>'B) D RI'!AR62</f>
        <v>382</v>
      </c>
      <c r="E61" s="219">
        <f>'D) Ecrêtage'!M60</f>
        <v>8599.6809210526335</v>
      </c>
      <c r="F61" s="222">
        <f>'E) Fact soc'!G66</f>
        <v>172122.91865413581</v>
      </c>
      <c r="G61" s="222">
        <f>'H) Péréquation directe'!I71</f>
        <v>-67302.631164215563</v>
      </c>
      <c r="H61" s="222">
        <f>'I) Dépenses thématiques'!O60</f>
        <v>-112000.93583647371</v>
      </c>
      <c r="I61" s="222">
        <f>'K) Plafonnement aide'!J60</f>
        <v>0</v>
      </c>
      <c r="J61" s="222">
        <f>'J) Plafonnement effort'!I60</f>
        <v>0</v>
      </c>
      <c r="K61" s="222">
        <f>'L) Plafonnement taux'!Q61</f>
        <v>0</v>
      </c>
      <c r="L61" s="307">
        <f t="shared" si="0"/>
        <v>-7180.6483465534693</v>
      </c>
      <c r="M61" s="307">
        <f>'M) Police'!O61</f>
        <v>27124.580536690264</v>
      </c>
      <c r="N61" s="307">
        <f t="shared" si="1"/>
        <v>19943.932190136795</v>
      </c>
      <c r="P61" s="380"/>
    </row>
    <row r="62" spans="1:16" s="215" customFormat="1" x14ac:dyDescent="0.25">
      <c r="A62" s="212">
        <f>'B) D RI'!A63</f>
        <v>5492</v>
      </c>
      <c r="B62" s="213" t="str">
        <f>'B) D RI'!B63</f>
        <v>Montricher</v>
      </c>
      <c r="C62" s="333">
        <f>'B) D RI'!S63</f>
        <v>64</v>
      </c>
      <c r="D62" s="214">
        <f>'B) D RI'!AR63</f>
        <v>961</v>
      </c>
      <c r="E62" s="219">
        <f>'D) Ecrêtage'!M61</f>
        <v>137502.37981916324</v>
      </c>
      <c r="F62" s="222">
        <f>'E) Fact soc'!G67</f>
        <v>7073706.4401512267</v>
      </c>
      <c r="G62" s="222">
        <f>'H) Péréquation directe'!I72</f>
        <v>2460748.4903086443</v>
      </c>
      <c r="H62" s="222">
        <f>'I) Dépenses thématiques'!O61</f>
        <v>-235979.58112570705</v>
      </c>
      <c r="I62" s="222">
        <f>'K) Plafonnement aide'!J61</f>
        <v>0</v>
      </c>
      <c r="J62" s="222">
        <f>'J) Plafonnement effort'!I61</f>
        <v>0</v>
      </c>
      <c r="K62" s="222">
        <f>'L) Plafonnement taux'!Q62</f>
        <v>0</v>
      </c>
      <c r="L62" s="307">
        <f t="shared" ref="L62:L116" si="2">F62+G62+H62+I62+J62+K62</f>
        <v>9298475.3493341655</v>
      </c>
      <c r="M62" s="307">
        <f>'M) Police'!O62</f>
        <v>265948.27625352866</v>
      </c>
      <c r="N62" s="307">
        <f t="shared" si="1"/>
        <v>9564423.6255876943</v>
      </c>
      <c r="P62" s="380"/>
    </row>
    <row r="63" spans="1:16" s="215" customFormat="1" x14ac:dyDescent="0.25">
      <c r="A63" s="212">
        <f>'B) D RI'!A64</f>
        <v>5493</v>
      </c>
      <c r="B63" s="213" t="str">
        <f>'B) D RI'!B64</f>
        <v>Orny</v>
      </c>
      <c r="C63" s="333">
        <f>'B) D RI'!S64</f>
        <v>73</v>
      </c>
      <c r="D63" s="214">
        <f>'B) D RI'!AR64</f>
        <v>375</v>
      </c>
      <c r="E63" s="219">
        <f>'D) Ecrêtage'!M62</f>
        <v>10614.324773445733</v>
      </c>
      <c r="F63" s="222">
        <f>'E) Fact soc'!G68</f>
        <v>191695.75120266428</v>
      </c>
      <c r="G63" s="222">
        <f>'H) Péréquation directe'!I73</f>
        <v>34722.944997432234</v>
      </c>
      <c r="H63" s="222">
        <f>'I) Dépenses thématiques'!O62</f>
        <v>-53320.87794153815</v>
      </c>
      <c r="I63" s="222">
        <f>'K) Plafonnement aide'!J62</f>
        <v>0</v>
      </c>
      <c r="J63" s="222">
        <f>'J) Plafonnement effort'!I62</f>
        <v>0</v>
      </c>
      <c r="K63" s="222">
        <f>'L) Plafonnement taux'!Q63</f>
        <v>0</v>
      </c>
      <c r="L63" s="307">
        <f t="shared" si="2"/>
        <v>173097.81825855837</v>
      </c>
      <c r="M63" s="307">
        <f>'M) Police'!O63</f>
        <v>34054.047603098428</v>
      </c>
      <c r="N63" s="307">
        <f t="shared" si="1"/>
        <v>207151.86586165678</v>
      </c>
      <c r="P63" s="380"/>
    </row>
    <row r="64" spans="1:16" s="215" customFormat="1" x14ac:dyDescent="0.25">
      <c r="A64" s="212">
        <f>'B) D RI'!A65</f>
        <v>5494</v>
      </c>
      <c r="B64" s="213" t="str">
        <f>'B) D RI'!B65</f>
        <v>Pampigny</v>
      </c>
      <c r="C64" s="333">
        <f>'B) D RI'!S65</f>
        <v>75</v>
      </c>
      <c r="D64" s="214">
        <f>'B) D RI'!AR65</f>
        <v>1124</v>
      </c>
      <c r="E64" s="219">
        <f>'D) Ecrêtage'!M63</f>
        <v>33982.091568253971</v>
      </c>
      <c r="F64" s="222">
        <f>'E) Fact soc'!G69</f>
        <v>612582.0240024759</v>
      </c>
      <c r="G64" s="222">
        <f>'H) Péréquation directe'!I74</f>
        <v>141269.92657664383</v>
      </c>
      <c r="H64" s="222">
        <f>'I) Dépenses thématiques'!O63</f>
        <v>-195865.12843975061</v>
      </c>
      <c r="I64" s="222">
        <f>'K) Plafonnement aide'!J63</f>
        <v>0</v>
      </c>
      <c r="J64" s="222">
        <f>'J) Plafonnement effort'!I63</f>
        <v>0</v>
      </c>
      <c r="K64" s="222">
        <f>'L) Plafonnement taux'!Q64</f>
        <v>0</v>
      </c>
      <c r="L64" s="307">
        <f t="shared" si="2"/>
        <v>557986.82213936909</v>
      </c>
      <c r="M64" s="307">
        <f>'M) Police'!O64</f>
        <v>108412.6028341167</v>
      </c>
      <c r="N64" s="307">
        <f t="shared" si="1"/>
        <v>666399.42497348576</v>
      </c>
      <c r="P64" s="380"/>
    </row>
    <row r="65" spans="1:16" s="215" customFormat="1" x14ac:dyDescent="0.25">
      <c r="A65" s="212">
        <f>'B) D RI'!A66</f>
        <v>5495</v>
      </c>
      <c r="B65" s="213" t="str">
        <f>'B) D RI'!B66</f>
        <v>Penthalaz</v>
      </c>
      <c r="C65" s="333">
        <f>'B) D RI'!S66</f>
        <v>74</v>
      </c>
      <c r="D65" s="214">
        <f>'B) D RI'!AR66</f>
        <v>3241</v>
      </c>
      <c r="E65" s="219">
        <f>'D) Ecrêtage'!M64</f>
        <v>96162.321351351362</v>
      </c>
      <c r="F65" s="222">
        <f>'E) Fact soc'!G70</f>
        <v>1720087.2868321158</v>
      </c>
      <c r="G65" s="222">
        <f>'H) Péréquation directe'!I75</f>
        <v>-141552.76573338825</v>
      </c>
      <c r="H65" s="222">
        <f>'I) Dépenses thématiques'!O64</f>
        <v>-402208.50063909439</v>
      </c>
      <c r="I65" s="222">
        <f>'K) Plafonnement aide'!J64</f>
        <v>0</v>
      </c>
      <c r="J65" s="222">
        <f>'J) Plafonnement effort'!I64</f>
        <v>0</v>
      </c>
      <c r="K65" s="222">
        <f>'L) Plafonnement taux'!Q65</f>
        <v>0</v>
      </c>
      <c r="L65" s="307">
        <f t="shared" si="2"/>
        <v>1176326.0204596333</v>
      </c>
      <c r="M65" s="307">
        <f>'M) Police'!O65</f>
        <v>307091.93915047479</v>
      </c>
      <c r="N65" s="307">
        <f t="shared" si="1"/>
        <v>1483417.9596101081</v>
      </c>
      <c r="P65" s="380"/>
    </row>
    <row r="66" spans="1:16" s="215" customFormat="1" x14ac:dyDescent="0.25">
      <c r="A66" s="212">
        <f>'B) D RI'!A67</f>
        <v>5496</v>
      </c>
      <c r="B66" s="213" t="str">
        <f>'B) D RI'!B67</f>
        <v>Penthaz</v>
      </c>
      <c r="C66" s="333">
        <f>'B) D RI'!S67</f>
        <v>71</v>
      </c>
      <c r="D66" s="214">
        <f>'B) D RI'!AR67</f>
        <v>1653</v>
      </c>
      <c r="E66" s="219">
        <f>'D) Ecrêtage'!M65</f>
        <v>55211.289014084505</v>
      </c>
      <c r="F66" s="222">
        <f>'E) Fact soc'!G71</f>
        <v>963622.0822455918</v>
      </c>
      <c r="G66" s="222">
        <f>'H) Péréquation directe'!I76</f>
        <v>346758.9113412092</v>
      </c>
      <c r="H66" s="222">
        <f>'I) Dépenses thématiques'!O65</f>
        <v>-188428.20273687053</v>
      </c>
      <c r="I66" s="222">
        <f>'K) Plafonnement aide'!J65</f>
        <v>0</v>
      </c>
      <c r="J66" s="222">
        <f>'J) Plafonnement effort'!I65</f>
        <v>0</v>
      </c>
      <c r="K66" s="222">
        <f>'L) Plafonnement taux'!Q66</f>
        <v>0</v>
      </c>
      <c r="L66" s="307">
        <f t="shared" si="2"/>
        <v>1121952.7908499304</v>
      </c>
      <c r="M66" s="307">
        <f>'M) Police'!O66</f>
        <v>176073.63222907373</v>
      </c>
      <c r="N66" s="307">
        <f t="shared" si="1"/>
        <v>1298026.423079004</v>
      </c>
      <c r="P66" s="380"/>
    </row>
    <row r="67" spans="1:16" s="215" customFormat="1" x14ac:dyDescent="0.25">
      <c r="A67" s="212">
        <f>'B) D RI'!A68</f>
        <v>5497</v>
      </c>
      <c r="B67" s="213" t="str">
        <f>'B) D RI'!B68</f>
        <v>Pompaples</v>
      </c>
      <c r="C67" s="333">
        <f>'B) D RI'!S68</f>
        <v>66</v>
      </c>
      <c r="D67" s="214">
        <f>'B) D RI'!AR68</f>
        <v>834</v>
      </c>
      <c r="E67" s="219">
        <f>'D) Ecrêtage'!M66</f>
        <v>22227.212272727276</v>
      </c>
      <c r="F67" s="222">
        <f>'E) Fact soc'!G72</f>
        <v>459708.83928201412</v>
      </c>
      <c r="G67" s="222">
        <f>'H) Péréquation directe'!I77</f>
        <v>78645.641291713575</v>
      </c>
      <c r="H67" s="222">
        <f>'I) Dépenses thématiques'!O66</f>
        <v>-172352.68659876686</v>
      </c>
      <c r="I67" s="222">
        <f>'K) Plafonnement aide'!J66</f>
        <v>0</v>
      </c>
      <c r="J67" s="222">
        <f>'J) Plafonnement effort'!I66</f>
        <v>0</v>
      </c>
      <c r="K67" s="222">
        <f>'L) Plafonnement taux'!Q67</f>
        <v>0</v>
      </c>
      <c r="L67" s="307">
        <f t="shared" si="2"/>
        <v>366001.79397496092</v>
      </c>
      <c r="M67" s="307">
        <f>'M) Police'!O67</f>
        <v>70757.971295510055</v>
      </c>
      <c r="N67" s="307">
        <f t="shared" si="1"/>
        <v>436759.76527047099</v>
      </c>
      <c r="P67" s="380"/>
    </row>
    <row r="68" spans="1:16" s="215" customFormat="1" x14ac:dyDescent="0.25">
      <c r="A68" s="212">
        <f>'B) D RI'!A69</f>
        <v>5498</v>
      </c>
      <c r="B68" s="213" t="str">
        <f>'B) D RI'!B69</f>
        <v>La Sarraz</v>
      </c>
      <c r="C68" s="333">
        <f>'B) D RI'!S69</f>
        <v>64</v>
      </c>
      <c r="D68" s="214">
        <f>'B) D RI'!AR69</f>
        <v>2559</v>
      </c>
      <c r="E68" s="219">
        <f>'D) Ecrêtage'!M67</f>
        <v>72104.13</v>
      </c>
      <c r="F68" s="222">
        <f>'E) Fact soc'!G73</f>
        <v>1260248.1323149004</v>
      </c>
      <c r="G68" s="222">
        <f>'H) Péréquation directe'!I78</f>
        <v>37758.066919471836</v>
      </c>
      <c r="H68" s="222">
        <f>'I) Dépenses thématiques'!O67</f>
        <v>-530991.98334370472</v>
      </c>
      <c r="I68" s="222">
        <f>'K) Plafonnement aide'!J67</f>
        <v>0</v>
      </c>
      <c r="J68" s="222">
        <f>'J) Plafonnement effort'!I67</f>
        <v>0</v>
      </c>
      <c r="K68" s="222">
        <f>'L) Plafonnement taux'!Q68</f>
        <v>0</v>
      </c>
      <c r="L68" s="307">
        <f t="shared" si="2"/>
        <v>767014.21589066752</v>
      </c>
      <c r="M68" s="307">
        <f>'M) Police'!O68</f>
        <v>229241.39035746991</v>
      </c>
      <c r="N68" s="307">
        <f t="shared" si="1"/>
        <v>996255.60624813742</v>
      </c>
      <c r="P68" s="380"/>
    </row>
    <row r="69" spans="1:16" s="215" customFormat="1" x14ac:dyDescent="0.25">
      <c r="A69" s="212">
        <f>'B) D RI'!A70</f>
        <v>5499</v>
      </c>
      <c r="B69" s="213" t="str">
        <f>'B) D RI'!B70</f>
        <v>Senarclens</v>
      </c>
      <c r="C69" s="333">
        <f>'B) D RI'!S70</f>
        <v>68.5</v>
      </c>
      <c r="D69" s="214">
        <f>'B) D RI'!AR70</f>
        <v>451</v>
      </c>
      <c r="E69" s="219">
        <f>'D) Ecrêtage'!M68</f>
        <v>21697.695620437953</v>
      </c>
      <c r="F69" s="222">
        <f>'E) Fact soc'!G74</f>
        <v>396851.87665844441</v>
      </c>
      <c r="G69" s="222">
        <f>'H) Péréquation directe'!I79</f>
        <v>358668.50869361922</v>
      </c>
      <c r="H69" s="222">
        <f>'I) Dépenses thématiques'!O68</f>
        <v>0</v>
      </c>
      <c r="I69" s="222">
        <f>'K) Plafonnement aide'!J68</f>
        <v>0</v>
      </c>
      <c r="J69" s="222">
        <f>'J) Plafonnement effort'!I68</f>
        <v>0</v>
      </c>
      <c r="K69" s="222">
        <f>'L) Plafonnement taux'!Q69</f>
        <v>0</v>
      </c>
      <c r="L69" s="307">
        <f t="shared" si="2"/>
        <v>755520.38535206369</v>
      </c>
      <c r="M69" s="307">
        <f>'M) Police'!O69</f>
        <v>67309.014618970657</v>
      </c>
      <c r="N69" s="307">
        <f t="shared" si="1"/>
        <v>822829.39997103438</v>
      </c>
      <c r="P69" s="380"/>
    </row>
    <row r="70" spans="1:16" s="215" customFormat="1" x14ac:dyDescent="0.25">
      <c r="A70" s="212">
        <f>'B) D RI'!A71</f>
        <v>5500</v>
      </c>
      <c r="B70" s="213" t="str">
        <f>'B) D RI'!B71</f>
        <v>Sévery</v>
      </c>
      <c r="C70" s="333">
        <f>'B) D RI'!S71</f>
        <v>76</v>
      </c>
      <c r="D70" s="214">
        <f>'B) D RI'!AR71</f>
        <v>231</v>
      </c>
      <c r="E70" s="219">
        <f>'D) Ecrêtage'!M69</f>
        <v>6767.1525657894736</v>
      </c>
      <c r="F70" s="222">
        <f>'E) Fact soc'!G75</f>
        <v>126050.04172830304</v>
      </c>
      <c r="G70" s="222">
        <f>'H) Péréquation directe'!I80</f>
        <v>24412.196964183415</v>
      </c>
      <c r="H70" s="222">
        <f>'I) Dépenses thématiques'!O69</f>
        <v>-27423.82867621808</v>
      </c>
      <c r="I70" s="222">
        <f>'K) Plafonnement aide'!J69</f>
        <v>0</v>
      </c>
      <c r="J70" s="222">
        <f>'J) Plafonnement effort'!I69</f>
        <v>0</v>
      </c>
      <c r="K70" s="222">
        <f>'L) Plafonnement taux'!Q70</f>
        <v>0</v>
      </c>
      <c r="L70" s="307">
        <f t="shared" si="2"/>
        <v>123038.41001626838</v>
      </c>
      <c r="M70" s="307">
        <f>'M) Police'!O70</f>
        <v>21572.554040440889</v>
      </c>
      <c r="N70" s="307">
        <f t="shared" si="1"/>
        <v>144610.96405670926</v>
      </c>
      <c r="P70" s="380"/>
    </row>
    <row r="71" spans="1:16" s="215" customFormat="1" x14ac:dyDescent="0.25">
      <c r="A71" s="212">
        <f>'B) D RI'!A72</f>
        <v>5501</v>
      </c>
      <c r="B71" s="213" t="str">
        <f>'B) D RI'!B72</f>
        <v>Sullens</v>
      </c>
      <c r="C71" s="333">
        <f>'B) D RI'!S72</f>
        <v>70</v>
      </c>
      <c r="D71" s="214">
        <f>'B) D RI'!AR72</f>
        <v>925</v>
      </c>
      <c r="E71" s="219">
        <f>'D) Ecrêtage'!M70</f>
        <v>35887.851857142865</v>
      </c>
      <c r="F71" s="222">
        <f>'E) Fact soc'!G76</f>
        <v>665360.96250329993</v>
      </c>
      <c r="G71" s="222">
        <f>'H) Péréquation directe'!I81</f>
        <v>480088.88175295357</v>
      </c>
      <c r="H71" s="222">
        <f>'I) Dépenses thématiques'!O70</f>
        <v>-11326.72656511113</v>
      </c>
      <c r="I71" s="222">
        <f>'K) Plafonnement aide'!J70</f>
        <v>0</v>
      </c>
      <c r="J71" s="222">
        <f>'J) Plafonnement effort'!I70</f>
        <v>0</v>
      </c>
      <c r="K71" s="222">
        <f>'L) Plafonnement taux'!Q71</f>
        <v>0</v>
      </c>
      <c r="L71" s="307">
        <f t="shared" si="2"/>
        <v>1134123.1176911423</v>
      </c>
      <c r="M71" s="307">
        <f>'M) Police'!O71</f>
        <v>114864.15574039749</v>
      </c>
      <c r="N71" s="307">
        <f t="shared" ref="N71:N134" si="3">L71+M71</f>
        <v>1248987.2734315398</v>
      </c>
      <c r="P71" s="380"/>
    </row>
    <row r="72" spans="1:16" s="215" customFormat="1" x14ac:dyDescent="0.25">
      <c r="A72" s="212">
        <f>'B) D RI'!A73</f>
        <v>5503</v>
      </c>
      <c r="B72" s="213" t="str">
        <f>'B) D RI'!B73</f>
        <v>Vufflens-la-Ville</v>
      </c>
      <c r="C72" s="333">
        <f>'B) D RI'!S73</f>
        <v>67</v>
      </c>
      <c r="D72" s="214">
        <f>'B) D RI'!AR73</f>
        <v>1216</v>
      </c>
      <c r="E72" s="219">
        <f>'D) Ecrêtage'!M71</f>
        <v>61379.446318407958</v>
      </c>
      <c r="F72" s="222">
        <f>'E) Fact soc'!G77</f>
        <v>1270202.9481285838</v>
      </c>
      <c r="G72" s="222">
        <f>'H) Péréquation directe'!I82</f>
        <v>967082.1471206228</v>
      </c>
      <c r="H72" s="222">
        <f>'I) Dépenses thématiques'!O71</f>
        <v>0</v>
      </c>
      <c r="I72" s="222">
        <f>'K) Plafonnement aide'!J71</f>
        <v>0</v>
      </c>
      <c r="J72" s="222">
        <f>'J) Plafonnement effort'!I71</f>
        <v>0</v>
      </c>
      <c r="K72" s="222">
        <f>'L) Plafonnement taux'!Q72</f>
        <v>0</v>
      </c>
      <c r="L72" s="307">
        <f t="shared" si="2"/>
        <v>2237285.0952492068</v>
      </c>
      <c r="M72" s="307">
        <f>'M) Police'!O72</f>
        <v>185343.51134294912</v>
      </c>
      <c r="N72" s="307">
        <f t="shared" si="3"/>
        <v>2422628.606592156</v>
      </c>
      <c r="P72" s="380"/>
    </row>
    <row r="73" spans="1:16" s="215" customFormat="1" x14ac:dyDescent="0.25">
      <c r="A73" s="212">
        <f>'B) D RI'!A74</f>
        <v>5511</v>
      </c>
      <c r="B73" s="213" t="str">
        <f>'B) D RI'!B74</f>
        <v>Assens</v>
      </c>
      <c r="C73" s="333">
        <f>'B) D RI'!S74</f>
        <v>70</v>
      </c>
      <c r="D73" s="214">
        <f>'B) D RI'!AR74</f>
        <v>1031</v>
      </c>
      <c r="E73" s="219">
        <f>'D) Ecrêtage'!M72</f>
        <v>41422.612571428566</v>
      </c>
      <c r="F73" s="222">
        <f>'E) Fact soc'!G78</f>
        <v>719592.69032687997</v>
      </c>
      <c r="G73" s="222">
        <f>'H) Péréquation directe'!I83</f>
        <v>581579.61388841586</v>
      </c>
      <c r="H73" s="222">
        <f>'I) Dépenses thématiques'!O72</f>
        <v>-177685.82096317498</v>
      </c>
      <c r="I73" s="222">
        <f>'K) Plafonnement aide'!J72</f>
        <v>0</v>
      </c>
      <c r="J73" s="222">
        <f>'J) Plafonnement effort'!I72</f>
        <v>0</v>
      </c>
      <c r="K73" s="222">
        <f>'L) Plafonnement taux'!Q73</f>
        <v>0</v>
      </c>
      <c r="L73" s="307">
        <f t="shared" si="2"/>
        <v>1123486.4832521207</v>
      </c>
      <c r="M73" s="307">
        <f>'M) Police'!O73</f>
        <v>132495.31607584583</v>
      </c>
      <c r="N73" s="307">
        <f t="shared" si="3"/>
        <v>1255981.7993279665</v>
      </c>
      <c r="P73" s="380"/>
    </row>
    <row r="74" spans="1:16" s="215" customFormat="1" x14ac:dyDescent="0.25">
      <c r="A74" s="212">
        <f>'B) D RI'!A75</f>
        <v>5512</v>
      </c>
      <c r="B74" s="213" t="str">
        <f>'B) D RI'!B75</f>
        <v>Bercher</v>
      </c>
      <c r="C74" s="333">
        <f>'B) D RI'!S75</f>
        <v>79</v>
      </c>
      <c r="D74" s="214">
        <f>'B) D RI'!AR75</f>
        <v>1148</v>
      </c>
      <c r="E74" s="219">
        <f>'D) Ecrêtage'!M73</f>
        <v>32079.191772151898</v>
      </c>
      <c r="F74" s="222">
        <f>'E) Fact soc'!G79</f>
        <v>577535.77312119957</v>
      </c>
      <c r="G74" s="222">
        <f>'H) Péréquation directe'!I84</f>
        <v>-14059.690087654279</v>
      </c>
      <c r="H74" s="222">
        <f>'I) Dépenses thématiques'!O73</f>
        <v>-156689.03298452144</v>
      </c>
      <c r="I74" s="222">
        <f>'K) Plafonnement aide'!J73</f>
        <v>0</v>
      </c>
      <c r="J74" s="222">
        <f>'J) Plafonnement effort'!I73</f>
        <v>0</v>
      </c>
      <c r="K74" s="222">
        <f>'L) Plafonnement taux'!Q74</f>
        <v>0</v>
      </c>
      <c r="L74" s="307">
        <f t="shared" si="2"/>
        <v>406787.05004902382</v>
      </c>
      <c r="M74" s="307">
        <f>'M) Police'!O74</f>
        <v>101510.0860331711</v>
      </c>
      <c r="N74" s="307">
        <f t="shared" si="3"/>
        <v>508297.13608219492</v>
      </c>
      <c r="P74" s="380"/>
    </row>
    <row r="75" spans="1:16" s="215" customFormat="1" x14ac:dyDescent="0.25">
      <c r="A75" s="212">
        <f>'B) D RI'!A76</f>
        <v>5513</v>
      </c>
      <c r="B75" s="213" t="str">
        <f>'B) D RI'!B76</f>
        <v>Bioley-Orjulaz</v>
      </c>
      <c r="C75" s="333">
        <f>'B) D RI'!S76</f>
        <v>66</v>
      </c>
      <c r="D75" s="214">
        <f>'B) D RI'!AR76</f>
        <v>471</v>
      </c>
      <c r="E75" s="219">
        <f>'D) Ecrêtage'!M74</f>
        <v>24024.471515151512</v>
      </c>
      <c r="F75" s="222">
        <f>'E) Fact soc'!G80</f>
        <v>447351.40210744541</v>
      </c>
      <c r="G75" s="222">
        <f>'H) Péréquation directe'!I85</f>
        <v>399938.52743935533</v>
      </c>
      <c r="H75" s="222">
        <f>'I) Dépenses thématiques'!O74</f>
        <v>-25768.227287208065</v>
      </c>
      <c r="I75" s="222">
        <f>'K) Plafonnement aide'!J74</f>
        <v>0</v>
      </c>
      <c r="J75" s="222">
        <f>'J) Plafonnement effort'!I74</f>
        <v>0</v>
      </c>
      <c r="K75" s="222">
        <f>'L) Plafonnement taux'!Q75</f>
        <v>0</v>
      </c>
      <c r="L75" s="307">
        <f t="shared" si="2"/>
        <v>821521.7022595926</v>
      </c>
      <c r="M75" s="307">
        <f>'M) Police'!O75</f>
        <v>72125.785166472313</v>
      </c>
      <c r="N75" s="307">
        <f t="shared" si="3"/>
        <v>893647.48742606491</v>
      </c>
      <c r="P75" s="380"/>
    </row>
    <row r="76" spans="1:16" s="215" customFormat="1" x14ac:dyDescent="0.25">
      <c r="A76" s="212">
        <f>'B) D RI'!A77</f>
        <v>5514</v>
      </c>
      <c r="B76" s="213" t="str">
        <f>'B) D RI'!B77</f>
        <v>Bottens</v>
      </c>
      <c r="C76" s="333">
        <f>'B) D RI'!S77</f>
        <v>69</v>
      </c>
      <c r="D76" s="214">
        <f>'B) D RI'!AR77</f>
        <v>1220</v>
      </c>
      <c r="E76" s="219">
        <f>'D) Ecrêtage'!M75</f>
        <v>38346.680434782604</v>
      </c>
      <c r="F76" s="222">
        <f>'E) Fact soc'!G81</f>
        <v>746171.59517866024</v>
      </c>
      <c r="G76" s="222">
        <f>'H) Péréquation directe'!I86</f>
        <v>245149.58673198702</v>
      </c>
      <c r="H76" s="222">
        <f>'I) Dépenses thématiques'!O75</f>
        <v>-34168.719903916048</v>
      </c>
      <c r="I76" s="222">
        <f>'K) Plafonnement aide'!J75</f>
        <v>0</v>
      </c>
      <c r="J76" s="222">
        <f>'J) Plafonnement effort'!I75</f>
        <v>0</v>
      </c>
      <c r="K76" s="222">
        <f>'L) Plafonnement taux'!Q76</f>
        <v>0</v>
      </c>
      <c r="L76" s="307">
        <f t="shared" si="2"/>
        <v>957152.46200673131</v>
      </c>
      <c r="M76" s="307">
        <f>'M) Police'!O76</f>
        <v>122199.74218491212</v>
      </c>
      <c r="N76" s="307">
        <f t="shared" si="3"/>
        <v>1079352.2041916435</v>
      </c>
      <c r="P76" s="380"/>
    </row>
    <row r="77" spans="1:16" s="215" customFormat="1" x14ac:dyDescent="0.25">
      <c r="A77" s="212">
        <f>'B) D RI'!A78</f>
        <v>5515</v>
      </c>
      <c r="B77" s="213" t="str">
        <f>'B) D RI'!B78</f>
        <v>Bretigny-sur-Morrens</v>
      </c>
      <c r="C77" s="333">
        <f>'B) D RI'!S78</f>
        <v>73</v>
      </c>
      <c r="D77" s="214">
        <f>'B) D RI'!AR78</f>
        <v>797</v>
      </c>
      <c r="E77" s="219">
        <f>'D) Ecrêtage'!M76</f>
        <v>24345.34643835617</v>
      </c>
      <c r="F77" s="222">
        <f>'E) Fact soc'!G82</f>
        <v>443633.48355435766</v>
      </c>
      <c r="G77" s="222">
        <f>'H) Péréquation directe'!I87</f>
        <v>144856.96938759024</v>
      </c>
      <c r="H77" s="222">
        <f>'I) Dépenses thématiques'!O76</f>
        <v>-81194.985080071099</v>
      </c>
      <c r="I77" s="222">
        <f>'K) Plafonnement aide'!J76</f>
        <v>0</v>
      </c>
      <c r="J77" s="222">
        <f>'J) Plafonnement effort'!I76</f>
        <v>0</v>
      </c>
      <c r="K77" s="222">
        <f>'L) Plafonnement taux'!Q77</f>
        <v>0</v>
      </c>
      <c r="L77" s="307">
        <f t="shared" si="2"/>
        <v>507295.46786187676</v>
      </c>
      <c r="M77" s="307">
        <f>'M) Police'!O77</f>
        <v>77658.021035997066</v>
      </c>
      <c r="N77" s="307">
        <f t="shared" si="3"/>
        <v>584953.48889787379</v>
      </c>
      <c r="P77" s="380"/>
    </row>
    <row r="78" spans="1:16" s="215" customFormat="1" x14ac:dyDescent="0.25">
      <c r="A78" s="212">
        <f>'B) D RI'!A79</f>
        <v>5516</v>
      </c>
      <c r="B78" s="213" t="str">
        <f>'B) D RI'!B79</f>
        <v>Cugy</v>
      </c>
      <c r="C78" s="333">
        <f>'B) D RI'!S79</f>
        <v>67</v>
      </c>
      <c r="D78" s="214">
        <f>'B) D RI'!AR79</f>
        <v>2755</v>
      </c>
      <c r="E78" s="219">
        <f>'D) Ecrêtage'!M77</f>
        <v>104935.17701492537</v>
      </c>
      <c r="F78" s="222">
        <f>'E) Fact soc'!G83</f>
        <v>1951087.2756788409</v>
      </c>
      <c r="G78" s="222">
        <f>'H) Péréquation directe'!I88</f>
        <v>948245.45179026085</v>
      </c>
      <c r="H78" s="222">
        <f>'I) Dépenses thématiques'!O77</f>
        <v>-226876.28499749734</v>
      </c>
      <c r="I78" s="222">
        <f>'K) Plafonnement aide'!J77</f>
        <v>0</v>
      </c>
      <c r="J78" s="222">
        <f>'J) Plafonnement effort'!I77</f>
        <v>0</v>
      </c>
      <c r="K78" s="222">
        <f>'L) Plafonnement taux'!Q78</f>
        <v>0</v>
      </c>
      <c r="L78" s="307">
        <f t="shared" si="2"/>
        <v>2672456.4424716043</v>
      </c>
      <c r="M78" s="307">
        <f>'M) Police'!O78</f>
        <v>333901.90845231892</v>
      </c>
      <c r="N78" s="307">
        <f t="shared" si="3"/>
        <v>3006358.3509239233</v>
      </c>
      <c r="P78" s="380"/>
    </row>
    <row r="79" spans="1:16" s="215" customFormat="1" x14ac:dyDescent="0.25">
      <c r="A79" s="212">
        <f>'B) D RI'!A80</f>
        <v>5518</v>
      </c>
      <c r="B79" s="213" t="str">
        <f>'B) D RI'!B80</f>
        <v>Echallens</v>
      </c>
      <c r="C79" s="333">
        <f>'B) D RI'!S80</f>
        <v>74</v>
      </c>
      <c r="D79" s="214">
        <f>'B) D RI'!AR80</f>
        <v>5606</v>
      </c>
      <c r="E79" s="219">
        <f>'D) Ecrêtage'!M78</f>
        <v>181423.1631081081</v>
      </c>
      <c r="F79" s="222">
        <f>'E) Fact soc'!G84</f>
        <v>3163372.5675516957</v>
      </c>
      <c r="G79" s="222">
        <f>'H) Péréquation directe'!I89</f>
        <v>-201419.64518313715</v>
      </c>
      <c r="H79" s="222">
        <f>'I) Dépenses thématiques'!O78</f>
        <v>-827277.13094440987</v>
      </c>
      <c r="I79" s="222">
        <f>'K) Plafonnement aide'!J78</f>
        <v>0</v>
      </c>
      <c r="J79" s="222">
        <f>'J) Plafonnement effort'!I78</f>
        <v>0</v>
      </c>
      <c r="K79" s="222">
        <f>'L) Plafonnement taux'!Q79</f>
        <v>0</v>
      </c>
      <c r="L79" s="307">
        <f t="shared" si="2"/>
        <v>2134675.7914241487</v>
      </c>
      <c r="M79" s="307">
        <f>'M) Police'!O79</f>
        <v>580431.08150162175</v>
      </c>
      <c r="N79" s="307">
        <f t="shared" si="3"/>
        <v>2715106.8729257705</v>
      </c>
      <c r="P79" s="380"/>
    </row>
    <row r="80" spans="1:16" s="215" customFormat="1" x14ac:dyDescent="0.25">
      <c r="A80" s="212">
        <f>'B) D RI'!A81</f>
        <v>5520</v>
      </c>
      <c r="B80" s="213" t="str">
        <f>'B) D RI'!B81</f>
        <v>Essertines-sur-Yverdon</v>
      </c>
      <c r="C80" s="333">
        <f>'B) D RI'!S81</f>
        <v>73</v>
      </c>
      <c r="D80" s="214">
        <f>'B) D RI'!AR81</f>
        <v>945</v>
      </c>
      <c r="E80" s="219">
        <f>'D) Ecrêtage'!M79</f>
        <v>28021.579589041095</v>
      </c>
      <c r="F80" s="222">
        <f>'E) Fact soc'!G85</f>
        <v>479475.27565773</v>
      </c>
      <c r="G80" s="222">
        <f>'H) Péréquation directe'!I90</f>
        <v>138159.05590717419</v>
      </c>
      <c r="H80" s="222">
        <f>'I) Dépenses thématiques'!O79</f>
        <v>-116980.85038082088</v>
      </c>
      <c r="I80" s="222">
        <f>'K) Plafonnement aide'!J79</f>
        <v>0</v>
      </c>
      <c r="J80" s="222">
        <f>'J) Plafonnement effort'!I79</f>
        <v>0</v>
      </c>
      <c r="K80" s="222">
        <f>'L) Plafonnement taux'!Q80</f>
        <v>0</v>
      </c>
      <c r="L80" s="307">
        <f t="shared" si="2"/>
        <v>500653.48118408333</v>
      </c>
      <c r="M80" s="307">
        <f>'M) Police'!O80</f>
        <v>89124.731928799913</v>
      </c>
      <c r="N80" s="307">
        <f t="shared" si="3"/>
        <v>589778.21311288327</v>
      </c>
      <c r="P80" s="380"/>
    </row>
    <row r="81" spans="1:16" s="215" customFormat="1" x14ac:dyDescent="0.25">
      <c r="A81" s="212">
        <f>'B) D RI'!A82</f>
        <v>5521</v>
      </c>
      <c r="B81" s="213" t="str">
        <f>'B) D RI'!B82</f>
        <v>Etagnières</v>
      </c>
      <c r="C81" s="333">
        <f>'B) D RI'!S82</f>
        <v>73</v>
      </c>
      <c r="D81" s="214">
        <f>'B) D RI'!AR82</f>
        <v>1146</v>
      </c>
      <c r="E81" s="219">
        <f>'D) Ecrêtage'!M80</f>
        <v>40532.749863013705</v>
      </c>
      <c r="F81" s="222">
        <f>'E) Fact soc'!G86</f>
        <v>670618.15804319223</v>
      </c>
      <c r="G81" s="222">
        <f>'H) Péréquation directe'!I91</f>
        <v>392002.7402106254</v>
      </c>
      <c r="H81" s="222">
        <f>'I) Dépenses thématiques'!O80</f>
        <v>-8822.4963278904434</v>
      </c>
      <c r="I81" s="222">
        <f>'K) Plafonnement aide'!J80</f>
        <v>0</v>
      </c>
      <c r="J81" s="222">
        <f>'J) Plafonnement effort'!I80</f>
        <v>0</v>
      </c>
      <c r="K81" s="222">
        <f>'L) Plafonnement taux'!Q81</f>
        <v>0</v>
      </c>
      <c r="L81" s="307">
        <f t="shared" si="2"/>
        <v>1053798.401925927</v>
      </c>
      <c r="M81" s="307">
        <f>'M) Police'!O81</f>
        <v>129629.64301073765</v>
      </c>
      <c r="N81" s="307">
        <f t="shared" si="3"/>
        <v>1183428.0449366646</v>
      </c>
      <c r="P81" s="380"/>
    </row>
    <row r="82" spans="1:16" s="215" customFormat="1" x14ac:dyDescent="0.25">
      <c r="A82" s="212">
        <f>'B) D RI'!A83</f>
        <v>5522</v>
      </c>
      <c r="B82" s="213" t="str">
        <f>'B) D RI'!B83</f>
        <v>Fey</v>
      </c>
      <c r="C82" s="333">
        <f>'B) D RI'!S83</f>
        <v>75</v>
      </c>
      <c r="D82" s="214">
        <f>'B) D RI'!AR83</f>
        <v>635</v>
      </c>
      <c r="E82" s="219">
        <f>'D) Ecrêtage'!M81</f>
        <v>18218.5124</v>
      </c>
      <c r="F82" s="222">
        <f>'E) Fact soc'!G87</f>
        <v>319487.47925883444</v>
      </c>
      <c r="G82" s="222">
        <f>'H) Péréquation directe'!I92</f>
        <v>57028.857492639392</v>
      </c>
      <c r="H82" s="222">
        <f>'I) Dépenses thématiques'!O81</f>
        <v>-123491.88734940345</v>
      </c>
      <c r="I82" s="222">
        <f>'K) Plafonnement aide'!J81</f>
        <v>0</v>
      </c>
      <c r="J82" s="222">
        <f>'J) Plafonnement effort'!I81</f>
        <v>0</v>
      </c>
      <c r="K82" s="222">
        <f>'L) Plafonnement taux'!Q82</f>
        <v>0</v>
      </c>
      <c r="L82" s="307">
        <f t="shared" si="2"/>
        <v>253024.44940207037</v>
      </c>
      <c r="M82" s="307">
        <f>'M) Police'!O82</f>
        <v>57983.808999033899</v>
      </c>
      <c r="N82" s="307">
        <f t="shared" si="3"/>
        <v>311008.25840110425</v>
      </c>
      <c r="P82" s="380"/>
    </row>
    <row r="83" spans="1:16" s="215" customFormat="1" x14ac:dyDescent="0.25">
      <c r="A83" s="212">
        <f>'B) D RI'!A84</f>
        <v>5523</v>
      </c>
      <c r="B83" s="213" t="str">
        <f>'B) D RI'!B84</f>
        <v>Froideville</v>
      </c>
      <c r="C83" s="333">
        <f>'B) D RI'!S84</f>
        <v>76</v>
      </c>
      <c r="D83" s="214">
        <f>'B) D RI'!AR84</f>
        <v>2422</v>
      </c>
      <c r="E83" s="219">
        <f>'D) Ecrêtage'!M82</f>
        <v>77819.657763157898</v>
      </c>
      <c r="F83" s="222">
        <f>'E) Fact soc'!G88</f>
        <v>1470188.3118236791</v>
      </c>
      <c r="G83" s="222">
        <f>'H) Péréquation directe'!I93</f>
        <v>189403.6143733724</v>
      </c>
      <c r="H83" s="222">
        <f>'I) Dépenses thématiques'!O82</f>
        <v>-196445.0333903963</v>
      </c>
      <c r="I83" s="222">
        <f>'K) Plafonnement aide'!J82</f>
        <v>0</v>
      </c>
      <c r="J83" s="222">
        <f>'J) Plafonnement effort'!I82</f>
        <v>0</v>
      </c>
      <c r="K83" s="222">
        <f>'L) Plafonnement taux'!Q83</f>
        <v>0</v>
      </c>
      <c r="L83" s="307">
        <f t="shared" si="2"/>
        <v>1463146.8928066553</v>
      </c>
      <c r="M83" s="307">
        <f>'M) Police'!O83</f>
        <v>248052.52555650641</v>
      </c>
      <c r="N83" s="307">
        <f t="shared" si="3"/>
        <v>1711199.4183631616</v>
      </c>
      <c r="P83" s="380"/>
    </row>
    <row r="84" spans="1:16" s="215" customFormat="1" x14ac:dyDescent="0.25">
      <c r="A84" s="212">
        <f>'B) D RI'!A85</f>
        <v>5527</v>
      </c>
      <c r="B84" s="213" t="str">
        <f>'B) D RI'!B85</f>
        <v>Morrens</v>
      </c>
      <c r="C84" s="333">
        <f>'B) D RI'!S85</f>
        <v>71</v>
      </c>
      <c r="D84" s="214">
        <f>'B) D RI'!AR85</f>
        <v>1055</v>
      </c>
      <c r="E84" s="219">
        <f>'D) Ecrêtage'!M83</f>
        <v>36998.677183098589</v>
      </c>
      <c r="F84" s="222">
        <f>'E) Fact soc'!G89</f>
        <v>701979.0611626507</v>
      </c>
      <c r="G84" s="222">
        <f>'H) Péréquation directe'!I94</f>
        <v>378877.50032090239</v>
      </c>
      <c r="H84" s="222">
        <f>'I) Dépenses thématiques'!O83</f>
        <v>-13430.201124934201</v>
      </c>
      <c r="I84" s="222">
        <f>'K) Plafonnement aide'!J83</f>
        <v>0</v>
      </c>
      <c r="J84" s="222">
        <f>'J) Plafonnement effort'!I83</f>
        <v>0</v>
      </c>
      <c r="K84" s="222">
        <f>'L) Plafonnement taux'!Q84</f>
        <v>0</v>
      </c>
      <c r="L84" s="307">
        <f t="shared" si="2"/>
        <v>1067426.3603586189</v>
      </c>
      <c r="M84" s="307">
        <f>'M) Police'!O84</f>
        <v>118203.12466815021</v>
      </c>
      <c r="N84" s="307">
        <f t="shared" si="3"/>
        <v>1185629.4850267691</v>
      </c>
      <c r="P84" s="380"/>
    </row>
    <row r="85" spans="1:16" s="215" customFormat="1" x14ac:dyDescent="0.25">
      <c r="A85" s="212">
        <f>'B) D RI'!A86</f>
        <v>5529</v>
      </c>
      <c r="B85" s="213" t="str">
        <f>'B) D RI'!B86</f>
        <v>Oulens-sous-Echallens</v>
      </c>
      <c r="C85" s="333">
        <f>'B) D RI'!S86</f>
        <v>71</v>
      </c>
      <c r="D85" s="214">
        <f>'B) D RI'!AR86</f>
        <v>532</v>
      </c>
      <c r="E85" s="219">
        <f>'D) Ecrêtage'!M84</f>
        <v>16830.940140845072</v>
      </c>
      <c r="F85" s="222">
        <f>'E) Fact soc'!G90</f>
        <v>344823.25257961336</v>
      </c>
      <c r="G85" s="222">
        <f>'H) Péréquation directe'!I95</f>
        <v>127366.03983239894</v>
      </c>
      <c r="H85" s="222">
        <f>'I) Dépenses thématiques'!O84</f>
        <v>-123639.55459192315</v>
      </c>
      <c r="I85" s="222">
        <f>'K) Plafonnement aide'!J84</f>
        <v>0</v>
      </c>
      <c r="J85" s="222">
        <f>'J) Plafonnement effort'!I84</f>
        <v>0</v>
      </c>
      <c r="K85" s="222">
        <f>'L) Plafonnement taux'!Q85</f>
        <v>0</v>
      </c>
      <c r="L85" s="307">
        <f t="shared" si="2"/>
        <v>348549.73782008915</v>
      </c>
      <c r="M85" s="307">
        <f>'M) Police'!O85</f>
        <v>53378.667410540023</v>
      </c>
      <c r="N85" s="307">
        <f t="shared" si="3"/>
        <v>401928.4052306292</v>
      </c>
      <c r="P85" s="380"/>
    </row>
    <row r="86" spans="1:16" s="215" customFormat="1" x14ac:dyDescent="0.25">
      <c r="A86" s="212">
        <f>'B) D RI'!A87</f>
        <v>5530</v>
      </c>
      <c r="B86" s="213" t="str">
        <f>'B) D RI'!B87</f>
        <v>Pailly</v>
      </c>
      <c r="C86" s="333">
        <f>'B) D RI'!S87</f>
        <v>77.5</v>
      </c>
      <c r="D86" s="214">
        <f>'B) D RI'!AR87</f>
        <v>533</v>
      </c>
      <c r="E86" s="219">
        <f>'D) Ecrêtage'!M85</f>
        <v>15988.116172043008</v>
      </c>
      <c r="F86" s="222">
        <f>'E) Fact soc'!G91</f>
        <v>273203.25655275583</v>
      </c>
      <c r="G86" s="222">
        <f>'H) Péréquation directe'!I96</f>
        <v>64985.290506643272</v>
      </c>
      <c r="H86" s="222">
        <f>'I) Dépenses thématiques'!O85</f>
        <v>-297692.76815897366</v>
      </c>
      <c r="I86" s="222">
        <f>'K) Plafonnement aide'!J85</f>
        <v>0</v>
      </c>
      <c r="J86" s="222">
        <f>'J) Plafonnement effort'!I85</f>
        <v>0</v>
      </c>
      <c r="K86" s="222">
        <f>'L) Plafonnement taux'!Q86</f>
        <v>0</v>
      </c>
      <c r="L86" s="307">
        <f t="shared" si="2"/>
        <v>40495.778900425415</v>
      </c>
      <c r="M86" s="307">
        <f>'M) Police'!O86</f>
        <v>51169.083342720885</v>
      </c>
      <c r="N86" s="307">
        <f t="shared" si="3"/>
        <v>91664.862243146301</v>
      </c>
      <c r="P86" s="380"/>
    </row>
    <row r="87" spans="1:16" s="215" customFormat="1" x14ac:dyDescent="0.25">
      <c r="A87" s="212">
        <f>'B) D RI'!A88</f>
        <v>5531</v>
      </c>
      <c r="B87" s="213" t="str">
        <f>'B) D RI'!B88</f>
        <v>Penthéréaz</v>
      </c>
      <c r="C87" s="333">
        <f>'B) D RI'!S88</f>
        <v>78</v>
      </c>
      <c r="D87" s="214">
        <f>'B) D RI'!AR88</f>
        <v>389</v>
      </c>
      <c r="E87" s="219">
        <f>'D) Ecrêtage'!M86</f>
        <v>11628.696923076923</v>
      </c>
      <c r="F87" s="222">
        <f>'E) Fact soc'!G92</f>
        <v>215063.20592239304</v>
      </c>
      <c r="G87" s="222">
        <f>'H) Péréquation directe'!I97</f>
        <v>44024.892275665043</v>
      </c>
      <c r="H87" s="222">
        <f>'I) Dépenses thématiques'!O86</f>
        <v>-45541.288032959303</v>
      </c>
      <c r="I87" s="222">
        <f>'K) Plafonnement aide'!J86</f>
        <v>0</v>
      </c>
      <c r="J87" s="222">
        <f>'J) Plafonnement effort'!I86</f>
        <v>0</v>
      </c>
      <c r="K87" s="222">
        <f>'L) Plafonnement taux'!Q87</f>
        <v>0</v>
      </c>
      <c r="L87" s="307">
        <f t="shared" si="2"/>
        <v>213546.81016509878</v>
      </c>
      <c r="M87" s="307">
        <f>'M) Police'!O87</f>
        <v>37116.863012637536</v>
      </c>
      <c r="N87" s="307">
        <f t="shared" si="3"/>
        <v>250663.67317773632</v>
      </c>
      <c r="P87" s="380"/>
    </row>
    <row r="88" spans="1:16" s="215" customFormat="1" x14ac:dyDescent="0.25">
      <c r="A88" s="212">
        <f>'B) D RI'!A89</f>
        <v>5533</v>
      </c>
      <c r="B88" s="213" t="str">
        <f>'B) D RI'!B89</f>
        <v>Poliez-Pittet</v>
      </c>
      <c r="C88" s="333">
        <f>'B) D RI'!S89</f>
        <v>71</v>
      </c>
      <c r="D88" s="214">
        <f>'B) D RI'!AR89</f>
        <v>815</v>
      </c>
      <c r="E88" s="219">
        <f>'D) Ecrêtage'!M87</f>
        <v>21286.915727699528</v>
      </c>
      <c r="F88" s="222">
        <f>'E) Fact soc'!G93</f>
        <v>371134.34367766348</v>
      </c>
      <c r="G88" s="222">
        <f>'H) Péréquation directe'!I98</f>
        <v>21372.396929557784</v>
      </c>
      <c r="H88" s="222">
        <f>'I) Dépenses thématiques'!O87</f>
        <v>-113668.26738553646</v>
      </c>
      <c r="I88" s="222">
        <f>'K) Plafonnement aide'!J87</f>
        <v>0</v>
      </c>
      <c r="J88" s="222">
        <f>'J) Plafonnement effort'!I87</f>
        <v>0</v>
      </c>
      <c r="K88" s="222">
        <f>'L) Plafonnement taux'!Q88</f>
        <v>0</v>
      </c>
      <c r="L88" s="307">
        <f t="shared" si="2"/>
        <v>278838.47322168481</v>
      </c>
      <c r="M88" s="307">
        <f>'M) Police'!O88</f>
        <v>67535.001828964334</v>
      </c>
      <c r="N88" s="307">
        <f t="shared" si="3"/>
        <v>346373.47505064914</v>
      </c>
      <c r="P88" s="380"/>
    </row>
    <row r="89" spans="1:16" s="215" customFormat="1" x14ac:dyDescent="0.25">
      <c r="A89" s="212">
        <f>'B) D RI'!A90</f>
        <v>5534</v>
      </c>
      <c r="B89" s="213" t="str">
        <f>'B) D RI'!B90</f>
        <v>Rueyres</v>
      </c>
      <c r="C89" s="333">
        <f>'B) D RI'!S90</f>
        <v>73</v>
      </c>
      <c r="D89" s="214">
        <f>'B) D RI'!AR90</f>
        <v>265</v>
      </c>
      <c r="E89" s="219">
        <f>'D) Ecrêtage'!M88</f>
        <v>8123.1504109589041</v>
      </c>
      <c r="F89" s="222">
        <f>'E) Fact soc'!G94</f>
        <v>178014.44252937799</v>
      </c>
      <c r="G89" s="222">
        <f>'H) Péréquation directe'!I99</f>
        <v>49294.162404782008</v>
      </c>
      <c r="H89" s="222">
        <f>'I) Dépenses thématiques'!O88</f>
        <v>-28485.793188093299</v>
      </c>
      <c r="I89" s="222">
        <f>'K) Plafonnement aide'!J88</f>
        <v>0</v>
      </c>
      <c r="J89" s="222">
        <f>'J) Plafonnement effort'!I88</f>
        <v>0</v>
      </c>
      <c r="K89" s="222">
        <f>'L) Plafonnement taux'!Q89</f>
        <v>0</v>
      </c>
      <c r="L89" s="307">
        <f t="shared" si="2"/>
        <v>198822.81174606673</v>
      </c>
      <c r="M89" s="307">
        <f>'M) Police'!O89</f>
        <v>25284.755279399564</v>
      </c>
      <c r="N89" s="307">
        <f t="shared" si="3"/>
        <v>224107.5670254663</v>
      </c>
      <c r="P89" s="380"/>
    </row>
    <row r="90" spans="1:16" s="215" customFormat="1" x14ac:dyDescent="0.25">
      <c r="A90" s="212">
        <f>'B) D RI'!A91</f>
        <v>5535</v>
      </c>
      <c r="B90" s="213" t="str">
        <f>'B) D RI'!B91</f>
        <v>Saint-Barthélemy</v>
      </c>
      <c r="C90" s="333">
        <f>'B) D RI'!S91</f>
        <v>75</v>
      </c>
      <c r="D90" s="214">
        <f>'B) D RI'!AR91</f>
        <v>782</v>
      </c>
      <c r="E90" s="219">
        <f>'D) Ecrêtage'!M89</f>
        <v>21652.779733333333</v>
      </c>
      <c r="F90" s="222">
        <f>'E) Fact soc'!G95</f>
        <v>350742.17155062919</v>
      </c>
      <c r="G90" s="222">
        <f>'H) Péréquation directe'!I100</f>
        <v>38152.490531291114</v>
      </c>
      <c r="H90" s="222">
        <f>'I) Dépenses thématiques'!O89</f>
        <v>-51204.197335550758</v>
      </c>
      <c r="I90" s="222">
        <f>'K) Plafonnement aide'!J89</f>
        <v>0</v>
      </c>
      <c r="J90" s="222">
        <f>'J) Plafonnement effort'!I89</f>
        <v>0</v>
      </c>
      <c r="K90" s="222">
        <f>'L) Plafonnement taux'!Q90</f>
        <v>0</v>
      </c>
      <c r="L90" s="307">
        <f t="shared" si="2"/>
        <v>337690.46474636957</v>
      </c>
      <c r="M90" s="307">
        <f>'M) Police'!O90</f>
        <v>68924.357977168911</v>
      </c>
      <c r="N90" s="307">
        <f t="shared" si="3"/>
        <v>406614.8227235385</v>
      </c>
      <c r="P90" s="380"/>
    </row>
    <row r="91" spans="1:16" s="215" customFormat="1" x14ac:dyDescent="0.25">
      <c r="A91" s="212">
        <f>'B) D RI'!A92</f>
        <v>5537</v>
      </c>
      <c r="B91" s="213" t="str">
        <f>'B) D RI'!B92</f>
        <v>Villars-le-Terroir</v>
      </c>
      <c r="C91" s="333">
        <f>'B) D RI'!S92</f>
        <v>73</v>
      </c>
      <c r="D91" s="214">
        <f>'B) D RI'!AR92</f>
        <v>1033</v>
      </c>
      <c r="E91" s="219">
        <f>'D) Ecrêtage'!M90</f>
        <v>28181.728767123288</v>
      </c>
      <c r="F91" s="222">
        <f>'E) Fact soc'!G96</f>
        <v>494195.15593382856</v>
      </c>
      <c r="G91" s="222">
        <f>'H) Péréquation directe'!I101</f>
        <v>45429.338161705935</v>
      </c>
      <c r="H91" s="222">
        <f>'I) Dépenses thématiques'!O90</f>
        <v>-10436.368164006995</v>
      </c>
      <c r="I91" s="222">
        <f>'K) Plafonnement aide'!J90</f>
        <v>0</v>
      </c>
      <c r="J91" s="222">
        <f>'J) Plafonnement effort'!I90</f>
        <v>0</v>
      </c>
      <c r="K91" s="222">
        <f>'L) Plafonnement taux'!Q91</f>
        <v>0</v>
      </c>
      <c r="L91" s="307">
        <f t="shared" si="2"/>
        <v>529188.12593152758</v>
      </c>
      <c r="M91" s="307">
        <f>'M) Police'!O91</f>
        <v>89292.31691630026</v>
      </c>
      <c r="N91" s="307">
        <f t="shared" si="3"/>
        <v>618480.4428478278</v>
      </c>
      <c r="P91" s="380"/>
    </row>
    <row r="92" spans="1:16" s="215" customFormat="1" x14ac:dyDescent="0.25">
      <c r="A92" s="212">
        <f>'B) D RI'!A93</f>
        <v>5539</v>
      </c>
      <c r="B92" s="213" t="str">
        <f>'B) D RI'!B93</f>
        <v>Vuarrens</v>
      </c>
      <c r="C92" s="333">
        <f>'B) D RI'!S93</f>
        <v>75</v>
      </c>
      <c r="D92" s="214">
        <f>'B) D RI'!AR93</f>
        <v>935</v>
      </c>
      <c r="E92" s="219">
        <f>'D) Ecrêtage'!M91</f>
        <v>22756.172933333331</v>
      </c>
      <c r="F92" s="222">
        <f>'E) Fact soc'!G97</f>
        <v>409700.91043227405</v>
      </c>
      <c r="G92" s="222">
        <f>'H) Péréquation directe'!I102</f>
        <v>-82697.575329958403</v>
      </c>
      <c r="H92" s="222">
        <f>'I) Dépenses thématiques'!O91</f>
        <v>-94940.883454144845</v>
      </c>
      <c r="I92" s="222">
        <f>'K) Plafonnement aide'!J91</f>
        <v>0</v>
      </c>
      <c r="J92" s="222">
        <f>'J) Plafonnement effort'!I91</f>
        <v>0</v>
      </c>
      <c r="K92" s="222">
        <f>'L) Plafonnement taux'!Q92</f>
        <v>0</v>
      </c>
      <c r="L92" s="307">
        <f t="shared" si="2"/>
        <v>232062.4516481708</v>
      </c>
      <c r="M92" s="307">
        <f>'M) Police'!O92</f>
        <v>71815.044398229074</v>
      </c>
      <c r="N92" s="307">
        <f t="shared" si="3"/>
        <v>303877.49604639987</v>
      </c>
      <c r="P92" s="380"/>
    </row>
    <row r="93" spans="1:16" s="215" customFormat="1" x14ac:dyDescent="0.25">
      <c r="A93" s="212">
        <f>'B) D RI'!A94</f>
        <v>5540</v>
      </c>
      <c r="B93" s="213" t="str">
        <f>'B) D RI'!B94</f>
        <v>Montilliez</v>
      </c>
      <c r="C93" s="333">
        <f>'B) D RI'!S94</f>
        <v>74</v>
      </c>
      <c r="D93" s="214">
        <f>'B) D RI'!AR94</f>
        <v>1656</v>
      </c>
      <c r="E93" s="219">
        <f>'D) Ecrêtage'!M92</f>
        <v>47199.265101351346</v>
      </c>
      <c r="F93" s="222">
        <f>'E) Fact soc'!G98</f>
        <v>836855.57412502647</v>
      </c>
      <c r="G93" s="222">
        <f>'H) Péréquation directe'!I103</f>
        <v>-11120.766791427508</v>
      </c>
      <c r="H93" s="222">
        <f>'I) Dépenses thématiques'!O92</f>
        <v>-1116843.2105777622</v>
      </c>
      <c r="I93" s="222">
        <f>'K) Plafonnement aide'!J92</f>
        <v>0</v>
      </c>
      <c r="J93" s="222">
        <f>'J) Plafonnement effort'!I92</f>
        <v>0</v>
      </c>
      <c r="K93" s="222">
        <f>'L) Plafonnement taux'!Q93</f>
        <v>0</v>
      </c>
      <c r="L93" s="307">
        <f>F93+G93+H93+I93+J93+K93</f>
        <v>-291108.40324416326</v>
      </c>
      <c r="M93" s="307">
        <f>'M) Police'!O93</f>
        <v>149954.63002434152</v>
      </c>
      <c r="N93" s="307">
        <f t="shared" si="3"/>
        <v>-141153.77321982174</v>
      </c>
      <c r="P93" s="380"/>
    </row>
    <row r="94" spans="1:16" s="215" customFormat="1" x14ac:dyDescent="0.25">
      <c r="A94" s="212">
        <f>'B) D RI'!A95</f>
        <v>5541</v>
      </c>
      <c r="B94" s="213" t="str">
        <f>'B) D RI'!B95</f>
        <v>Goumoëns</v>
      </c>
      <c r="C94" s="333">
        <f>'B) D RI'!S95</f>
        <v>77</v>
      </c>
      <c r="D94" s="214">
        <f>'B) D RI'!AR95</f>
        <v>1055</v>
      </c>
      <c r="E94" s="219">
        <f>'D) Ecrêtage'!M93</f>
        <v>35607.690389610398</v>
      </c>
      <c r="F94" s="222">
        <f>'E) Fact soc'!G99</f>
        <v>617330.70066540258</v>
      </c>
      <c r="G94" s="222">
        <f>'H) Péréquation directe'!I104</f>
        <v>286616.81129658117</v>
      </c>
      <c r="H94" s="222">
        <f>'I) Dépenses thématiques'!O93</f>
        <v>-32096.245156842957</v>
      </c>
      <c r="I94" s="222">
        <f>'K) Plafonnement aide'!J93</f>
        <v>0</v>
      </c>
      <c r="J94" s="222">
        <f>'J) Plafonnement effort'!I93</f>
        <v>0</v>
      </c>
      <c r="K94" s="222">
        <f>'L) Plafonnement taux'!Q94</f>
        <v>0</v>
      </c>
      <c r="L94" s="307">
        <f>F94+G94+H94+I94+J94+K94</f>
        <v>871851.26680514077</v>
      </c>
      <c r="M94" s="307">
        <f>'M) Police'!O94</f>
        <v>114719.11409008477</v>
      </c>
      <c r="N94" s="307">
        <f t="shared" si="3"/>
        <v>986570.38089522556</v>
      </c>
      <c r="P94" s="380"/>
    </row>
    <row r="95" spans="1:16" s="215" customFormat="1" x14ac:dyDescent="0.25">
      <c r="A95" s="212">
        <f>'B) D RI'!A96</f>
        <v>5551</v>
      </c>
      <c r="B95" s="213" t="str">
        <f>'B) D RI'!B96</f>
        <v>Bonvillars</v>
      </c>
      <c r="C95" s="333">
        <f>'B) D RI'!S96</f>
        <v>55</v>
      </c>
      <c r="D95" s="214">
        <f>'B) D RI'!AR96</f>
        <v>506</v>
      </c>
      <c r="E95" s="219">
        <f>'D) Ecrêtage'!M94</f>
        <v>15988.430935064936</v>
      </c>
      <c r="F95" s="222">
        <f>'E) Fact soc'!G100</f>
        <v>269114.11808020656</v>
      </c>
      <c r="G95" s="222">
        <f>'H) Péréquation directe'!I105</f>
        <v>171052.68166505866</v>
      </c>
      <c r="H95" s="222">
        <f>'I) Dépenses thématiques'!O94</f>
        <v>-144335.42498905931</v>
      </c>
      <c r="I95" s="222">
        <f>'K) Plafonnement aide'!J94</f>
        <v>0</v>
      </c>
      <c r="J95" s="222">
        <f>'J) Plafonnement effort'!I94</f>
        <v>0</v>
      </c>
      <c r="K95" s="222">
        <f>'L) Plafonnement taux'!Q95</f>
        <v>0</v>
      </c>
      <c r="L95" s="307">
        <f t="shared" si="2"/>
        <v>295831.37475620594</v>
      </c>
      <c r="M95" s="307">
        <f>'M) Police'!O95</f>
        <v>50047.372048050631</v>
      </c>
      <c r="N95" s="307">
        <f t="shared" si="3"/>
        <v>345878.74680425657</v>
      </c>
      <c r="P95" s="380"/>
    </row>
    <row r="96" spans="1:16" s="215" customFormat="1" x14ac:dyDescent="0.25">
      <c r="A96" s="212">
        <f>'B) D RI'!A97</f>
        <v>5552</v>
      </c>
      <c r="B96" s="213" t="str">
        <f>'B) D RI'!B97</f>
        <v>Bullet</v>
      </c>
      <c r="C96" s="333">
        <f>'B) D RI'!S97</f>
        <v>70</v>
      </c>
      <c r="D96" s="214">
        <f>'B) D RI'!AR97</f>
        <v>606</v>
      </c>
      <c r="E96" s="219">
        <f>'D) Ecrêtage'!M95</f>
        <v>15525.607571428574</v>
      </c>
      <c r="F96" s="222">
        <f>'E) Fact soc'!G101</f>
        <v>355838.66306798166</v>
      </c>
      <c r="G96" s="222">
        <f>'H) Péréquation directe'!I106</f>
        <v>10483.156097538595</v>
      </c>
      <c r="H96" s="222">
        <f>'I) Dépenses thématiques'!O95</f>
        <v>-183962.26782358094</v>
      </c>
      <c r="I96" s="222">
        <f>'K) Plafonnement aide'!J95</f>
        <v>0</v>
      </c>
      <c r="J96" s="222">
        <f>'J) Plafonnement effort'!I95</f>
        <v>0</v>
      </c>
      <c r="K96" s="222">
        <f>'L) Plafonnement taux'!Q96</f>
        <v>0</v>
      </c>
      <c r="L96" s="307">
        <f t="shared" si="2"/>
        <v>182359.55134193931</v>
      </c>
      <c r="M96" s="307">
        <f>'M) Police'!O96</f>
        <v>48844.239193129091</v>
      </c>
      <c r="N96" s="307">
        <f t="shared" si="3"/>
        <v>231203.7905350684</v>
      </c>
      <c r="P96" s="380"/>
    </row>
    <row r="97" spans="1:16" s="215" customFormat="1" x14ac:dyDescent="0.25">
      <c r="A97" s="212">
        <f>'B) D RI'!A98</f>
        <v>5553</v>
      </c>
      <c r="B97" s="213" t="str">
        <f>'B) D RI'!B98</f>
        <v>Champagne</v>
      </c>
      <c r="C97" s="333">
        <f>'B) D RI'!S98</f>
        <v>63</v>
      </c>
      <c r="D97" s="214">
        <f>'B) D RI'!AR98</f>
        <v>1048</v>
      </c>
      <c r="E97" s="219">
        <f>'D) Ecrêtage'!M96</f>
        <v>43429.608412698406</v>
      </c>
      <c r="F97" s="222">
        <f>'E) Fact soc'!G102</f>
        <v>825377.38159602089</v>
      </c>
      <c r="G97" s="222">
        <f>'H) Péréquation directe'!I107</f>
        <v>647783.52236795181</v>
      </c>
      <c r="H97" s="222">
        <f>'I) Dépenses thématiques'!O96</f>
        <v>-214452.22705295956</v>
      </c>
      <c r="I97" s="222">
        <f>'K) Plafonnement aide'!J96</f>
        <v>0</v>
      </c>
      <c r="J97" s="222">
        <f>'J) Plafonnement effort'!I96</f>
        <v>0</v>
      </c>
      <c r="K97" s="222">
        <f>'L) Plafonnement taux'!Q97</f>
        <v>0</v>
      </c>
      <c r="L97" s="307">
        <f t="shared" si="2"/>
        <v>1258708.6769110132</v>
      </c>
      <c r="M97" s="307">
        <f>'M) Police'!O97</f>
        <v>139010.51348436723</v>
      </c>
      <c r="N97" s="307">
        <f t="shared" si="3"/>
        <v>1397719.1903953804</v>
      </c>
      <c r="P97" s="380"/>
    </row>
    <row r="98" spans="1:16" s="215" customFormat="1" x14ac:dyDescent="0.25">
      <c r="A98" s="212">
        <f>'B) D RI'!A99</f>
        <v>5554</v>
      </c>
      <c r="B98" s="213" t="str">
        <f>'B) D RI'!B99</f>
        <v>Concise</v>
      </c>
      <c r="C98" s="333">
        <f>'B) D RI'!S99</f>
        <v>75</v>
      </c>
      <c r="D98" s="214">
        <f>'B) D RI'!AR99</f>
        <v>954</v>
      </c>
      <c r="E98" s="219">
        <f>'D) Ecrêtage'!M97</f>
        <v>29691.100933333331</v>
      </c>
      <c r="F98" s="222">
        <f>'E) Fact soc'!G103</f>
        <v>602296.50098141073</v>
      </c>
      <c r="G98" s="222">
        <f>'H) Péréquation directe'!I108</f>
        <v>180707.10515427287</v>
      </c>
      <c r="H98" s="222">
        <f>'I) Dépenses thématiques'!O97</f>
        <v>-106961.58671971285</v>
      </c>
      <c r="I98" s="222">
        <f>'K) Plafonnement aide'!J97</f>
        <v>0</v>
      </c>
      <c r="J98" s="222">
        <f>'J) Plafonnement effort'!I97</f>
        <v>0</v>
      </c>
      <c r="K98" s="222">
        <f>'L) Plafonnement taux'!Q98</f>
        <v>0</v>
      </c>
      <c r="L98" s="307">
        <f t="shared" si="2"/>
        <v>676042.01941597078</v>
      </c>
      <c r="M98" s="307">
        <f>'M) Police'!O98</f>
        <v>94949.241157079945</v>
      </c>
      <c r="N98" s="307">
        <f t="shared" si="3"/>
        <v>770991.26057305071</v>
      </c>
      <c r="P98" s="380"/>
    </row>
    <row r="99" spans="1:16" s="215" customFormat="1" x14ac:dyDescent="0.25">
      <c r="A99" s="212">
        <f>'B) D RI'!A100</f>
        <v>5555</v>
      </c>
      <c r="B99" s="213" t="str">
        <f>'B) D RI'!B100</f>
        <v>Corcelles-près-Concise</v>
      </c>
      <c r="C99" s="333">
        <f>'B) D RI'!S100</f>
        <v>71</v>
      </c>
      <c r="D99" s="214">
        <f>'B) D RI'!AR100</f>
        <v>337</v>
      </c>
      <c r="E99" s="219">
        <f>'D) Ecrêtage'!M98</f>
        <v>9762.6867605633779</v>
      </c>
      <c r="F99" s="222">
        <f>'E) Fact soc'!G104</f>
        <v>188145.39185883498</v>
      </c>
      <c r="G99" s="222">
        <f>'H) Péréquation directe'!I109</f>
        <v>45949.07204280002</v>
      </c>
      <c r="H99" s="222">
        <f>'I) Dépenses thématiques'!O98</f>
        <v>-109738.90387932942</v>
      </c>
      <c r="I99" s="222">
        <f>'K) Plafonnement aide'!J98</f>
        <v>0</v>
      </c>
      <c r="J99" s="222">
        <f>'J) Plafonnement effort'!I98</f>
        <v>0</v>
      </c>
      <c r="K99" s="222">
        <f>'L) Plafonnement taux'!Q99</f>
        <v>0</v>
      </c>
      <c r="L99" s="307">
        <f t="shared" si="2"/>
        <v>124355.56002230558</v>
      </c>
      <c r="M99" s="307">
        <f>'M) Police'!O99</f>
        <v>30808.140170373244</v>
      </c>
      <c r="N99" s="307">
        <f t="shared" si="3"/>
        <v>155163.70019267884</v>
      </c>
      <c r="P99" s="380"/>
    </row>
    <row r="100" spans="1:16" s="215" customFormat="1" x14ac:dyDescent="0.25">
      <c r="A100" s="212">
        <f>'B) D RI'!A101</f>
        <v>5556</v>
      </c>
      <c r="B100" s="213" t="str">
        <f>'B) D RI'!B101</f>
        <v>Fiez</v>
      </c>
      <c r="C100" s="333">
        <f>'B) D RI'!S101</f>
        <v>69</v>
      </c>
      <c r="D100" s="214">
        <f>'B) D RI'!AR101</f>
        <v>421</v>
      </c>
      <c r="E100" s="219">
        <f>'D) Ecrêtage'!M99</f>
        <v>10799.932053140095</v>
      </c>
      <c r="F100" s="222">
        <f>'E) Fact soc'!G105</f>
        <v>191565.36988083168</v>
      </c>
      <c r="G100" s="222">
        <f>'H) Péréquation directe'!I110</f>
        <v>12106.2320421451</v>
      </c>
      <c r="H100" s="222">
        <f>'I) Dépenses thématiques'!O99</f>
        <v>-59197.904937016865</v>
      </c>
      <c r="I100" s="222">
        <f>'K) Plafonnement aide'!J99</f>
        <v>0</v>
      </c>
      <c r="J100" s="222">
        <f>'J) Plafonnement effort'!I99</f>
        <v>0</v>
      </c>
      <c r="K100" s="222">
        <f>'L) Plafonnement taux'!Q100</f>
        <v>0</v>
      </c>
      <c r="L100" s="307">
        <f t="shared" si="2"/>
        <v>144473.69698595992</v>
      </c>
      <c r="M100" s="307">
        <f>'M) Police'!O100</f>
        <v>34308.73218836452</v>
      </c>
      <c r="N100" s="307">
        <f t="shared" si="3"/>
        <v>178782.42917432444</v>
      </c>
      <c r="P100" s="380"/>
    </row>
    <row r="101" spans="1:16" s="215" customFormat="1" x14ac:dyDescent="0.25">
      <c r="A101" s="212">
        <f>'B) D RI'!A102</f>
        <v>5557</v>
      </c>
      <c r="B101" s="213" t="str">
        <f>'B) D RI'!B102</f>
        <v>Fontaines-sur-Grandson</v>
      </c>
      <c r="C101" s="333">
        <f>'B) D RI'!S102</f>
        <v>69</v>
      </c>
      <c r="D101" s="214">
        <f>'B) D RI'!AR102</f>
        <v>191</v>
      </c>
      <c r="E101" s="219">
        <f>'D) Ecrêtage'!M100</f>
        <v>4200.6523188405799</v>
      </c>
      <c r="F101" s="222">
        <f>'E) Fact soc'!G106</f>
        <v>73904.784013997269</v>
      </c>
      <c r="G101" s="222">
        <f>'H) Péréquation directe'!I111</f>
        <v>-20737.018655203297</v>
      </c>
      <c r="H101" s="222">
        <f>'I) Dépenses thématiques'!O100</f>
        <v>-25752.358321816093</v>
      </c>
      <c r="I101" s="222">
        <f>'K) Plafonnement aide'!J100</f>
        <v>0</v>
      </c>
      <c r="J101" s="222">
        <f>'J) Plafonnement effort'!I100</f>
        <v>0</v>
      </c>
      <c r="K101" s="222">
        <f>'L) Plafonnement taux'!Q101</f>
        <v>0</v>
      </c>
      <c r="L101" s="307">
        <f t="shared" si="2"/>
        <v>27415.407036977878</v>
      </c>
      <c r="M101" s="307">
        <f>'M) Police'!O101</f>
        <v>13265.178763049124</v>
      </c>
      <c r="N101" s="307">
        <f t="shared" si="3"/>
        <v>40680.585800027002</v>
      </c>
      <c r="P101" s="380"/>
    </row>
    <row r="102" spans="1:16" s="215" customFormat="1" x14ac:dyDescent="0.25">
      <c r="A102" s="212">
        <f>'B) D RI'!A103</f>
        <v>5559</v>
      </c>
      <c r="B102" s="213" t="str">
        <f>'B) D RI'!B103</f>
        <v>Giez</v>
      </c>
      <c r="C102" s="333">
        <f>'B) D RI'!S103</f>
        <v>66</v>
      </c>
      <c r="D102" s="214">
        <f>'B) D RI'!AR103</f>
        <v>389</v>
      </c>
      <c r="E102" s="219">
        <f>'D) Ecrêtage'!M101</f>
        <v>17998.483636363639</v>
      </c>
      <c r="F102" s="222">
        <f>'E) Fact soc'!G107</f>
        <v>288833.69046522985</v>
      </c>
      <c r="G102" s="222">
        <f>'H) Péréquation directe'!I112</f>
        <v>296045.51962734794</v>
      </c>
      <c r="H102" s="222">
        <f>'I) Dépenses thématiques'!O101</f>
        <v>0</v>
      </c>
      <c r="I102" s="222">
        <f>'K) Plafonnement aide'!J101</f>
        <v>0</v>
      </c>
      <c r="J102" s="222">
        <f>'J) Plafonnement effort'!I101</f>
        <v>0</v>
      </c>
      <c r="K102" s="222">
        <f>'L) Plafonnement taux'!Q102</f>
        <v>0</v>
      </c>
      <c r="L102" s="307">
        <f t="shared" si="2"/>
        <v>584879.21009257785</v>
      </c>
      <c r="M102" s="307">
        <f>'M) Police'!O102</f>
        <v>57094.17447076214</v>
      </c>
      <c r="N102" s="307">
        <f t="shared" si="3"/>
        <v>641973.38456333999</v>
      </c>
      <c r="P102" s="380"/>
    </row>
    <row r="103" spans="1:16" s="215" customFormat="1" x14ac:dyDescent="0.25">
      <c r="A103" s="212">
        <f>'B) D RI'!A104</f>
        <v>5560</v>
      </c>
      <c r="B103" s="213" t="str">
        <f>'B) D RI'!B104</f>
        <v>Grandevent</v>
      </c>
      <c r="C103" s="333">
        <f>'B) D RI'!S104</f>
        <v>68</v>
      </c>
      <c r="D103" s="214">
        <f>'B) D RI'!AR104</f>
        <v>232</v>
      </c>
      <c r="E103" s="219">
        <f>'D) Ecrêtage'!M102</f>
        <v>6396.1444117647052</v>
      </c>
      <c r="F103" s="222">
        <f>'E) Fact soc'!G108</f>
        <v>114906.84370477321</v>
      </c>
      <c r="G103" s="222">
        <f>'H) Péréquation directe'!I113</f>
        <v>25442.384673545108</v>
      </c>
      <c r="H103" s="222">
        <f>'I) Dépenses thématiques'!O102</f>
        <v>-12982.913497180778</v>
      </c>
      <c r="I103" s="222">
        <f>'K) Plafonnement aide'!J102</f>
        <v>0</v>
      </c>
      <c r="J103" s="222">
        <f>'J) Plafonnement effort'!I102</f>
        <v>0</v>
      </c>
      <c r="K103" s="222">
        <f>'L) Plafonnement taux'!Q103</f>
        <v>0</v>
      </c>
      <c r="L103" s="307">
        <f t="shared" si="2"/>
        <v>127366.31488113753</v>
      </c>
      <c r="M103" s="307">
        <f>'M) Police'!O103</f>
        <v>20271.756480488933</v>
      </c>
      <c r="N103" s="307">
        <f t="shared" si="3"/>
        <v>147638.07136162647</v>
      </c>
      <c r="P103" s="380"/>
    </row>
    <row r="104" spans="1:16" s="215" customFormat="1" x14ac:dyDescent="0.25">
      <c r="A104" s="212">
        <f>'B) D RI'!A105</f>
        <v>5561</v>
      </c>
      <c r="B104" s="213" t="str">
        <f>'B) D RI'!B105</f>
        <v>Grandson</v>
      </c>
      <c r="C104" s="333">
        <f>'B) D RI'!S105</f>
        <v>69</v>
      </c>
      <c r="D104" s="214">
        <f>'B) D RI'!AR105</f>
        <v>3303</v>
      </c>
      <c r="E104" s="219">
        <f>'D) Ecrêtage'!M103</f>
        <v>106507.86840579711</v>
      </c>
      <c r="F104" s="222">
        <f>'E) Fact soc'!G109</f>
        <v>2102761.5028001401</v>
      </c>
      <c r="G104" s="222">
        <f>'H) Péréquation directe'!I114</f>
        <v>297058.5665300244</v>
      </c>
      <c r="H104" s="222">
        <f>'I) Dépenses thématiques'!O103</f>
        <v>-735330.55423425906</v>
      </c>
      <c r="I104" s="222">
        <f>'K) Plafonnement aide'!J103</f>
        <v>0</v>
      </c>
      <c r="J104" s="222">
        <f>'J) Plafonnement effort'!I103</f>
        <v>0</v>
      </c>
      <c r="K104" s="222">
        <f>'L) Plafonnement taux'!Q104</f>
        <v>0</v>
      </c>
      <c r="L104" s="307">
        <f t="shared" si="2"/>
        <v>1664489.5150959052</v>
      </c>
      <c r="M104" s="307">
        <f>'M) Police'!O104</f>
        <v>339930.73325310356</v>
      </c>
      <c r="N104" s="307">
        <f t="shared" si="3"/>
        <v>2004420.2483490086</v>
      </c>
      <c r="P104" s="380"/>
    </row>
    <row r="105" spans="1:16" s="215" customFormat="1" x14ac:dyDescent="0.25">
      <c r="A105" s="212">
        <f>'B) D RI'!A106</f>
        <v>5562</v>
      </c>
      <c r="B105" s="213" t="str">
        <f>'B) D RI'!B106</f>
        <v>Mauborget</v>
      </c>
      <c r="C105" s="333">
        <f>'B) D RI'!S106</f>
        <v>70</v>
      </c>
      <c r="D105" s="214">
        <f>'B) D RI'!AR106</f>
        <v>119</v>
      </c>
      <c r="E105" s="219">
        <f>'D) Ecrêtage'!M104</f>
        <v>3916.9319285714282</v>
      </c>
      <c r="F105" s="222">
        <f>'E) Fact soc'!G110</f>
        <v>65610.021805388038</v>
      </c>
      <c r="G105" s="222">
        <f>'H) Péréquation directe'!I115</f>
        <v>35112.251789012415</v>
      </c>
      <c r="H105" s="222">
        <f>'I) Dépenses thématiques'!O104</f>
        <v>-14709.098212929342</v>
      </c>
      <c r="I105" s="222">
        <f>'K) Plafonnement aide'!J104</f>
        <v>0</v>
      </c>
      <c r="J105" s="222">
        <f>'J) Plafonnement effort'!I104</f>
        <v>0</v>
      </c>
      <c r="K105" s="222">
        <f>'L) Plafonnement taux'!Q105</f>
        <v>0</v>
      </c>
      <c r="L105" s="307">
        <f t="shared" si="2"/>
        <v>86013.175381471112</v>
      </c>
      <c r="M105" s="307">
        <f>'M) Police'!O105</f>
        <v>12310.223097105842</v>
      </c>
      <c r="N105" s="307">
        <f t="shared" si="3"/>
        <v>98323.398478576957</v>
      </c>
      <c r="P105" s="380"/>
    </row>
    <row r="106" spans="1:16" s="215" customFormat="1" x14ac:dyDescent="0.25">
      <c r="A106" s="212">
        <f>'B) D RI'!A107</f>
        <v>5563</v>
      </c>
      <c r="B106" s="213" t="str">
        <f>'B) D RI'!B107</f>
        <v>Mutrux</v>
      </c>
      <c r="C106" s="333">
        <f>'B) D RI'!S107</f>
        <v>78.5</v>
      </c>
      <c r="D106" s="214">
        <f>'B) D RI'!AR107</f>
        <v>153</v>
      </c>
      <c r="E106" s="219">
        <f>'D) Ecrêtage'!M105</f>
        <v>4102.2142675159239</v>
      </c>
      <c r="F106" s="222">
        <f>'E) Fact soc'!G111</f>
        <v>69970.530952325673</v>
      </c>
      <c r="G106" s="222">
        <f>'H) Péréquation directe'!I116</f>
        <v>-3679.8373666954431</v>
      </c>
      <c r="H106" s="222">
        <f>'I) Dépenses thématiques'!O105</f>
        <v>-19823.173645211395</v>
      </c>
      <c r="I106" s="222">
        <f>'K) Plafonnement aide'!J105</f>
        <v>0</v>
      </c>
      <c r="J106" s="222">
        <f>'J) Plafonnement effort'!I105</f>
        <v>0</v>
      </c>
      <c r="K106" s="222">
        <f>'L) Plafonnement taux'!Q106</f>
        <v>0</v>
      </c>
      <c r="L106" s="307">
        <f t="shared" si="2"/>
        <v>46467.519940418832</v>
      </c>
      <c r="M106" s="307">
        <f>'M) Police'!O106</f>
        <v>13192.832074144422</v>
      </c>
      <c r="N106" s="307">
        <f t="shared" si="3"/>
        <v>59660.35201456325</v>
      </c>
      <c r="P106" s="380"/>
    </row>
    <row r="107" spans="1:16" s="215" customFormat="1" x14ac:dyDescent="0.25">
      <c r="A107" s="212">
        <f>'B) D RI'!A108</f>
        <v>5564</v>
      </c>
      <c r="B107" s="213" t="str">
        <f>'B) D RI'!B108</f>
        <v>Novalles</v>
      </c>
      <c r="C107" s="333">
        <f>'B) D RI'!S108</f>
        <v>76</v>
      </c>
      <c r="D107" s="214">
        <f>'B) D RI'!AR108</f>
        <v>102</v>
      </c>
      <c r="E107" s="219">
        <f>'D) Ecrêtage'!M106</f>
        <v>2120.1975328947365</v>
      </c>
      <c r="F107" s="222">
        <f>'E) Fact soc'!G112</f>
        <v>32914.931944808552</v>
      </c>
      <c r="G107" s="222">
        <f>'H) Péréquation directe'!I117</f>
        <v>-25286.897152235229</v>
      </c>
      <c r="H107" s="222">
        <f>'I) Dépenses thématiques'!O106</f>
        <v>-6739.4661439887332</v>
      </c>
      <c r="I107" s="222">
        <f>'K) Plafonnement aide'!J106</f>
        <v>0</v>
      </c>
      <c r="J107" s="222">
        <f>'J) Plafonnement effort'!I106</f>
        <v>0</v>
      </c>
      <c r="K107" s="222">
        <f>'L) Plafonnement taux'!Q107</f>
        <v>0</v>
      </c>
      <c r="L107" s="307">
        <f t="shared" si="2"/>
        <v>888.56864858458903</v>
      </c>
      <c r="M107" s="307">
        <f>'M) Police'!O107</f>
        <v>6767.5289453867099</v>
      </c>
      <c r="N107" s="307">
        <f t="shared" si="3"/>
        <v>7656.0975939712989</v>
      </c>
      <c r="P107" s="380"/>
    </row>
    <row r="108" spans="1:16" s="215" customFormat="1" x14ac:dyDescent="0.25">
      <c r="A108" s="212">
        <f>'B) D RI'!A109</f>
        <v>5565</v>
      </c>
      <c r="B108" s="213" t="str">
        <f>'B) D RI'!B109</f>
        <v>Onnens</v>
      </c>
      <c r="C108" s="333">
        <f>'B) D RI'!S109</f>
        <v>65</v>
      </c>
      <c r="D108" s="214">
        <f>'B) D RI'!AR109</f>
        <v>493</v>
      </c>
      <c r="E108" s="219">
        <f>'D) Ecrêtage'!M107</f>
        <v>19222.665538461537</v>
      </c>
      <c r="F108" s="222">
        <f>'E) Fact soc'!G113</f>
        <v>340645.75929948315</v>
      </c>
      <c r="G108" s="222">
        <f>'H) Péréquation directe'!I118</f>
        <v>266256.67857355665</v>
      </c>
      <c r="H108" s="222">
        <f>'I) Dépenses thématiques'!O107</f>
        <v>-30656.850823377998</v>
      </c>
      <c r="I108" s="222">
        <f>'K) Plafonnement aide'!J107</f>
        <v>0</v>
      </c>
      <c r="J108" s="222">
        <f>'J) Plafonnement effort'!I107</f>
        <v>0</v>
      </c>
      <c r="K108" s="222">
        <f>'L) Plafonnement taux'!Q108</f>
        <v>0</v>
      </c>
      <c r="L108" s="307">
        <f t="shared" si="2"/>
        <v>576245.5870496619</v>
      </c>
      <c r="M108" s="307">
        <f>'M) Police'!O108</f>
        <v>60491.428873685014</v>
      </c>
      <c r="N108" s="307">
        <f t="shared" si="3"/>
        <v>636737.01592334686</v>
      </c>
      <c r="P108" s="380"/>
    </row>
    <row r="109" spans="1:16" s="215" customFormat="1" x14ac:dyDescent="0.25">
      <c r="A109" s="212">
        <f>'B) D RI'!A110</f>
        <v>5566</v>
      </c>
      <c r="B109" s="213" t="str">
        <f>'B) D RI'!B110</f>
        <v>Provence</v>
      </c>
      <c r="C109" s="333">
        <f>'B) D RI'!S110</f>
        <v>81</v>
      </c>
      <c r="D109" s="214">
        <f>'B) D RI'!AR110</f>
        <v>385</v>
      </c>
      <c r="E109" s="219">
        <f>'D) Ecrêtage'!M108</f>
        <v>7814.1319753086409</v>
      </c>
      <c r="F109" s="222">
        <f>'E) Fact soc'!G114</f>
        <v>141692.67170602325</v>
      </c>
      <c r="G109" s="222">
        <f>'H) Péréquation directe'!I119</f>
        <v>-131879.33214824606</v>
      </c>
      <c r="H109" s="222">
        <f>'I) Dépenses thématiques'!O108</f>
        <v>-199100.69093686156</v>
      </c>
      <c r="I109" s="222">
        <f>'K) Plafonnement aide'!J108</f>
        <v>0</v>
      </c>
      <c r="J109" s="222">
        <f>'J) Plafonnement effort'!I108</f>
        <v>0</v>
      </c>
      <c r="K109" s="222">
        <f>'L) Plafonnement taux'!Q109</f>
        <v>0</v>
      </c>
      <c r="L109" s="307">
        <f t="shared" si="2"/>
        <v>-189287.35137908437</v>
      </c>
      <c r="M109" s="307">
        <f>'M) Police'!O109</f>
        <v>24867.930877794279</v>
      </c>
      <c r="N109" s="307">
        <f t="shared" si="3"/>
        <v>-164419.42050129009</v>
      </c>
      <c r="P109" s="380"/>
    </row>
    <row r="110" spans="1:16" s="215" customFormat="1" x14ac:dyDescent="0.25">
      <c r="A110" s="212">
        <f>'B) D RI'!A111</f>
        <v>5568</v>
      </c>
      <c r="B110" s="213" t="str">
        <f>'B) D RI'!B111</f>
        <v>Sainte-Croix</v>
      </c>
      <c r="C110" s="333">
        <f>'B) D RI'!S111</f>
        <v>70</v>
      </c>
      <c r="D110" s="214">
        <f>'B) D RI'!AR111</f>
        <v>4763</v>
      </c>
      <c r="E110" s="219">
        <f>'D) Ecrêtage'!M109</f>
        <v>93435.029714285716</v>
      </c>
      <c r="F110" s="222">
        <f>'E) Fact soc'!G115</f>
        <v>2371860.9888435937</v>
      </c>
      <c r="G110" s="222">
        <f>'H) Péréquation directe'!I120</f>
        <v>-2199258.9783340739</v>
      </c>
      <c r="H110" s="222">
        <f>'I) Dépenses thématiques'!O109</f>
        <v>-1149079.226583723</v>
      </c>
      <c r="I110" s="222">
        <f>'K) Plafonnement aide'!J109</f>
        <v>0</v>
      </c>
      <c r="J110" s="222">
        <f>'J) Plafonnement effort'!I109</f>
        <v>0</v>
      </c>
      <c r="K110" s="222">
        <f>'L) Plafonnement taux'!Q110</f>
        <v>0</v>
      </c>
      <c r="L110" s="307">
        <f t="shared" si="2"/>
        <v>-976477.21607420314</v>
      </c>
      <c r="M110" s="307">
        <f>'M) Police'!O110</f>
        <v>295911.81118032458</v>
      </c>
      <c r="N110" s="307">
        <f t="shared" si="3"/>
        <v>-680565.40489387861</v>
      </c>
      <c r="P110" s="380"/>
    </row>
    <row r="111" spans="1:16" s="215" customFormat="1" x14ac:dyDescent="0.25">
      <c r="A111" s="212">
        <f>'B) D RI'!A112</f>
        <v>5571</v>
      </c>
      <c r="B111" s="213" t="str">
        <f>'B) D RI'!B112</f>
        <v>Tévenon</v>
      </c>
      <c r="C111" s="333">
        <f>'B) D RI'!S112</f>
        <v>73</v>
      </c>
      <c r="D111" s="214">
        <f>'B) D RI'!AR112</f>
        <v>811</v>
      </c>
      <c r="E111" s="219">
        <f>'D) Ecrêtage'!M110</f>
        <v>20766.182465753427</v>
      </c>
      <c r="F111" s="222">
        <f>'E) Fact soc'!G116</f>
        <v>388527.12348820374</v>
      </c>
      <c r="G111" s="222">
        <f>'H) Péréquation directe'!I121</f>
        <v>-11983.633411319344</v>
      </c>
      <c r="H111" s="222">
        <f>'I) Dépenses thématiques'!O110</f>
        <v>-61047.662378849484</v>
      </c>
      <c r="I111" s="222">
        <f>'K) Plafonnement aide'!J110</f>
        <v>0</v>
      </c>
      <c r="J111" s="222">
        <f>'J) Plafonnement effort'!I110</f>
        <v>0</v>
      </c>
      <c r="K111" s="222">
        <f>'L) Plafonnement taux'!Q111</f>
        <v>0</v>
      </c>
      <c r="L111" s="307">
        <f t="shared" si="2"/>
        <v>315495.82769803493</v>
      </c>
      <c r="M111" s="307">
        <f>'M) Police'!O111</f>
        <v>65777.063324861228</v>
      </c>
      <c r="N111" s="307">
        <f t="shared" si="3"/>
        <v>381272.89102289616</v>
      </c>
      <c r="P111" s="380"/>
    </row>
    <row r="112" spans="1:16" s="215" customFormat="1" x14ac:dyDescent="0.25">
      <c r="A112" s="212">
        <f>'B) D RI'!A113</f>
        <v>5581</v>
      </c>
      <c r="B112" s="213" t="str">
        <f>'B) D RI'!B113</f>
        <v>Belmont-sur-Lausanne</v>
      </c>
      <c r="C112" s="333">
        <f>'B) D RI'!S113</f>
        <v>69.5</v>
      </c>
      <c r="D112" s="214">
        <f>'B) D RI'!AR113</f>
        <v>3602</v>
      </c>
      <c r="E112" s="219">
        <f>'D) Ecrêtage'!M111</f>
        <v>173034.35179856114</v>
      </c>
      <c r="F112" s="222">
        <f>'E) Fact soc'!G117</f>
        <v>3091221.926756416</v>
      </c>
      <c r="G112" s="222">
        <f>'H) Péréquation directe'!I122</f>
        <v>2126423.2012506286</v>
      </c>
      <c r="H112" s="222">
        <f>'I) Dépenses thématiques'!O111</f>
        <v>-633704.63515509421</v>
      </c>
      <c r="I112" s="222">
        <f>'K) Plafonnement aide'!J111</f>
        <v>0</v>
      </c>
      <c r="J112" s="222">
        <f>'J) Plafonnement effort'!I111</f>
        <v>0</v>
      </c>
      <c r="K112" s="222">
        <f>'L) Plafonnement taux'!Q112</f>
        <v>0</v>
      </c>
      <c r="L112" s="307">
        <f t="shared" si="2"/>
        <v>4583940.4928519512</v>
      </c>
      <c r="M112" s="307">
        <f>'M) Police'!O112</f>
        <v>232292.76006421002</v>
      </c>
      <c r="N112" s="307">
        <f t="shared" si="3"/>
        <v>4816233.252916161</v>
      </c>
      <c r="P112" s="380"/>
    </row>
    <row r="113" spans="1:16" s="215" customFormat="1" x14ac:dyDescent="0.25">
      <c r="A113" s="212">
        <f>'B) D RI'!A114</f>
        <v>5582</v>
      </c>
      <c r="B113" s="213" t="str">
        <f>'B) D RI'!B114</f>
        <v>Cheseaux-sur-Lausanne</v>
      </c>
      <c r="C113" s="333">
        <f>'B) D RI'!S114</f>
        <v>74.5</v>
      </c>
      <c r="D113" s="214">
        <f>'B) D RI'!AR114</f>
        <v>4297</v>
      </c>
      <c r="E113" s="219">
        <f>'D) Ecrêtage'!M112</f>
        <v>165346.44872483221</v>
      </c>
      <c r="F113" s="222">
        <f>'E) Fact soc'!G118</f>
        <v>3128523.9511883012</v>
      </c>
      <c r="G113" s="222">
        <f>'H) Péréquation directe'!I123</f>
        <v>1107245.8801449293</v>
      </c>
      <c r="H113" s="222">
        <f>'I) Dépenses thématiques'!O112</f>
        <v>-217925.84411301813</v>
      </c>
      <c r="I113" s="222">
        <f>'K) Plafonnement aide'!J112</f>
        <v>0</v>
      </c>
      <c r="J113" s="222">
        <f>'J) Plafonnement effort'!I112</f>
        <v>0</v>
      </c>
      <c r="K113" s="222">
        <f>'L) Plafonnement taux'!Q113</f>
        <v>0</v>
      </c>
      <c r="L113" s="307">
        <f t="shared" si="2"/>
        <v>4017843.9872202119</v>
      </c>
      <c r="M113" s="307">
        <f>'M) Police'!O113</f>
        <v>531956.18304125522</v>
      </c>
      <c r="N113" s="307">
        <f t="shared" si="3"/>
        <v>4549800.1702614669</v>
      </c>
      <c r="P113" s="380"/>
    </row>
    <row r="114" spans="1:16" s="215" customFormat="1" x14ac:dyDescent="0.25">
      <c r="A114" s="212">
        <f>'B) D RI'!A115</f>
        <v>5583</v>
      </c>
      <c r="B114" s="213" t="str">
        <f>'B) D RI'!B115</f>
        <v>Crissier</v>
      </c>
      <c r="C114" s="333">
        <f>'B) D RI'!S115</f>
        <v>65</v>
      </c>
      <c r="D114" s="214">
        <f>'B) D RI'!AR115</f>
        <v>7542</v>
      </c>
      <c r="E114" s="219">
        <f>'D) Ecrêtage'!M113</f>
        <v>323925.7196923077</v>
      </c>
      <c r="F114" s="222">
        <f>'E) Fact soc'!G119</f>
        <v>6180196.2695626998</v>
      </c>
      <c r="G114" s="222">
        <f>'H) Péréquation directe'!I124</f>
        <v>2584596.2306296625</v>
      </c>
      <c r="H114" s="222">
        <f>'I) Dépenses thématiques'!O113</f>
        <v>-1849445.4232321742</v>
      </c>
      <c r="I114" s="222">
        <f>'K) Plafonnement aide'!J113</f>
        <v>0</v>
      </c>
      <c r="J114" s="222">
        <f>'J) Plafonnement effort'!I113</f>
        <v>0</v>
      </c>
      <c r="K114" s="222">
        <f>'L) Plafonnement taux'!Q114</f>
        <v>0</v>
      </c>
      <c r="L114" s="307">
        <f t="shared" si="2"/>
        <v>6915347.0769601883</v>
      </c>
      <c r="M114" s="307">
        <f>'M) Police'!O114</f>
        <v>434859.31377781765</v>
      </c>
      <c r="N114" s="307">
        <f t="shared" si="3"/>
        <v>7350206.3907380057</v>
      </c>
      <c r="P114" s="380"/>
    </row>
    <row r="115" spans="1:16" s="215" customFormat="1" x14ac:dyDescent="0.25">
      <c r="A115" s="212">
        <f>'B) D RI'!A116</f>
        <v>5584</v>
      </c>
      <c r="B115" s="213" t="str">
        <f>'B) D RI'!B116</f>
        <v>Epalinges</v>
      </c>
      <c r="C115" s="333">
        <f>'B) D RI'!S116</f>
        <v>66</v>
      </c>
      <c r="D115" s="214">
        <f>'B) D RI'!AR116</f>
        <v>9185</v>
      </c>
      <c r="E115" s="219">
        <f>'D) Ecrêtage'!M114</f>
        <v>455923.60696969699</v>
      </c>
      <c r="F115" s="222">
        <f>'E) Fact soc'!G120</f>
        <v>8748407.9928017259</v>
      </c>
      <c r="G115" s="222">
        <f>'H) Péréquation directe'!I125</f>
        <v>4161251.9181175241</v>
      </c>
      <c r="H115" s="222">
        <f>'I) Dépenses thématiques'!O114</f>
        <v>-2654506.3288864689</v>
      </c>
      <c r="I115" s="222">
        <f>'K) Plafonnement aide'!J114</f>
        <v>0</v>
      </c>
      <c r="J115" s="222">
        <f>'J) Plafonnement effort'!I114</f>
        <v>0</v>
      </c>
      <c r="K115" s="222">
        <f>'L) Plafonnement taux'!Q115</f>
        <v>0</v>
      </c>
      <c r="L115" s="307">
        <f t="shared" si="2"/>
        <v>10255153.582032781</v>
      </c>
      <c r="M115" s="307">
        <f>'M) Police'!O115</f>
        <v>1389642.3731823652</v>
      </c>
      <c r="N115" s="307">
        <f t="shared" si="3"/>
        <v>11644795.955215147</v>
      </c>
      <c r="P115" s="380"/>
    </row>
    <row r="116" spans="1:16" s="215" customFormat="1" x14ac:dyDescent="0.25">
      <c r="A116" s="212">
        <f>'B) D RI'!A117</f>
        <v>5585</v>
      </c>
      <c r="B116" s="213" t="str">
        <f>'B) D RI'!B117</f>
        <v>Jouxtens-Mézery</v>
      </c>
      <c r="C116" s="333">
        <f>'B) D RI'!S117</f>
        <v>53</v>
      </c>
      <c r="D116" s="214">
        <f>'B) D RI'!AR117</f>
        <v>1405</v>
      </c>
      <c r="E116" s="219">
        <f>'D) Ecrêtage'!M115</f>
        <v>133687.63661736436</v>
      </c>
      <c r="F116" s="222">
        <f>'E) Fact soc'!G121</f>
        <v>4427608.112415106</v>
      </c>
      <c r="G116" s="222">
        <f>'H) Péréquation directe'!I126</f>
        <v>2245655.6835050737</v>
      </c>
      <c r="H116" s="222">
        <f>'I) Dépenses thématiques'!O115</f>
        <v>0</v>
      </c>
      <c r="I116" s="222">
        <f>'K) Plafonnement aide'!J115</f>
        <v>0</v>
      </c>
      <c r="J116" s="222">
        <f>'J) Plafonnement effort'!I115</f>
        <v>0</v>
      </c>
      <c r="K116" s="222">
        <f>'L) Plafonnement taux'!Q116</f>
        <v>0</v>
      </c>
      <c r="L116" s="307">
        <f t="shared" si="2"/>
        <v>6673263.7959201802</v>
      </c>
      <c r="M116" s="307">
        <f>'M) Police'!O116</f>
        <v>298415.10191691737</v>
      </c>
      <c r="N116" s="307">
        <f t="shared" si="3"/>
        <v>6971678.8978370978</v>
      </c>
      <c r="P116" s="380"/>
    </row>
    <row r="117" spans="1:16" s="215" customFormat="1" x14ac:dyDescent="0.25">
      <c r="A117" s="212">
        <f>'B) D RI'!A118</f>
        <v>5586</v>
      </c>
      <c r="B117" s="213" t="str">
        <f>'B) D RI'!B118</f>
        <v>Lausanne</v>
      </c>
      <c r="C117" s="333">
        <f>'B) D RI'!S118</f>
        <v>79</v>
      </c>
      <c r="D117" s="214">
        <f>'B) D RI'!AR118</f>
        <v>134937</v>
      </c>
      <c r="E117" s="219">
        <f>'D) Ecrêtage'!M116</f>
        <v>5897479.10464135</v>
      </c>
      <c r="F117" s="222">
        <f>'E) Fact soc'!G122</f>
        <v>108802578.36292088</v>
      </c>
      <c r="G117" s="222">
        <f>'H) Péréquation directe'!I127</f>
        <v>-25991604.472212285</v>
      </c>
      <c r="H117" s="222">
        <f>'I) Dépenses thématiques'!O116</f>
        <v>-43098704.434266202</v>
      </c>
      <c r="I117" s="222">
        <f>'K) Plafonnement aide'!J116</f>
        <v>0</v>
      </c>
      <c r="J117" s="222">
        <f>'J) Plafonnement effort'!I116</f>
        <v>0</v>
      </c>
      <c r="K117" s="222">
        <f>'L) Plafonnement taux'!Q117</f>
        <v>0</v>
      </c>
      <c r="L117" s="307">
        <f t="shared" ref="L117:L167" si="4">F117+G117+H117+I117+J117+K117</f>
        <v>39712269.456442393</v>
      </c>
      <c r="M117" s="307">
        <f>'M) Police'!O117</f>
        <v>7917166.0678855851</v>
      </c>
      <c r="N117" s="307">
        <f t="shared" si="3"/>
        <v>47629435.524327978</v>
      </c>
      <c r="P117" s="380"/>
    </row>
    <row r="118" spans="1:16" s="215" customFormat="1" x14ac:dyDescent="0.25">
      <c r="A118" s="212">
        <f>'B) D RI'!A119</f>
        <v>5587</v>
      </c>
      <c r="B118" s="213" t="str">
        <f>'B) D RI'!B119</f>
        <v>Le Mont-sur-Lausanne</v>
      </c>
      <c r="C118" s="333">
        <f>'B) D RI'!S119</f>
        <v>75</v>
      </c>
      <c r="D118" s="214">
        <f>'B) D RI'!AR119</f>
        <v>7271</v>
      </c>
      <c r="E118" s="219">
        <f>'D) Ecrêtage'!M117</f>
        <v>380449.00348888891</v>
      </c>
      <c r="F118" s="222">
        <f>'E) Fact soc'!G123</f>
        <v>7534626.6836123038</v>
      </c>
      <c r="G118" s="222">
        <f>'H) Péréquation directe'!I128</f>
        <v>3940968.2637198297</v>
      </c>
      <c r="H118" s="222">
        <f>'I) Dépenses thématiques'!O117</f>
        <v>-2203031.5480095311</v>
      </c>
      <c r="I118" s="222">
        <f>'K) Plafonnement aide'!J117</f>
        <v>0</v>
      </c>
      <c r="J118" s="222">
        <f>'J) Plafonnement effort'!I117</f>
        <v>0</v>
      </c>
      <c r="K118" s="222">
        <f>'L) Plafonnement taux'!Q118</f>
        <v>0</v>
      </c>
      <c r="L118" s="307">
        <f t="shared" si="4"/>
        <v>9272563.399322601</v>
      </c>
      <c r="M118" s="307">
        <f>'M) Police'!O118</f>
        <v>1126285.5622746714</v>
      </c>
      <c r="N118" s="307">
        <f t="shared" si="3"/>
        <v>10398848.961597273</v>
      </c>
      <c r="P118" s="380"/>
    </row>
    <row r="119" spans="1:16" s="215" customFormat="1" x14ac:dyDescent="0.25">
      <c r="A119" s="212">
        <f>'B) D RI'!A120</f>
        <v>5588</v>
      </c>
      <c r="B119" s="213" t="str">
        <f>'B) D RI'!B120</f>
        <v>Paudex</v>
      </c>
      <c r="C119" s="333">
        <f>'B) D RI'!S120</f>
        <v>61.5</v>
      </c>
      <c r="D119" s="214">
        <f>'B) D RI'!AR120</f>
        <v>1485</v>
      </c>
      <c r="E119" s="219">
        <f>'D) Ecrêtage'!M118</f>
        <v>131472.52830411893</v>
      </c>
      <c r="F119" s="222">
        <f>'E) Fact soc'!G124</f>
        <v>4082415.8793408982</v>
      </c>
      <c r="G119" s="222">
        <f>'H) Péréquation directe'!I129</f>
        <v>2176763.1424396117</v>
      </c>
      <c r="H119" s="222">
        <f>'I) Dépenses thématiques'!O118</f>
        <v>0</v>
      </c>
      <c r="I119" s="222">
        <f>'K) Plafonnement aide'!J118</f>
        <v>0</v>
      </c>
      <c r="J119" s="222">
        <f>'J) Plafonnement effort'!I118</f>
        <v>0</v>
      </c>
      <c r="K119" s="222">
        <f>'L) Plafonnement taux'!Q119</f>
        <v>0</v>
      </c>
      <c r="L119" s="307">
        <f t="shared" si="4"/>
        <v>6259179.0217805095</v>
      </c>
      <c r="M119" s="307">
        <f>'M) Police'!O119</f>
        <v>176497.41889366106</v>
      </c>
      <c r="N119" s="307">
        <f t="shared" si="3"/>
        <v>6435676.4406741709</v>
      </c>
      <c r="P119" s="380"/>
    </row>
    <row r="120" spans="1:16" s="215" customFormat="1" x14ac:dyDescent="0.25">
      <c r="A120" s="212">
        <f>'B) D RI'!A121</f>
        <v>5589</v>
      </c>
      <c r="B120" s="213" t="str">
        <f>'B) D RI'!B121</f>
        <v>Prilly</v>
      </c>
      <c r="C120" s="333">
        <f>'B) D RI'!S121</f>
        <v>73.5</v>
      </c>
      <c r="D120" s="214">
        <f>'B) D RI'!AR121</f>
        <v>11782</v>
      </c>
      <c r="E120" s="219">
        <f>'D) Ecrêtage'!M119</f>
        <v>462414.97306122456</v>
      </c>
      <c r="F120" s="222">
        <f>'E) Fact soc'!G125</f>
        <v>8920985.5471211113</v>
      </c>
      <c r="G120" s="222">
        <f>'H) Péréquation directe'!I130</f>
        <v>870544.33072183933</v>
      </c>
      <c r="H120" s="222">
        <f>'I) Dépenses thématiques'!O119</f>
        <v>-2655111.7328015496</v>
      </c>
      <c r="I120" s="222">
        <f>'K) Plafonnement aide'!J119</f>
        <v>0</v>
      </c>
      <c r="J120" s="222">
        <f>'J) Plafonnement effort'!I119</f>
        <v>0</v>
      </c>
      <c r="K120" s="222">
        <f>'L) Plafonnement taux'!Q120</f>
        <v>0</v>
      </c>
      <c r="L120" s="307">
        <f t="shared" si="4"/>
        <v>7136418.1450414024</v>
      </c>
      <c r="M120" s="307">
        <f>'M) Police'!O120</f>
        <v>620776.44855431758</v>
      </c>
      <c r="N120" s="307">
        <f t="shared" si="3"/>
        <v>7757194.5935957199</v>
      </c>
      <c r="P120" s="380"/>
    </row>
    <row r="121" spans="1:16" s="215" customFormat="1" x14ac:dyDescent="0.25">
      <c r="A121" s="212">
        <f>'B) D RI'!A122</f>
        <v>5590</v>
      </c>
      <c r="B121" s="213" t="str">
        <f>'B) D RI'!B122</f>
        <v>Pully</v>
      </c>
      <c r="C121" s="333">
        <f>'B) D RI'!S122</f>
        <v>63</v>
      </c>
      <c r="D121" s="214">
        <f>'B) D RI'!AR122</f>
        <v>17811</v>
      </c>
      <c r="E121" s="219">
        <f>'D) Ecrêtage'!M120</f>
        <v>1264205.9412925458</v>
      </c>
      <c r="F121" s="222">
        <f>'E) Fact soc'!G126</f>
        <v>35208865.665665694</v>
      </c>
      <c r="G121" s="222">
        <f>'H) Péréquation directe'!I131</f>
        <v>10925176.875869364</v>
      </c>
      <c r="H121" s="222">
        <f>'I) Dépenses thématiques'!O120</f>
        <v>-1954138.5777864861</v>
      </c>
      <c r="I121" s="222">
        <f>'K) Plafonnement aide'!J120</f>
        <v>0</v>
      </c>
      <c r="J121" s="222">
        <f>'J) Plafonnement effort'!I120</f>
        <v>0</v>
      </c>
      <c r="K121" s="222">
        <f>'L) Plafonnement taux'!Q121</f>
        <v>0</v>
      </c>
      <c r="L121" s="307">
        <f t="shared" si="4"/>
        <v>44179903.963748574</v>
      </c>
      <c r="M121" s="307">
        <f>'M) Police'!O121</f>
        <v>1697153.6827224391</v>
      </c>
      <c r="N121" s="307">
        <f t="shared" si="3"/>
        <v>45877057.646471016</v>
      </c>
      <c r="P121" s="380"/>
    </row>
    <row r="122" spans="1:16" s="215" customFormat="1" x14ac:dyDescent="0.25">
      <c r="A122" s="212">
        <f>'B) D RI'!A123</f>
        <v>5591</v>
      </c>
      <c r="B122" s="213" t="str">
        <f>'B) D RI'!B123</f>
        <v>Renens</v>
      </c>
      <c r="C122" s="333">
        <f>'B) D RI'!S123</f>
        <v>78.5</v>
      </c>
      <c r="D122" s="214">
        <f>'B) D RI'!AR123</f>
        <v>20362</v>
      </c>
      <c r="E122" s="219">
        <f>'D) Ecrêtage'!M121</f>
        <v>546895.28569608741</v>
      </c>
      <c r="F122" s="222">
        <f>'E) Fact soc'!G127</f>
        <v>9660628.290971186</v>
      </c>
      <c r="G122" s="222">
        <f>'H) Péréquation directe'!I132</f>
        <v>-13658352.951330673</v>
      </c>
      <c r="H122" s="222">
        <f>'I) Dépenses thématiques'!O121</f>
        <v>-5078909.9861755436</v>
      </c>
      <c r="I122" s="222">
        <f>'K) Plafonnement aide'!J121</f>
        <v>442905.30333491904</v>
      </c>
      <c r="J122" s="222">
        <f>'J) Plafonnement effort'!I121</f>
        <v>0</v>
      </c>
      <c r="K122" s="222">
        <f>'L) Plafonnement taux'!Q122</f>
        <v>0</v>
      </c>
      <c r="L122" s="307">
        <f t="shared" si="4"/>
        <v>-8633729.3432001118</v>
      </c>
      <c r="M122" s="307">
        <f>'M) Police'!O122</f>
        <v>734188.40860191104</v>
      </c>
      <c r="N122" s="307">
        <f t="shared" si="3"/>
        <v>-7899540.934598201</v>
      </c>
      <c r="P122" s="380"/>
    </row>
    <row r="123" spans="1:16" s="215" customFormat="1" x14ac:dyDescent="0.25">
      <c r="A123" s="212">
        <f>'B) D RI'!A124</f>
        <v>5592</v>
      </c>
      <c r="B123" s="213" t="str">
        <f>'B) D RI'!B124</f>
        <v>Romanel-sur-Lausanne</v>
      </c>
      <c r="C123" s="333">
        <f>'B) D RI'!S124</f>
        <v>70</v>
      </c>
      <c r="D123" s="214">
        <f>'B) D RI'!AR124</f>
        <v>3351</v>
      </c>
      <c r="E123" s="219">
        <f>'D) Ecrêtage'!M122</f>
        <v>110273.83828571429</v>
      </c>
      <c r="F123" s="222">
        <f>'E) Fact soc'!G128</f>
        <v>2208926.8495967444</v>
      </c>
      <c r="G123" s="222">
        <f>'H) Péréquation directe'!I133</f>
        <v>353815.36886738241</v>
      </c>
      <c r="H123" s="222">
        <f>'I) Dépenses thématiques'!O122</f>
        <v>-190905.3419218263</v>
      </c>
      <c r="I123" s="222">
        <f>'K) Plafonnement aide'!J122</f>
        <v>0</v>
      </c>
      <c r="J123" s="222">
        <f>'J) Plafonnement effort'!I122</f>
        <v>0</v>
      </c>
      <c r="K123" s="222">
        <f>'L) Plafonnement taux'!Q123</f>
        <v>0</v>
      </c>
      <c r="L123" s="307">
        <f t="shared" si="4"/>
        <v>2371836.8765423005</v>
      </c>
      <c r="M123" s="307">
        <f>'M) Police'!O123</f>
        <v>347940.33740686171</v>
      </c>
      <c r="N123" s="307">
        <f t="shared" si="3"/>
        <v>2719777.213949162</v>
      </c>
      <c r="P123" s="380"/>
    </row>
    <row r="124" spans="1:16" s="215" customFormat="1" x14ac:dyDescent="0.25">
      <c r="A124" s="212">
        <f>'B) D RI'!A125</f>
        <v>5601</v>
      </c>
      <c r="B124" s="213" t="str">
        <f>'B) D RI'!B125</f>
        <v>Chexbres</v>
      </c>
      <c r="C124" s="333">
        <f>'B) D RI'!S125</f>
        <v>64</v>
      </c>
      <c r="D124" s="214">
        <f>'B) D RI'!AR125</f>
        <v>2218</v>
      </c>
      <c r="E124" s="219">
        <f>'D) Ecrêtage'!M123</f>
        <v>104474.96078125002</v>
      </c>
      <c r="F124" s="222">
        <f>'E) Fact soc'!G129</f>
        <v>1947905.1499638958</v>
      </c>
      <c r="G124" s="222">
        <f>'H) Péréquation directe'!I134</f>
        <v>1420965.8066664725</v>
      </c>
      <c r="H124" s="222">
        <f>'I) Dépenses thématiques'!O123</f>
        <v>-152405.49663720196</v>
      </c>
      <c r="I124" s="222">
        <f>'K) Plafonnement aide'!J123</f>
        <v>0</v>
      </c>
      <c r="J124" s="222">
        <f>'J) Plafonnement effort'!I123</f>
        <v>0</v>
      </c>
      <c r="K124" s="222">
        <f>'L) Plafonnement taux'!Q124</f>
        <v>0</v>
      </c>
      <c r="L124" s="307">
        <f t="shared" si="4"/>
        <v>3216465.4599931664</v>
      </c>
      <c r="M124" s="307">
        <f>'M) Police'!O124</f>
        <v>140254.09836382829</v>
      </c>
      <c r="N124" s="307">
        <f t="shared" si="3"/>
        <v>3356719.5583569948</v>
      </c>
      <c r="P124" s="380"/>
    </row>
    <row r="125" spans="1:16" s="215" customFormat="1" x14ac:dyDescent="0.25">
      <c r="A125" s="212">
        <f>'B) D RI'!A126</f>
        <v>5604</v>
      </c>
      <c r="B125" s="213" t="str">
        <f>'B) D RI'!B126</f>
        <v>Forel (Lavaux)</v>
      </c>
      <c r="C125" s="333">
        <f>'B) D RI'!S126</f>
        <v>68</v>
      </c>
      <c r="D125" s="214">
        <f>'B) D RI'!AR126</f>
        <v>2085</v>
      </c>
      <c r="E125" s="219">
        <f>'D) Ecrêtage'!M124</f>
        <v>65514.699852941172</v>
      </c>
      <c r="F125" s="222">
        <f>'E) Fact soc'!G130</f>
        <v>1158218.7660183688</v>
      </c>
      <c r="G125" s="222">
        <f>'H) Péréquation directe'!I135</f>
        <v>257119.64776183525</v>
      </c>
      <c r="H125" s="222">
        <f>'I) Dépenses thématiques'!O124</f>
        <v>-295147.12469588098</v>
      </c>
      <c r="I125" s="222">
        <f>'K) Plafonnement aide'!J124</f>
        <v>0</v>
      </c>
      <c r="J125" s="222">
        <f>'J) Plafonnement effort'!I124</f>
        <v>0</v>
      </c>
      <c r="K125" s="222">
        <f>'L) Plafonnement taux'!Q125</f>
        <v>0</v>
      </c>
      <c r="L125" s="307">
        <f t="shared" si="4"/>
        <v>1120191.289084323</v>
      </c>
      <c r="M125" s="307">
        <f>'M) Police'!O125</f>
        <v>208455.13569876121</v>
      </c>
      <c r="N125" s="307">
        <f t="shared" si="3"/>
        <v>1328646.4247830841</v>
      </c>
      <c r="P125" s="380"/>
    </row>
    <row r="126" spans="1:16" s="215" customFormat="1" x14ac:dyDescent="0.25">
      <c r="A126" s="212">
        <f>'B) D RI'!A127</f>
        <v>5606</v>
      </c>
      <c r="B126" s="213" t="str">
        <f>'B) D RI'!B127</f>
        <v>Lutry</v>
      </c>
      <c r="C126" s="333">
        <f>'B) D RI'!S127</f>
        <v>56</v>
      </c>
      <c r="D126" s="214">
        <f>'B) D RI'!AR127</f>
        <v>9739</v>
      </c>
      <c r="E126" s="219">
        <f>'D) Ecrêtage'!M125</f>
        <v>687879.74736869638</v>
      </c>
      <c r="F126" s="222">
        <f>'E) Fact soc'!G131</f>
        <v>19169347.398568131</v>
      </c>
      <c r="G126" s="222">
        <f>'H) Péréquation directe'!I136</f>
        <v>8006668.9152763579</v>
      </c>
      <c r="H126" s="222">
        <f>'I) Dépenses thématiques'!O125</f>
        <v>-1661320.5908845759</v>
      </c>
      <c r="I126" s="222">
        <f>'K) Plafonnement aide'!J125</f>
        <v>0</v>
      </c>
      <c r="J126" s="222">
        <f>'J) Plafonnement effort'!I125</f>
        <v>0</v>
      </c>
      <c r="K126" s="222">
        <f>'L) Plafonnement taux'!Q126</f>
        <v>0</v>
      </c>
      <c r="L126" s="307">
        <f t="shared" si="4"/>
        <v>25514695.72295991</v>
      </c>
      <c r="M126" s="307">
        <f>'M) Police'!O126</f>
        <v>923455.27606313559</v>
      </c>
      <c r="N126" s="307">
        <f t="shared" si="3"/>
        <v>26438150.999023046</v>
      </c>
      <c r="P126" s="380"/>
    </row>
    <row r="127" spans="1:16" s="215" customFormat="1" x14ac:dyDescent="0.25">
      <c r="A127" s="212">
        <f>'B) D RI'!A128</f>
        <v>5607</v>
      </c>
      <c r="B127" s="213" t="str">
        <f>'B) D RI'!B128</f>
        <v>Puidoux</v>
      </c>
      <c r="C127" s="333">
        <f>'B) D RI'!S128</f>
        <v>68</v>
      </c>
      <c r="D127" s="214">
        <f>'B) D RI'!AR128</f>
        <v>2858</v>
      </c>
      <c r="E127" s="219">
        <f>'D) Ecrêtage'!M126</f>
        <v>100862.46201406649</v>
      </c>
      <c r="F127" s="222">
        <f>'E) Fact soc'!G132</f>
        <v>1823834.4700530292</v>
      </c>
      <c r="G127" s="222">
        <f>'H) Péréquation directe'!I137</f>
        <v>669585.59938853653</v>
      </c>
      <c r="H127" s="222">
        <f>'I) Dépenses thématiques'!O126</f>
        <v>-576362.80763259041</v>
      </c>
      <c r="I127" s="222">
        <f>'K) Plafonnement aide'!J126</f>
        <v>0</v>
      </c>
      <c r="J127" s="222">
        <f>'J) Plafonnement effort'!I126</f>
        <v>0</v>
      </c>
      <c r="K127" s="222">
        <f>'L) Plafonnement taux'!Q127</f>
        <v>0</v>
      </c>
      <c r="L127" s="307">
        <f t="shared" si="4"/>
        <v>1917057.2618089754</v>
      </c>
      <c r="M127" s="307">
        <f>'M) Police'!O127</f>
        <v>135404.4410522297</v>
      </c>
      <c r="N127" s="307">
        <f t="shared" si="3"/>
        <v>2052461.702861205</v>
      </c>
      <c r="P127" s="380"/>
    </row>
    <row r="128" spans="1:16" s="215" customFormat="1" x14ac:dyDescent="0.25">
      <c r="A128" s="212">
        <f>'B) D RI'!A129</f>
        <v>5609</v>
      </c>
      <c r="B128" s="213" t="str">
        <f>'B) D RI'!B129</f>
        <v>Rivaz</v>
      </c>
      <c r="C128" s="333">
        <f>'B) D RI'!S129</f>
        <v>63.5</v>
      </c>
      <c r="D128" s="214">
        <f>'B) D RI'!AR129</f>
        <v>360</v>
      </c>
      <c r="E128" s="219">
        <f>'D) Ecrêtage'!M127</f>
        <v>16122.244409448818</v>
      </c>
      <c r="F128" s="222">
        <f>'E) Fact soc'!G133</f>
        <v>301628.64065155142</v>
      </c>
      <c r="G128" s="222">
        <f>'H) Péréquation directe'!I138</f>
        <v>264040.98102692328</v>
      </c>
      <c r="H128" s="222">
        <f>'I) Dépenses thématiques'!O127</f>
        <v>-27614.856487219058</v>
      </c>
      <c r="I128" s="222">
        <f>'K) Plafonnement aide'!J127</f>
        <v>0</v>
      </c>
      <c r="J128" s="222">
        <f>'J) Plafonnement effort'!I127</f>
        <v>0</v>
      </c>
      <c r="K128" s="222">
        <f>'L) Plafonnement taux'!Q128</f>
        <v>0</v>
      </c>
      <c r="L128" s="307">
        <f t="shared" si="4"/>
        <v>538054.7651912556</v>
      </c>
      <c r="M128" s="307">
        <f>'M) Police'!O128</f>
        <v>21643.567380542456</v>
      </c>
      <c r="N128" s="307">
        <f t="shared" si="3"/>
        <v>559698.332571798</v>
      </c>
      <c r="P128" s="380"/>
    </row>
    <row r="129" spans="1:16" s="215" customFormat="1" x14ac:dyDescent="0.25">
      <c r="A129" s="212">
        <f>'B) D RI'!A130</f>
        <v>5610</v>
      </c>
      <c r="B129" s="213" t="str">
        <f>'B) D RI'!B130</f>
        <v>St-Saphorin (Lavaux)</v>
      </c>
      <c r="C129" s="333">
        <f>'B) D RI'!S130</f>
        <v>62</v>
      </c>
      <c r="D129" s="214">
        <f>'B) D RI'!AR130</f>
        <v>383</v>
      </c>
      <c r="E129" s="219">
        <f>'D) Ecrêtage'!M128</f>
        <v>20953.215883284913</v>
      </c>
      <c r="F129" s="222">
        <f>'E) Fact soc'!G134</f>
        <v>353277.98371044651</v>
      </c>
      <c r="G129" s="222">
        <f>'H) Péréquation directe'!I139</f>
        <v>351561.7768076167</v>
      </c>
      <c r="H129" s="222">
        <f>'I) Dépenses thématiques'!O128</f>
        <v>-44068.151905654122</v>
      </c>
      <c r="I129" s="222">
        <f>'K) Plafonnement aide'!J128</f>
        <v>0</v>
      </c>
      <c r="J129" s="222">
        <f>'J) Plafonnement effort'!I128</f>
        <v>0</v>
      </c>
      <c r="K129" s="222">
        <f>'L) Plafonnement taux'!Q129</f>
        <v>0</v>
      </c>
      <c r="L129" s="307">
        <f t="shared" si="4"/>
        <v>660771.60861240909</v>
      </c>
      <c r="M129" s="307">
        <f>'M) Police'!O129</f>
        <v>28128.98305543264</v>
      </c>
      <c r="N129" s="307">
        <f t="shared" si="3"/>
        <v>688900.59166784177</v>
      </c>
      <c r="P129" s="380"/>
    </row>
    <row r="130" spans="1:16" s="215" customFormat="1" x14ac:dyDescent="0.25">
      <c r="A130" s="212">
        <f>'B) D RI'!A131</f>
        <v>5611</v>
      </c>
      <c r="B130" s="213" t="str">
        <f>'B) D RI'!B131</f>
        <v>Savigny</v>
      </c>
      <c r="C130" s="333">
        <f>'B) D RI'!S131</f>
        <v>67</v>
      </c>
      <c r="D130" s="214">
        <f>'B) D RI'!AR131</f>
        <v>3304</v>
      </c>
      <c r="E130" s="219">
        <f>'D) Ecrêtage'!M129</f>
        <v>130312.40671641791</v>
      </c>
      <c r="F130" s="222">
        <f>'E) Fact soc'!G135</f>
        <v>2460361.3346179519</v>
      </c>
      <c r="G130" s="222">
        <f>'H) Péréquation directe'!I140</f>
        <v>1205494.6533911778</v>
      </c>
      <c r="H130" s="222">
        <f>'I) Dépenses thématiques'!O129</f>
        <v>-547563.27131004212</v>
      </c>
      <c r="I130" s="222">
        <f>'K) Plafonnement aide'!J129</f>
        <v>0</v>
      </c>
      <c r="J130" s="222">
        <f>'J) Plafonnement effort'!I129</f>
        <v>0</v>
      </c>
      <c r="K130" s="222">
        <f>'L) Plafonnement taux'!Q130</f>
        <v>0</v>
      </c>
      <c r="L130" s="307">
        <f t="shared" si="4"/>
        <v>3118292.7166990875</v>
      </c>
      <c r="M130" s="307">
        <f>'M) Police'!O130</f>
        <v>174939.99493237233</v>
      </c>
      <c r="N130" s="307">
        <f t="shared" si="3"/>
        <v>3293232.7116314596</v>
      </c>
      <c r="P130" s="380"/>
    </row>
    <row r="131" spans="1:16" s="215" customFormat="1" x14ac:dyDescent="0.25">
      <c r="A131" s="212">
        <f>'B) D RI'!A132</f>
        <v>5613</v>
      </c>
      <c r="B131" s="213" t="str">
        <f>'B) D RI'!B132</f>
        <v>Bourg-en-Lavaux</v>
      </c>
      <c r="C131" s="333">
        <f>'B) D RI'!S132</f>
        <v>61</v>
      </c>
      <c r="D131" s="214">
        <f>'B) D RI'!AR132</f>
        <v>5247</v>
      </c>
      <c r="E131" s="219">
        <f>'D) Ecrêtage'!M130</f>
        <v>293422.02834789746</v>
      </c>
      <c r="F131" s="222">
        <f>'E) Fact soc'!G136</f>
        <v>5842132.1482976824</v>
      </c>
      <c r="G131" s="222">
        <f>'H) Péréquation directe'!I141</f>
        <v>3525501.4868601765</v>
      </c>
      <c r="H131" s="222">
        <f>'I) Dépenses thématiques'!O130</f>
        <v>-243372.46259675111</v>
      </c>
      <c r="I131" s="222">
        <f>'K) Plafonnement aide'!J130</f>
        <v>0</v>
      </c>
      <c r="J131" s="222">
        <f>'J) Plafonnement effort'!I130</f>
        <v>0</v>
      </c>
      <c r="K131" s="222">
        <f>'L) Plafonnement taux'!Q131</f>
        <v>0</v>
      </c>
      <c r="L131" s="307">
        <f t="shared" si="4"/>
        <v>9124261.1725611072</v>
      </c>
      <c r="M131" s="307">
        <f>'M) Police'!O131</f>
        <v>393909.14070011128</v>
      </c>
      <c r="N131" s="307">
        <f t="shared" si="3"/>
        <v>9518170.3132612184</v>
      </c>
      <c r="P131" s="380"/>
    </row>
    <row r="132" spans="1:16" s="215" customFormat="1" x14ac:dyDescent="0.25">
      <c r="A132" s="212">
        <f>'B) D RI'!A133</f>
        <v>5621</v>
      </c>
      <c r="B132" s="213" t="str">
        <f>'B) D RI'!B133</f>
        <v>Aclens</v>
      </c>
      <c r="C132" s="333">
        <f>'B) D RI'!S133</f>
        <v>62</v>
      </c>
      <c r="D132" s="214">
        <f>'B) D RI'!AR133</f>
        <v>528</v>
      </c>
      <c r="E132" s="219">
        <f>'D) Ecrêtage'!M131</f>
        <v>32596.490883992956</v>
      </c>
      <c r="F132" s="222">
        <f>'E) Fact soc'!G137</f>
        <v>741117.42253705743</v>
      </c>
      <c r="G132" s="222">
        <f>'H) Péréquation directe'!I142</f>
        <v>553631.78536725219</v>
      </c>
      <c r="H132" s="222">
        <f>'I) Dépenses thématiques'!O131</f>
        <v>0</v>
      </c>
      <c r="I132" s="222">
        <f>'K) Plafonnement aide'!J131</f>
        <v>0</v>
      </c>
      <c r="J132" s="222">
        <f>'J) Plafonnement effort'!I131</f>
        <v>0</v>
      </c>
      <c r="K132" s="222">
        <f>'L) Plafonnement taux'!Q132</f>
        <v>0</v>
      </c>
      <c r="L132" s="307">
        <f t="shared" si="4"/>
        <v>1294749.2079043095</v>
      </c>
      <c r="M132" s="307">
        <f>'M) Police'!O132</f>
        <v>88458.91611625193</v>
      </c>
      <c r="N132" s="307">
        <f t="shared" si="3"/>
        <v>1383208.1240205613</v>
      </c>
      <c r="P132" s="380"/>
    </row>
    <row r="133" spans="1:16" s="215" customFormat="1" x14ac:dyDescent="0.25">
      <c r="A133" s="212">
        <f>'B) D RI'!A134</f>
        <v>5622</v>
      </c>
      <c r="B133" s="213" t="str">
        <f>'B) D RI'!B134</f>
        <v>Bremblens</v>
      </c>
      <c r="C133" s="333">
        <f>'B) D RI'!S134</f>
        <v>66</v>
      </c>
      <c r="D133" s="214">
        <f>'B) D RI'!AR134</f>
        <v>511</v>
      </c>
      <c r="E133" s="219">
        <f>'D) Ecrêtage'!M132</f>
        <v>28064.668505419701</v>
      </c>
      <c r="F133" s="222">
        <f>'E) Fact soc'!G138</f>
        <v>479488.78131868428</v>
      </c>
      <c r="G133" s="222">
        <f>'H) Péréquation directe'!I143</f>
        <v>471077.5818903789</v>
      </c>
      <c r="H133" s="222">
        <f>'I) Dépenses thématiques'!O132</f>
        <v>-11566.56847528552</v>
      </c>
      <c r="I133" s="222">
        <f>'K) Plafonnement aide'!J132</f>
        <v>0</v>
      </c>
      <c r="J133" s="222">
        <f>'J) Plafonnement effort'!I132</f>
        <v>0</v>
      </c>
      <c r="K133" s="222">
        <f>'L) Plafonnement taux'!Q133</f>
        <v>0</v>
      </c>
      <c r="L133" s="307">
        <f t="shared" si="4"/>
        <v>938999.79473377764</v>
      </c>
      <c r="M133" s="307">
        <f>'M) Police'!O133</f>
        <v>80935.91820570924</v>
      </c>
      <c r="N133" s="307">
        <f t="shared" si="3"/>
        <v>1019935.7129394868</v>
      </c>
      <c r="P133" s="380"/>
    </row>
    <row r="134" spans="1:16" s="215" customFormat="1" x14ac:dyDescent="0.25">
      <c r="A134" s="212">
        <f>'B) D RI'!A135</f>
        <v>5623</v>
      </c>
      <c r="B134" s="213" t="str">
        <f>'B) D RI'!B135</f>
        <v>Buchillon</v>
      </c>
      <c r="C134" s="333">
        <f>'B) D RI'!S135</f>
        <v>53</v>
      </c>
      <c r="D134" s="214">
        <f>'B) D RI'!AR135</f>
        <v>624</v>
      </c>
      <c r="E134" s="219">
        <f>'D) Ecrêtage'!M133</f>
        <v>69073.160217996425</v>
      </c>
      <c r="F134" s="222">
        <f>'E) Fact soc'!G139</f>
        <v>2763063.0243445942</v>
      </c>
      <c r="G134" s="222">
        <f>'H) Péréquation directe'!I144</f>
        <v>1222153.3660657406</v>
      </c>
      <c r="H134" s="222">
        <f>'I) Dépenses thématiques'!O133</f>
        <v>0</v>
      </c>
      <c r="I134" s="222">
        <f>'K) Plafonnement aide'!J133</f>
        <v>0</v>
      </c>
      <c r="J134" s="222">
        <f>'J) Plafonnement effort'!I133</f>
        <v>0</v>
      </c>
      <c r="K134" s="222">
        <f>'L) Plafonnement taux'!Q134</f>
        <v>0</v>
      </c>
      <c r="L134" s="307">
        <f t="shared" si="4"/>
        <v>3985216.3904103348</v>
      </c>
      <c r="M134" s="307">
        <f>'M) Police'!O134</f>
        <v>92728.379461177043</v>
      </c>
      <c r="N134" s="307">
        <f t="shared" si="3"/>
        <v>4077944.769871512</v>
      </c>
      <c r="P134" s="380"/>
    </row>
    <row r="135" spans="1:16" s="215" customFormat="1" x14ac:dyDescent="0.25">
      <c r="A135" s="212">
        <f>'B) D RI'!A136</f>
        <v>5624</v>
      </c>
      <c r="B135" s="213" t="str">
        <f>'B) D RI'!B136</f>
        <v>Bussigny</v>
      </c>
      <c r="C135" s="333">
        <f>'B) D RI'!S136</f>
        <v>62</v>
      </c>
      <c r="D135" s="214">
        <f>'B) D RI'!AR136</f>
        <v>8215</v>
      </c>
      <c r="E135" s="219">
        <f>'D) Ecrêtage'!M134</f>
        <v>312174.83774193545</v>
      </c>
      <c r="F135" s="222">
        <f>'E) Fact soc'!G140</f>
        <v>7466072.4364863373</v>
      </c>
      <c r="G135" s="222">
        <f>'H) Péréquation directe'!I145</f>
        <v>1346286.2446609437</v>
      </c>
      <c r="H135" s="222">
        <f>'I) Dépenses thématiques'!O134</f>
        <v>-980568.24440448172</v>
      </c>
      <c r="I135" s="222">
        <f>'K) Plafonnement aide'!J134</f>
        <v>0</v>
      </c>
      <c r="J135" s="222">
        <f>'J) Plafonnement effort'!I134</f>
        <v>0</v>
      </c>
      <c r="K135" s="222">
        <f>'L) Plafonnement taux'!Q135</f>
        <v>0</v>
      </c>
      <c r="L135" s="307">
        <f t="shared" si="4"/>
        <v>7831790.4367427994</v>
      </c>
      <c r="M135" s="307">
        <f>'M) Police'!O135</f>
        <v>419084.15252764919</v>
      </c>
      <c r="N135" s="307">
        <f t="shared" ref="N135:N193" si="5">L135+M135</f>
        <v>8250874.5892704483</v>
      </c>
      <c r="P135" s="380"/>
    </row>
    <row r="136" spans="1:16" s="215" customFormat="1" x14ac:dyDescent="0.25">
      <c r="A136" s="212">
        <f>'B) D RI'!A137</f>
        <v>5625</v>
      </c>
      <c r="B136" s="213" t="str">
        <f>'B) D RI'!B137</f>
        <v>Bussy-Chardonney</v>
      </c>
      <c r="C136" s="333">
        <f>'B) D RI'!S137</f>
        <v>78</v>
      </c>
      <c r="D136" s="214">
        <f>'B) D RI'!AR137</f>
        <v>377</v>
      </c>
      <c r="E136" s="219">
        <f>'D) Ecrêtage'!M135</f>
        <v>16172.617200854704</v>
      </c>
      <c r="F136" s="222">
        <f>'E) Fact soc'!G141</f>
        <v>302679.07627804764</v>
      </c>
      <c r="G136" s="222">
        <f>'H) Péréquation directe'!I146</f>
        <v>252405.872850043</v>
      </c>
      <c r="H136" s="222">
        <f>'I) Dépenses thématiques'!O135</f>
        <v>-7748.272615182038</v>
      </c>
      <c r="I136" s="222">
        <f>'K) Plafonnement aide'!J135</f>
        <v>0</v>
      </c>
      <c r="J136" s="222">
        <f>'J) Plafonnement effort'!I135</f>
        <v>0</v>
      </c>
      <c r="K136" s="222">
        <f>'L) Plafonnement taux'!Q136</f>
        <v>0</v>
      </c>
      <c r="L136" s="307">
        <f t="shared" si="4"/>
        <v>547336.67651290866</v>
      </c>
      <c r="M136" s="307">
        <f>'M) Police'!O136</f>
        <v>51785.507814548881</v>
      </c>
      <c r="N136" s="307">
        <f t="shared" si="5"/>
        <v>599122.18432745757</v>
      </c>
      <c r="P136" s="380"/>
    </row>
    <row r="137" spans="1:16" s="215" customFormat="1" x14ac:dyDescent="0.25">
      <c r="A137" s="212">
        <f>'B) D RI'!A138</f>
        <v>5627</v>
      </c>
      <c r="B137" s="213" t="str">
        <f>'B) D RI'!B138</f>
        <v>Chavannes-près-Renens</v>
      </c>
      <c r="C137" s="333">
        <f>'B) D RI'!S138</f>
        <v>79</v>
      </c>
      <c r="D137" s="214">
        <f>'B) D RI'!AR138</f>
        <v>7374</v>
      </c>
      <c r="E137" s="219">
        <f>'D) Ecrêtage'!M136</f>
        <v>162511.92244725736</v>
      </c>
      <c r="F137" s="222">
        <f>'E) Fact soc'!G142</f>
        <v>2842647.91779905</v>
      </c>
      <c r="G137" s="222">
        <f>'H) Péréquation directe'!I147</f>
        <v>-4207039.8392327037</v>
      </c>
      <c r="H137" s="222">
        <f>'I) Dépenses thématiques'!O136</f>
        <v>-1212175.85903182</v>
      </c>
      <c r="I137" s="222">
        <f>'K) Plafonnement aide'!J136</f>
        <v>308064.42552648095</v>
      </c>
      <c r="J137" s="222">
        <f>'J) Plafonnement effort'!I136</f>
        <v>0</v>
      </c>
      <c r="K137" s="222">
        <f>'L) Plafonnement taux'!Q137</f>
        <v>0</v>
      </c>
      <c r="L137" s="307">
        <f t="shared" si="4"/>
        <v>-2268503.3549389923</v>
      </c>
      <c r="M137" s="307">
        <f>'M) Police'!O137</f>
        <v>218166.75484508142</v>
      </c>
      <c r="N137" s="307">
        <f t="shared" si="5"/>
        <v>-2050336.6000939109</v>
      </c>
      <c r="P137" s="380"/>
    </row>
    <row r="138" spans="1:16" s="215" customFormat="1" x14ac:dyDescent="0.25">
      <c r="A138" s="212">
        <f>'B) D RI'!A139</f>
        <v>5628</v>
      </c>
      <c r="B138" s="213" t="str">
        <f>'B) D RI'!B139</f>
        <v>Chigny</v>
      </c>
      <c r="C138" s="333">
        <f>'B) D RI'!S139</f>
        <v>62</v>
      </c>
      <c r="D138" s="214">
        <f>'B) D RI'!AR139</f>
        <v>331</v>
      </c>
      <c r="E138" s="219">
        <f>'D) Ecrêtage'!M137</f>
        <v>18826.519594643647</v>
      </c>
      <c r="F138" s="222">
        <f>'E) Fact soc'!G143</f>
        <v>316341.10266973916</v>
      </c>
      <c r="G138" s="222">
        <f>'H) Péréquation directe'!I148</f>
        <v>317178.62636408751</v>
      </c>
      <c r="H138" s="222">
        <f>'I) Dépenses thématiques'!O137</f>
        <v>0</v>
      </c>
      <c r="I138" s="222">
        <f>'K) Plafonnement aide'!J137</f>
        <v>0</v>
      </c>
      <c r="J138" s="222">
        <f>'J) Plafonnement effort'!I137</f>
        <v>0</v>
      </c>
      <c r="K138" s="222">
        <f>'L) Plafonnement taux'!Q138</f>
        <v>0</v>
      </c>
      <c r="L138" s="307">
        <f t="shared" si="4"/>
        <v>633519.72903382662</v>
      </c>
      <c r="M138" s="307">
        <f>'M) Police'!O138</f>
        <v>53295.641971569421</v>
      </c>
      <c r="N138" s="307">
        <f t="shared" si="5"/>
        <v>686815.37100539601</v>
      </c>
      <c r="P138" s="380"/>
    </row>
    <row r="139" spans="1:16" s="215" customFormat="1" x14ac:dyDescent="0.25">
      <c r="A139" s="212">
        <f>'B) D RI'!A140</f>
        <v>5629</v>
      </c>
      <c r="B139" s="213" t="str">
        <f>'B) D RI'!B140</f>
        <v>Clarmont</v>
      </c>
      <c r="C139" s="333">
        <f>'B) D RI'!S140</f>
        <v>75</v>
      </c>
      <c r="D139" s="214">
        <f>'B) D RI'!AR140</f>
        <v>160</v>
      </c>
      <c r="E139" s="219">
        <f>'D) Ecrêtage'!M138</f>
        <v>7581.8990666666659</v>
      </c>
      <c r="F139" s="222">
        <f>'E) Fact soc'!G144</f>
        <v>128322.92509300115</v>
      </c>
      <c r="G139" s="222">
        <f>'H) Péréquation directe'!I149</f>
        <v>125092.61382620648</v>
      </c>
      <c r="H139" s="222">
        <f>'I) Dépenses thématiques'!O138</f>
        <v>-49728.547947344829</v>
      </c>
      <c r="I139" s="222">
        <f>'K) Plafonnement aide'!J138</f>
        <v>0</v>
      </c>
      <c r="J139" s="222">
        <f>'J) Plafonnement effort'!I138</f>
        <v>0</v>
      </c>
      <c r="K139" s="222">
        <f>'L) Plafonnement taux'!Q139</f>
        <v>0</v>
      </c>
      <c r="L139" s="307">
        <f t="shared" si="4"/>
        <v>203686.9909718628</v>
      </c>
      <c r="M139" s="307">
        <f>'M) Police'!O139</f>
        <v>23723.664212218802</v>
      </c>
      <c r="N139" s="307">
        <f t="shared" si="5"/>
        <v>227410.65518408161</v>
      </c>
      <c r="P139" s="380"/>
    </row>
    <row r="140" spans="1:16" s="215" customFormat="1" x14ac:dyDescent="0.25">
      <c r="A140" s="212">
        <f>'B) D RI'!A141</f>
        <v>5631</v>
      </c>
      <c r="B140" s="213" t="str">
        <f>'B) D RI'!B141</f>
        <v>Denens</v>
      </c>
      <c r="C140" s="333">
        <f>'B) D RI'!S141</f>
        <v>68</v>
      </c>
      <c r="D140" s="214">
        <f>'B) D RI'!AR141</f>
        <v>714</v>
      </c>
      <c r="E140" s="219">
        <f>'D) Ecrêtage'!M139</f>
        <v>34218.35955882354</v>
      </c>
      <c r="F140" s="222">
        <f>'E) Fact soc'!G145</f>
        <v>805296.94310280296</v>
      </c>
      <c r="G140" s="222">
        <f>'H) Péréquation directe'!I150</f>
        <v>565366.05504200747</v>
      </c>
      <c r="H140" s="222">
        <f>'I) Dépenses thématiques'!O139</f>
        <v>0</v>
      </c>
      <c r="I140" s="222">
        <f>'K) Plafonnement aide'!J139</f>
        <v>0</v>
      </c>
      <c r="J140" s="222">
        <f>'J) Plafonnement effort'!I139</f>
        <v>0</v>
      </c>
      <c r="K140" s="222">
        <f>'L) Plafonnement taux'!Q140</f>
        <v>0</v>
      </c>
      <c r="L140" s="307">
        <f t="shared" si="4"/>
        <v>1370662.9981448106</v>
      </c>
      <c r="M140" s="307">
        <f>'M) Police'!O140</f>
        <v>106382.5397463878</v>
      </c>
      <c r="N140" s="307">
        <f t="shared" si="5"/>
        <v>1477045.5378911984</v>
      </c>
      <c r="P140" s="380"/>
    </row>
    <row r="141" spans="1:16" s="215" customFormat="1" x14ac:dyDescent="0.25">
      <c r="A141" s="212">
        <f>'B) D RI'!A142</f>
        <v>5632</v>
      </c>
      <c r="B141" s="213" t="str">
        <f>'B) D RI'!B142</f>
        <v>Denges</v>
      </c>
      <c r="C141" s="333">
        <f>'B) D RI'!S142</f>
        <v>62</v>
      </c>
      <c r="D141" s="214">
        <f>'B) D RI'!AR142</f>
        <v>1651</v>
      </c>
      <c r="E141" s="219">
        <f>'D) Ecrêtage'!M140</f>
        <v>70599.599193548376</v>
      </c>
      <c r="F141" s="222">
        <f>'E) Fact soc'!G146</f>
        <v>1240912.6517864179</v>
      </c>
      <c r="G141" s="222">
        <f>'H) Péréquation directe'!I151</f>
        <v>954175.25981711352</v>
      </c>
      <c r="H141" s="222">
        <f>'I) Dépenses thématiques'!O140</f>
        <v>-20898.820539343735</v>
      </c>
      <c r="I141" s="222">
        <f>'K) Plafonnement aide'!J140</f>
        <v>0</v>
      </c>
      <c r="J141" s="222">
        <f>'J) Plafonnement effort'!I140</f>
        <v>0</v>
      </c>
      <c r="K141" s="222">
        <f>'L) Plafonnement taux'!Q141</f>
        <v>0</v>
      </c>
      <c r="L141" s="307">
        <f t="shared" si="4"/>
        <v>2174189.0910641877</v>
      </c>
      <c r="M141" s="307">
        <f>'M) Police'!O141</f>
        <v>224887.60114804356</v>
      </c>
      <c r="N141" s="307">
        <f t="shared" si="5"/>
        <v>2399076.6922122315</v>
      </c>
      <c r="P141" s="380"/>
    </row>
    <row r="142" spans="1:16" s="215" customFormat="1" x14ac:dyDescent="0.25">
      <c r="A142" s="212">
        <f>'B) D RI'!A143</f>
        <v>5633</v>
      </c>
      <c r="B142" s="213" t="str">
        <f>'B) D RI'!B143</f>
        <v>Echandens</v>
      </c>
      <c r="C142" s="333">
        <f>'B) D RI'!S143</f>
        <v>62</v>
      </c>
      <c r="D142" s="214">
        <f>'B) D RI'!AR143</f>
        <v>2631</v>
      </c>
      <c r="E142" s="219">
        <f>'D) Ecrêtage'!M141</f>
        <v>123013.45645161292</v>
      </c>
      <c r="F142" s="222">
        <f>'E) Fact soc'!G147</f>
        <v>2246702.0782364965</v>
      </c>
      <c r="G142" s="222">
        <f>'H) Péréquation directe'!I152</f>
        <v>1622461.8979713139</v>
      </c>
      <c r="H142" s="222">
        <f>'I) Dépenses thématiques'!O141</f>
        <v>-404906.55028845719</v>
      </c>
      <c r="I142" s="222">
        <f>'K) Plafonnement aide'!J141</f>
        <v>0</v>
      </c>
      <c r="J142" s="222">
        <f>'J) Plafonnement effort'!I141</f>
        <v>0</v>
      </c>
      <c r="K142" s="222">
        <f>'L) Plafonnement taux'!Q142</f>
        <v>0</v>
      </c>
      <c r="L142" s="307">
        <f t="shared" si="4"/>
        <v>3464257.425919353</v>
      </c>
      <c r="M142" s="307">
        <f>'M) Police'!O142</f>
        <v>387875.63506055565</v>
      </c>
      <c r="N142" s="307">
        <f t="shared" si="5"/>
        <v>3852133.0609799088</v>
      </c>
      <c r="P142" s="380"/>
    </row>
    <row r="143" spans="1:16" s="215" customFormat="1" x14ac:dyDescent="0.25">
      <c r="A143" s="212">
        <f>'B) D RI'!A144</f>
        <v>5634</v>
      </c>
      <c r="B143" s="213" t="str">
        <f>'B) D RI'!B144</f>
        <v>Echichens</v>
      </c>
      <c r="C143" s="333">
        <f>'B) D RI'!S144</f>
        <v>68</v>
      </c>
      <c r="D143" s="214">
        <f>'B) D RI'!AR144</f>
        <v>2585</v>
      </c>
      <c r="E143" s="219">
        <f>'D) Ecrêtage'!M142</f>
        <v>121660.2017647059</v>
      </c>
      <c r="F143" s="222">
        <f>'E) Fact soc'!G148</f>
        <v>2141114.3984992765</v>
      </c>
      <c r="G143" s="222">
        <f>'H) Péréquation directe'!I153</f>
        <v>1613245.7514994987</v>
      </c>
      <c r="H143" s="222">
        <f>'I) Dépenses thématiques'!O142</f>
        <v>0</v>
      </c>
      <c r="I143" s="222">
        <f>'K) Plafonnement aide'!J142</f>
        <v>0</v>
      </c>
      <c r="J143" s="222">
        <f>'J) Plafonnement effort'!I142</f>
        <v>0</v>
      </c>
      <c r="K143" s="222">
        <f>'L) Plafonnement taux'!Q143</f>
        <v>0</v>
      </c>
      <c r="L143" s="307">
        <f t="shared" si="4"/>
        <v>3754360.1499987752</v>
      </c>
      <c r="M143" s="307">
        <f>'M) Police'!O143</f>
        <v>382164.68530927482</v>
      </c>
      <c r="N143" s="307">
        <f t="shared" si="5"/>
        <v>4136524.8353080498</v>
      </c>
      <c r="P143" s="380"/>
    </row>
    <row r="144" spans="1:16" s="215" customFormat="1" x14ac:dyDescent="0.25">
      <c r="A144" s="212">
        <f>'B) D RI'!A145</f>
        <v>5635</v>
      </c>
      <c r="B144" s="213" t="str">
        <f>'B) D RI'!B145</f>
        <v>Ecublens</v>
      </c>
      <c r="C144" s="333">
        <f>'B) D RI'!S145</f>
        <v>62</v>
      </c>
      <c r="D144" s="214">
        <f>'B) D RI'!AR145</f>
        <v>12288</v>
      </c>
      <c r="E144" s="219">
        <f>'D) Ecrêtage'!M143</f>
        <v>470087.75038200343</v>
      </c>
      <c r="F144" s="222">
        <f>'E) Fact soc'!G149</f>
        <v>8348731.2384701483</v>
      </c>
      <c r="G144" s="222">
        <f>'H) Péréquation directe'!I154</f>
        <v>674549.41838945076</v>
      </c>
      <c r="H144" s="222">
        <f>'I) Dépenses thématiques'!O143</f>
        <v>-2438122.4200970693</v>
      </c>
      <c r="I144" s="222">
        <f>'K) Plafonnement aide'!J143</f>
        <v>0</v>
      </c>
      <c r="J144" s="222">
        <f>'J) Plafonnement effort'!I143</f>
        <v>0</v>
      </c>
      <c r="K144" s="222">
        <f>'L) Plafonnement taux'!Q144</f>
        <v>0</v>
      </c>
      <c r="L144" s="307">
        <f t="shared" si="4"/>
        <v>6585158.2367625292</v>
      </c>
      <c r="M144" s="307">
        <f>'M) Police'!O144</f>
        <v>631076.89238339441</v>
      </c>
      <c r="N144" s="307">
        <f t="shared" si="5"/>
        <v>7216235.129145924</v>
      </c>
      <c r="P144" s="380"/>
    </row>
    <row r="145" spans="1:16" s="215" customFormat="1" x14ac:dyDescent="0.25">
      <c r="A145" s="212">
        <f>'B) D RI'!A146</f>
        <v>5636</v>
      </c>
      <c r="B145" s="213" t="str">
        <f>'B) D RI'!B146</f>
        <v>Etoy</v>
      </c>
      <c r="C145" s="333">
        <f>'B) D RI'!S146</f>
        <v>61</v>
      </c>
      <c r="D145" s="214">
        <f>'B) D RI'!AR146</f>
        <v>2932</v>
      </c>
      <c r="E145" s="219">
        <f>'D) Ecrêtage'!M144</f>
        <v>158779.04229508198</v>
      </c>
      <c r="F145" s="222">
        <f>'E) Fact soc'!G150</f>
        <v>2923094.4663156457</v>
      </c>
      <c r="G145" s="222">
        <f>'H) Péréquation directe'!I155</f>
        <v>2182979.2033095099</v>
      </c>
      <c r="H145" s="222">
        <f>'I) Dépenses thématiques'!O144</f>
        <v>0</v>
      </c>
      <c r="I145" s="222">
        <f>'K) Plafonnement aide'!J144</f>
        <v>0</v>
      </c>
      <c r="J145" s="222">
        <f>'J) Plafonnement effort'!I144</f>
        <v>0</v>
      </c>
      <c r="K145" s="222">
        <f>'L) Plafonnement taux'!Q145</f>
        <v>0</v>
      </c>
      <c r="L145" s="307">
        <f t="shared" si="4"/>
        <v>5106073.6696251556</v>
      </c>
      <c r="M145" s="307">
        <f>'M) Police'!O145</f>
        <v>461371.67107697984</v>
      </c>
      <c r="N145" s="307">
        <f t="shared" si="5"/>
        <v>5567445.3407021351</v>
      </c>
      <c r="P145" s="380"/>
    </row>
    <row r="146" spans="1:16" s="215" customFormat="1" x14ac:dyDescent="0.25">
      <c r="A146" s="212">
        <f>'B) D RI'!A147</f>
        <v>5637</v>
      </c>
      <c r="B146" s="213" t="str">
        <f>'B) D RI'!B147</f>
        <v>Lavigny</v>
      </c>
      <c r="C146" s="333">
        <f>'B) D RI'!S147</f>
        <v>74.5</v>
      </c>
      <c r="D146" s="214">
        <f>'B) D RI'!AR147</f>
        <v>981</v>
      </c>
      <c r="E146" s="219">
        <f>'D) Ecrêtage'!M145</f>
        <v>31075.388277404931</v>
      </c>
      <c r="F146" s="222">
        <f>'E) Fact soc'!G151</f>
        <v>679849.56611208618</v>
      </c>
      <c r="G146" s="222">
        <f>'H) Péréquation directe'!I156</f>
        <v>211720.2665592095</v>
      </c>
      <c r="H146" s="222">
        <f>'I) Dépenses thématiques'!O145</f>
        <v>-231829.91582398332</v>
      </c>
      <c r="I146" s="222">
        <f>'K) Plafonnement aide'!J145</f>
        <v>0</v>
      </c>
      <c r="J146" s="222">
        <f>'J) Plafonnement effort'!I145</f>
        <v>0</v>
      </c>
      <c r="K146" s="222">
        <f>'L) Plafonnement taux'!Q146</f>
        <v>0</v>
      </c>
      <c r="L146" s="307">
        <f t="shared" si="4"/>
        <v>659739.91684731236</v>
      </c>
      <c r="M146" s="307">
        <f>'M) Police'!O146</f>
        <v>99203.760482430167</v>
      </c>
      <c r="N146" s="307">
        <f t="shared" si="5"/>
        <v>758943.67732974258</v>
      </c>
      <c r="P146" s="380"/>
    </row>
    <row r="147" spans="1:16" s="215" customFormat="1" x14ac:dyDescent="0.25">
      <c r="A147" s="212">
        <f>'B) D RI'!A148</f>
        <v>5638</v>
      </c>
      <c r="B147" s="213" t="str">
        <f>'B) D RI'!B148</f>
        <v>Lonay</v>
      </c>
      <c r="C147" s="333">
        <f>'B) D RI'!S148</f>
        <v>55</v>
      </c>
      <c r="D147" s="214">
        <f>'B) D RI'!AR148</f>
        <v>2536</v>
      </c>
      <c r="E147" s="219">
        <f>'D) Ecrêtage'!M146</f>
        <v>149153.52002347697</v>
      </c>
      <c r="F147" s="222">
        <f>'E) Fact soc'!G152</f>
        <v>3527611.0223647961</v>
      </c>
      <c r="G147" s="222">
        <f>'H) Péréquation directe'!I157</f>
        <v>2141266.5074204234</v>
      </c>
      <c r="H147" s="222">
        <f>'I) Dépenses thématiques'!O146</f>
        <v>-197552.40660302472</v>
      </c>
      <c r="I147" s="222">
        <f>'K) Plafonnement aide'!J146</f>
        <v>0</v>
      </c>
      <c r="J147" s="222">
        <f>'J) Plafonnement effort'!I146</f>
        <v>0</v>
      </c>
      <c r="K147" s="222">
        <f>'L) Plafonnement taux'!Q147</f>
        <v>0</v>
      </c>
      <c r="L147" s="307">
        <f t="shared" si="4"/>
        <v>5471325.1231821952</v>
      </c>
      <c r="M147" s="307">
        <f>'M) Police'!O147</f>
        <v>414925.31037842319</v>
      </c>
      <c r="N147" s="307">
        <f t="shared" si="5"/>
        <v>5886250.4335606182</v>
      </c>
      <c r="P147" s="380"/>
    </row>
    <row r="148" spans="1:16" s="215" customFormat="1" x14ac:dyDescent="0.25">
      <c r="A148" s="212">
        <f>'B) D RI'!A149</f>
        <v>5639</v>
      </c>
      <c r="B148" s="213" t="str">
        <f>'B) D RI'!B149</f>
        <v>Lully</v>
      </c>
      <c r="C148" s="333">
        <f>'B) D RI'!S149</f>
        <v>61</v>
      </c>
      <c r="D148" s="214">
        <f>'B) D RI'!AR149</f>
        <v>760</v>
      </c>
      <c r="E148" s="219">
        <f>'D) Ecrêtage'!M147</f>
        <v>42112.878690942372</v>
      </c>
      <c r="F148" s="222">
        <f>'E) Fact soc'!G153</f>
        <v>810499.32332114736</v>
      </c>
      <c r="G148" s="222">
        <f>'H) Péréquation directe'!I158</f>
        <v>707554.93399066152</v>
      </c>
      <c r="H148" s="222">
        <f>'I) Dépenses thématiques'!O147</f>
        <v>-101389.02245724003</v>
      </c>
      <c r="I148" s="222">
        <f>'K) Plafonnement aide'!J147</f>
        <v>0</v>
      </c>
      <c r="J148" s="222">
        <f>'J) Plafonnement effort'!I147</f>
        <v>0</v>
      </c>
      <c r="K148" s="222">
        <f>'L) Plafonnement taux'!Q148</f>
        <v>0</v>
      </c>
      <c r="L148" s="307">
        <f t="shared" si="4"/>
        <v>1416665.2348545687</v>
      </c>
      <c r="M148" s="307">
        <f>'M) Police'!O148</f>
        <v>120874.91559308961</v>
      </c>
      <c r="N148" s="307">
        <f t="shared" si="5"/>
        <v>1537540.1504476583</v>
      </c>
      <c r="P148" s="380"/>
    </row>
    <row r="149" spans="1:16" s="215" customFormat="1" x14ac:dyDescent="0.25">
      <c r="A149" s="212">
        <f>'B) D RI'!A150</f>
        <v>5640</v>
      </c>
      <c r="B149" s="213" t="str">
        <f>'B) D RI'!B150</f>
        <v>Lussy-sur-Morges</v>
      </c>
      <c r="C149" s="333">
        <f>'B) D RI'!S150</f>
        <v>66</v>
      </c>
      <c r="D149" s="214">
        <f>'B) D RI'!AR150</f>
        <v>646</v>
      </c>
      <c r="E149" s="219">
        <f>'D) Ecrêtage'!M148</f>
        <v>42867.270859356686</v>
      </c>
      <c r="F149" s="222">
        <f>'E) Fact soc'!G154</f>
        <v>1052981.6344073536</v>
      </c>
      <c r="G149" s="222">
        <f>'H) Péréquation directe'!I159</f>
        <v>732862.81865292718</v>
      </c>
      <c r="H149" s="222">
        <f>'I) Dépenses thématiques'!O148</f>
        <v>0</v>
      </c>
      <c r="I149" s="222">
        <f>'K) Plafonnement aide'!J148</f>
        <v>0</v>
      </c>
      <c r="J149" s="222">
        <f>'J) Plafonnement effort'!I148</f>
        <v>0</v>
      </c>
      <c r="K149" s="222">
        <f>'L) Plafonnement taux'!Q149</f>
        <v>0</v>
      </c>
      <c r="L149" s="307">
        <f t="shared" si="4"/>
        <v>1785844.4530602808</v>
      </c>
      <c r="M149" s="307">
        <f>'M) Police'!O149</f>
        <v>57547.860068458664</v>
      </c>
      <c r="N149" s="307">
        <f t="shared" si="5"/>
        <v>1843392.3131287394</v>
      </c>
      <c r="P149" s="380"/>
    </row>
    <row r="150" spans="1:16" s="215" customFormat="1" x14ac:dyDescent="0.25">
      <c r="A150" s="212">
        <f>'B) D RI'!A151</f>
        <v>5642</v>
      </c>
      <c r="B150" s="213" t="str">
        <f>'B) D RI'!B151</f>
        <v>Morges</v>
      </c>
      <c r="C150" s="333">
        <f>'B) D RI'!S151</f>
        <v>68.5</v>
      </c>
      <c r="D150" s="214">
        <f>'B) D RI'!AR151</f>
        <v>15623</v>
      </c>
      <c r="E150" s="219">
        <f>'D) Ecrêtage'!M149</f>
        <v>715380.13065693423</v>
      </c>
      <c r="F150" s="222">
        <f>'E) Fact soc'!G155</f>
        <v>13561761.739018923</v>
      </c>
      <c r="G150" s="222">
        <f>'H) Péréquation directe'!I160</f>
        <v>2997940.1100084819</v>
      </c>
      <c r="H150" s="222">
        <f>'I) Dépenses thématiques'!O149</f>
        <v>-1234931.7609328718</v>
      </c>
      <c r="I150" s="222">
        <f>'K) Plafonnement aide'!J149</f>
        <v>0</v>
      </c>
      <c r="J150" s="222">
        <f>'J) Plafonnement effort'!I149</f>
        <v>0</v>
      </c>
      <c r="K150" s="222">
        <f>'L) Plafonnement taux'!Q150</f>
        <v>0</v>
      </c>
      <c r="L150" s="307">
        <f t="shared" si="4"/>
        <v>15324770.088094532</v>
      </c>
      <c r="M150" s="307">
        <f>'M) Police'!O150</f>
        <v>960373.60973762604</v>
      </c>
      <c r="N150" s="307">
        <f t="shared" si="5"/>
        <v>16285143.697832158</v>
      </c>
      <c r="P150" s="380"/>
    </row>
    <row r="151" spans="1:16" s="215" customFormat="1" x14ac:dyDescent="0.25">
      <c r="A151" s="212">
        <f>'B) D RI'!A152</f>
        <v>5643</v>
      </c>
      <c r="B151" s="213" t="str">
        <f>'B) D RI'!B152</f>
        <v>Préverenges</v>
      </c>
      <c r="C151" s="333">
        <f>'B) D RI'!S152</f>
        <v>64</v>
      </c>
      <c r="D151" s="214">
        <f>'B) D RI'!AR152</f>
        <v>5263</v>
      </c>
      <c r="E151" s="219">
        <f>'D) Ecrêtage'!M150</f>
        <v>249793.53640625</v>
      </c>
      <c r="F151" s="222">
        <f>'E) Fact soc'!G156</f>
        <v>4337283.9354185071</v>
      </c>
      <c r="G151" s="222">
        <f>'H) Péréquation directe'!I161</f>
        <v>2705035.6390614272</v>
      </c>
      <c r="H151" s="222">
        <f>'I) Dépenses thématiques'!O150</f>
        <v>0</v>
      </c>
      <c r="I151" s="222">
        <f>'K) Plafonnement aide'!J150</f>
        <v>0</v>
      </c>
      <c r="J151" s="222">
        <f>'J) Plafonnement effort'!I150</f>
        <v>0</v>
      </c>
      <c r="K151" s="222">
        <f>'L) Plafonnement taux'!Q151</f>
        <v>0</v>
      </c>
      <c r="L151" s="307">
        <f t="shared" si="4"/>
        <v>7042319.5744799338</v>
      </c>
      <c r="M151" s="307">
        <f>'M) Police'!O151</f>
        <v>335339.36709606613</v>
      </c>
      <c r="N151" s="307">
        <f t="shared" si="5"/>
        <v>7377658.9415760003</v>
      </c>
      <c r="P151" s="380"/>
    </row>
    <row r="152" spans="1:16" s="215" customFormat="1" x14ac:dyDescent="0.25">
      <c r="A152" s="212">
        <f>'B) D RI'!A153</f>
        <v>5644</v>
      </c>
      <c r="B152" s="213" t="str">
        <f>'B) D RI'!B153</f>
        <v>Reverolle</v>
      </c>
      <c r="C152" s="333">
        <f>'B) D RI'!S153</f>
        <v>76</v>
      </c>
      <c r="D152" s="214">
        <f>'B) D RI'!AR153</f>
        <v>360</v>
      </c>
      <c r="E152" s="219">
        <f>'D) Ecrêtage'!M151</f>
        <v>15594.857631578949</v>
      </c>
      <c r="F152" s="222">
        <f>'E) Fact soc'!G157</f>
        <v>293092.49818841118</v>
      </c>
      <c r="G152" s="222">
        <f>'H) Péréquation directe'!I162</f>
        <v>247846.68688976433</v>
      </c>
      <c r="H152" s="222">
        <f>'I) Dépenses thématiques'!O151</f>
        <v>-72803.999371692917</v>
      </c>
      <c r="I152" s="222">
        <f>'K) Plafonnement aide'!J151</f>
        <v>0</v>
      </c>
      <c r="J152" s="222">
        <f>'J) Plafonnement effort'!I151</f>
        <v>0</v>
      </c>
      <c r="K152" s="222">
        <f>'L) Plafonnement taux'!Q152</f>
        <v>0</v>
      </c>
      <c r="L152" s="307">
        <f t="shared" si="4"/>
        <v>468135.18570648262</v>
      </c>
      <c r="M152" s="307">
        <f>'M) Police'!O152</f>
        <v>50390.76927280653</v>
      </c>
      <c r="N152" s="307">
        <f t="shared" si="5"/>
        <v>518525.95497928915</v>
      </c>
      <c r="P152" s="380"/>
    </row>
    <row r="153" spans="1:16" s="215" customFormat="1" x14ac:dyDescent="0.25">
      <c r="A153" s="212">
        <f>'B) D RI'!A154</f>
        <v>5645</v>
      </c>
      <c r="B153" s="213" t="str">
        <f>'B) D RI'!B154</f>
        <v>Romanel-sur-Morges</v>
      </c>
      <c r="C153" s="333">
        <f>'B) D RI'!S154</f>
        <v>56</v>
      </c>
      <c r="D153" s="214">
        <f>'B) D RI'!AR154</f>
        <v>459</v>
      </c>
      <c r="E153" s="219">
        <f>'D) Ecrêtage'!M152</f>
        <v>25296.466659002461</v>
      </c>
      <c r="F153" s="222">
        <f>'E) Fact soc'!G158</f>
        <v>436438.86800029129</v>
      </c>
      <c r="G153" s="222">
        <f>'H) Péréquation directe'!I163</f>
        <v>424770.18467387825</v>
      </c>
      <c r="H153" s="222">
        <f>'I) Dépenses thématiques'!O152</f>
        <v>0</v>
      </c>
      <c r="I153" s="222">
        <f>'K) Plafonnement aide'!J152</f>
        <v>0</v>
      </c>
      <c r="J153" s="222">
        <f>'J) Plafonnement effort'!I152</f>
        <v>0</v>
      </c>
      <c r="K153" s="222">
        <f>'L) Plafonnement taux'!Q153</f>
        <v>0</v>
      </c>
      <c r="L153" s="307">
        <f t="shared" si="4"/>
        <v>861209.05267416954</v>
      </c>
      <c r="M153" s="307">
        <f>'M) Police'!O153</f>
        <v>72817.503987735428</v>
      </c>
      <c r="N153" s="307">
        <f t="shared" si="5"/>
        <v>934026.55666190502</v>
      </c>
      <c r="P153" s="380"/>
    </row>
    <row r="154" spans="1:16" s="215" customFormat="1" x14ac:dyDescent="0.25">
      <c r="A154" s="212">
        <f>'B) D RI'!A155</f>
        <v>5646</v>
      </c>
      <c r="B154" s="213" t="str">
        <f>'B) D RI'!B155</f>
        <v>Saint-Prex</v>
      </c>
      <c r="C154" s="333">
        <f>'B) D RI'!S155</f>
        <v>55</v>
      </c>
      <c r="D154" s="214">
        <f>'B) D RI'!AR155</f>
        <v>5604</v>
      </c>
      <c r="E154" s="219">
        <f>'D) Ecrêtage'!M153</f>
        <v>306907.65312217548</v>
      </c>
      <c r="F154" s="222">
        <f>'E) Fact soc'!G159</f>
        <v>6416507.9497518651</v>
      </c>
      <c r="G154" s="222">
        <f>'H) Péréquation directe'!I164</f>
        <v>3564125.9792294009</v>
      </c>
      <c r="H154" s="222">
        <f>'I) Dépenses thématiques'!O153</f>
        <v>0</v>
      </c>
      <c r="I154" s="222">
        <f>'K) Plafonnement aide'!J153</f>
        <v>0</v>
      </c>
      <c r="J154" s="222">
        <f>'J) Plafonnement effort'!I153</f>
        <v>0</v>
      </c>
      <c r="K154" s="222">
        <f>'L) Plafonnement taux'!Q154</f>
        <v>0</v>
      </c>
      <c r="L154" s="307">
        <f t="shared" si="4"/>
        <v>9980633.9289812669</v>
      </c>
      <c r="M154" s="307">
        <f>'M) Police'!O154</f>
        <v>412013.13547020283</v>
      </c>
      <c r="N154" s="307">
        <f t="shared" si="5"/>
        <v>10392647.064451469</v>
      </c>
      <c r="P154" s="380"/>
    </row>
    <row r="155" spans="1:16" s="215" customFormat="1" x14ac:dyDescent="0.25">
      <c r="A155" s="212">
        <f>'B) D RI'!A156</f>
        <v>5648</v>
      </c>
      <c r="B155" s="213" t="str">
        <f>'B) D RI'!B156</f>
        <v>Saint-Sulpice</v>
      </c>
      <c r="C155" s="333">
        <f>'B) D RI'!S156</f>
        <v>55</v>
      </c>
      <c r="D155" s="214">
        <f>'B) D RI'!AR156</f>
        <v>3898</v>
      </c>
      <c r="E155" s="219">
        <f>'D) Ecrêtage'!M154</f>
        <v>282446.6454565766</v>
      </c>
      <c r="F155" s="222">
        <f>'E) Fact soc'!G160</f>
        <v>7802896.1877138</v>
      </c>
      <c r="G155" s="222">
        <f>'H) Péréquation directe'!I165</f>
        <v>4013657.8659073091</v>
      </c>
      <c r="H155" s="222">
        <f>'I) Dépenses thématiques'!O154</f>
        <v>-58108.718691507587</v>
      </c>
      <c r="I155" s="222">
        <f>'K) Plafonnement aide'!J154</f>
        <v>0</v>
      </c>
      <c r="J155" s="222">
        <f>'J) Plafonnement effort'!I154</f>
        <v>0</v>
      </c>
      <c r="K155" s="222">
        <f>'L) Plafonnement taux'!Q155</f>
        <v>0</v>
      </c>
      <c r="L155" s="307">
        <f t="shared" si="4"/>
        <v>11758445.334929602</v>
      </c>
      <c r="M155" s="307">
        <f>'M) Police'!O155</f>
        <v>379175.06068601995</v>
      </c>
      <c r="N155" s="307">
        <f t="shared" si="5"/>
        <v>12137620.395615622</v>
      </c>
      <c r="P155" s="380"/>
    </row>
    <row r="156" spans="1:16" s="215" customFormat="1" x14ac:dyDescent="0.25">
      <c r="A156" s="212">
        <f>'B) D RI'!A157</f>
        <v>5649</v>
      </c>
      <c r="B156" s="213" t="str">
        <f>'B) D RI'!B157</f>
        <v>Tolochenaz</v>
      </c>
      <c r="C156" s="333">
        <f>'B) D RI'!S157</f>
        <v>65</v>
      </c>
      <c r="D156" s="214">
        <f>'B) D RI'!AR157</f>
        <v>1855</v>
      </c>
      <c r="E156" s="219">
        <f>'D) Ecrêtage'!M155</f>
        <v>107438.09926130871</v>
      </c>
      <c r="F156" s="222">
        <f>'E) Fact soc'!G161</f>
        <v>2185929.7032157662</v>
      </c>
      <c r="G156" s="222">
        <f>'H) Péréquation directe'!I166</f>
        <v>1601816.1853444818</v>
      </c>
      <c r="H156" s="222">
        <f>'I) Dépenses thématiques'!O155</f>
        <v>-69558.265278280174</v>
      </c>
      <c r="I156" s="222">
        <f>'K) Plafonnement aide'!J155</f>
        <v>0</v>
      </c>
      <c r="J156" s="222">
        <f>'J) Plafonnement effort'!I155</f>
        <v>0</v>
      </c>
      <c r="K156" s="222">
        <f>'L) Plafonnement taux'!Q156</f>
        <v>0</v>
      </c>
      <c r="L156" s="307">
        <f t="shared" si="4"/>
        <v>3718187.6232819678</v>
      </c>
      <c r="M156" s="307">
        <f>'M) Police'!O156</f>
        <v>144232.01147085463</v>
      </c>
      <c r="N156" s="307">
        <f t="shared" si="5"/>
        <v>3862419.6347528226</v>
      </c>
      <c r="P156" s="380"/>
    </row>
    <row r="157" spans="1:16" s="215" customFormat="1" x14ac:dyDescent="0.25">
      <c r="A157" s="212">
        <f>'B) D RI'!A158</f>
        <v>5650</v>
      </c>
      <c r="B157" s="213" t="str">
        <f>'B) D RI'!B158</f>
        <v>Vaux-sur-Morges</v>
      </c>
      <c r="C157" s="333">
        <f>'B) D RI'!S158</f>
        <v>39</v>
      </c>
      <c r="D157" s="214">
        <f>'B) D RI'!AR158</f>
        <v>203</v>
      </c>
      <c r="E157" s="219">
        <f>'D) Ecrêtage'!M156</f>
        <v>112157.36408583977</v>
      </c>
      <c r="F157" s="222">
        <f>'E) Fact soc'!G162</f>
        <v>6151006.4621015824</v>
      </c>
      <c r="G157" s="222">
        <f>'H) Péréquation directe'!I167</f>
        <v>2064675.0750422338</v>
      </c>
      <c r="H157" s="222">
        <f>'I) Dépenses thématiques'!O156</f>
        <v>0</v>
      </c>
      <c r="I157" s="222">
        <f>'K) Plafonnement aide'!J156</f>
        <v>0</v>
      </c>
      <c r="J157" s="222">
        <f>'J) Plafonnement effort'!I156</f>
        <v>0</v>
      </c>
      <c r="K157" s="222">
        <f>'L) Plafonnement taux'!Q157</f>
        <v>0</v>
      </c>
      <c r="L157" s="307">
        <f t="shared" si="4"/>
        <v>8215681.5371438162</v>
      </c>
      <c r="M157" s="307">
        <f>'M) Police'!O157</f>
        <v>167752.96435470335</v>
      </c>
      <c r="N157" s="307">
        <f t="shared" si="5"/>
        <v>8383434.5014985194</v>
      </c>
      <c r="P157" s="380"/>
    </row>
    <row r="158" spans="1:16" s="215" customFormat="1" x14ac:dyDescent="0.25">
      <c r="A158" s="212">
        <f>'B) D RI'!A159</f>
        <v>5651</v>
      </c>
      <c r="B158" s="213" t="str">
        <f>'B) D RI'!B159</f>
        <v>Villars-Sainte-Croix</v>
      </c>
      <c r="C158" s="333">
        <f>'B) D RI'!S159</f>
        <v>59</v>
      </c>
      <c r="D158" s="214">
        <f>'B) D RI'!AR159</f>
        <v>709</v>
      </c>
      <c r="E158" s="219">
        <f>'D) Ecrêtage'!M157</f>
        <v>37823.297796610175</v>
      </c>
      <c r="F158" s="222">
        <f>'E) Fact soc'!G163</f>
        <v>850524.19484126242</v>
      </c>
      <c r="G158" s="222">
        <f>'H) Péréquation directe'!I168</f>
        <v>632869.28788784868</v>
      </c>
      <c r="H158" s="222">
        <f>'I) Dépenses thématiques'!O157</f>
        <v>0</v>
      </c>
      <c r="I158" s="222">
        <f>'K) Plafonnement aide'!J157</f>
        <v>0</v>
      </c>
      <c r="J158" s="222">
        <f>'J) Plafonnement effort'!I157</f>
        <v>0</v>
      </c>
      <c r="K158" s="222">
        <f>'L) Plafonnement taux'!Q158</f>
        <v>0</v>
      </c>
      <c r="L158" s="307">
        <f t="shared" si="4"/>
        <v>1483393.4827291111</v>
      </c>
      <c r="M158" s="307">
        <f>'M) Police'!O158</f>
        <v>50776.496970575477</v>
      </c>
      <c r="N158" s="307">
        <f t="shared" si="5"/>
        <v>1534169.9796996866</v>
      </c>
      <c r="P158" s="380"/>
    </row>
    <row r="159" spans="1:16" s="215" customFormat="1" x14ac:dyDescent="0.25">
      <c r="A159" s="212">
        <f>'B) D RI'!A160</f>
        <v>5652</v>
      </c>
      <c r="B159" s="213" t="str">
        <f>'B) D RI'!B160</f>
        <v>Villars-sous-Yens</v>
      </c>
      <c r="C159" s="333">
        <f>'B) D RI'!S160</f>
        <v>76</v>
      </c>
      <c r="D159" s="214">
        <f>'B) D RI'!AR160</f>
        <v>564</v>
      </c>
      <c r="E159" s="219">
        <f>'D) Ecrêtage'!M158</f>
        <v>23640.281403508772</v>
      </c>
      <c r="F159" s="222">
        <f>'E) Fact soc'!G164</f>
        <v>395310.5962470274</v>
      </c>
      <c r="G159" s="222">
        <f>'H) Péréquation directe'!I169</f>
        <v>355394.79968931573</v>
      </c>
      <c r="H159" s="222">
        <f>'I) Dépenses thématiques'!O158</f>
        <v>-128794.89795520371</v>
      </c>
      <c r="I159" s="222">
        <f>'K) Plafonnement aide'!J158</f>
        <v>0</v>
      </c>
      <c r="J159" s="222">
        <f>'J) Plafonnement effort'!I158</f>
        <v>0</v>
      </c>
      <c r="K159" s="222">
        <f>'L) Plafonnement taux'!Q159</f>
        <v>0</v>
      </c>
      <c r="L159" s="307">
        <f t="shared" si="4"/>
        <v>621910.49798113946</v>
      </c>
      <c r="M159" s="307">
        <f>'M) Police'!O159</f>
        <v>76473.974137917801</v>
      </c>
      <c r="N159" s="307">
        <f t="shared" si="5"/>
        <v>698384.47211905732</v>
      </c>
      <c r="P159" s="380"/>
    </row>
    <row r="160" spans="1:16" s="215" customFormat="1" x14ac:dyDescent="0.25">
      <c r="A160" s="212">
        <f>'B) D RI'!A161</f>
        <v>5653</v>
      </c>
      <c r="B160" s="213" t="str">
        <f>'B) D RI'!B161</f>
        <v>Vufflens-le-Château</v>
      </c>
      <c r="C160" s="333">
        <f>'B) D RI'!S161</f>
        <v>55</v>
      </c>
      <c r="D160" s="214">
        <f>'B) D RI'!AR161</f>
        <v>821</v>
      </c>
      <c r="E160" s="219">
        <f>'D) Ecrêtage'!M159</f>
        <v>56039.298149185466</v>
      </c>
      <c r="F160" s="222">
        <f>'E) Fact soc'!G165</f>
        <v>1272400.1544387648</v>
      </c>
      <c r="G160" s="222">
        <f>'H) Péréquation directe'!I170</f>
        <v>960379.31635636371</v>
      </c>
      <c r="H160" s="222">
        <f>'I) Dépenses thématiques'!O159</f>
        <v>0</v>
      </c>
      <c r="I160" s="222">
        <f>'K) Plafonnement aide'!J159</f>
        <v>0</v>
      </c>
      <c r="J160" s="222">
        <f>'J) Plafonnement effort'!I159</f>
        <v>0</v>
      </c>
      <c r="K160" s="222">
        <f>'L) Plafonnement taux'!Q160</f>
        <v>0</v>
      </c>
      <c r="L160" s="307">
        <f t="shared" si="4"/>
        <v>2232779.4707951285</v>
      </c>
      <c r="M160" s="307">
        <f>'M) Police'!O160</f>
        <v>144734.77795013587</v>
      </c>
      <c r="N160" s="307">
        <f t="shared" si="5"/>
        <v>2377514.2487452645</v>
      </c>
      <c r="P160" s="380"/>
    </row>
    <row r="161" spans="1:16" s="215" customFormat="1" x14ac:dyDescent="0.25">
      <c r="A161" s="212">
        <f>'B) D RI'!A162</f>
        <v>5654</v>
      </c>
      <c r="B161" s="213" t="str">
        <f>'B) D RI'!B162</f>
        <v>Vullierens</v>
      </c>
      <c r="C161" s="333">
        <f>'B) D RI'!S162</f>
        <v>76</v>
      </c>
      <c r="D161" s="214">
        <f>'B) D RI'!AR162</f>
        <v>460</v>
      </c>
      <c r="E161" s="219">
        <f>'D) Ecrêtage'!M160</f>
        <v>16948.890394736845</v>
      </c>
      <c r="F161" s="222">
        <f>'E) Fact soc'!G166</f>
        <v>330656.55214299087</v>
      </c>
      <c r="G161" s="222">
        <f>'H) Péréquation directe'!I171</f>
        <v>192944.42936179772</v>
      </c>
      <c r="H161" s="222">
        <f>'I) Dépenses thématiques'!O160</f>
        <v>-118594.4731415553</v>
      </c>
      <c r="I161" s="222">
        <f>'K) Plafonnement aide'!J160</f>
        <v>0</v>
      </c>
      <c r="J161" s="222">
        <f>'J) Plafonnement effort'!I160</f>
        <v>0</v>
      </c>
      <c r="K161" s="222">
        <f>'L) Plafonnement taux'!Q161</f>
        <v>0</v>
      </c>
      <c r="L161" s="307">
        <f t="shared" si="4"/>
        <v>405006.5083632333</v>
      </c>
      <c r="M161" s="307">
        <f>'M) Police'!O161</f>
        <v>54475.167423238767</v>
      </c>
      <c r="N161" s="307">
        <f t="shared" si="5"/>
        <v>459481.67578647204</v>
      </c>
      <c r="P161" s="380"/>
    </row>
    <row r="162" spans="1:16" s="215" customFormat="1" x14ac:dyDescent="0.25">
      <c r="A162" s="212">
        <f>'B) D RI'!A163</f>
        <v>5655</v>
      </c>
      <c r="B162" s="213" t="str">
        <f>'B) D RI'!B163</f>
        <v>Yens</v>
      </c>
      <c r="C162" s="333">
        <f>'B) D RI'!S163</f>
        <v>73</v>
      </c>
      <c r="D162" s="214">
        <f>'B) D RI'!AR163</f>
        <v>1405</v>
      </c>
      <c r="E162" s="219">
        <f>'D) Ecrêtage'!M161</f>
        <v>68107.282191780832</v>
      </c>
      <c r="F162" s="222">
        <f>'E) Fact soc'!G167</f>
        <v>1473609.4142498518</v>
      </c>
      <c r="G162" s="222">
        <f>'H) Péréquation directe'!I172</f>
        <v>1026654.0394029152</v>
      </c>
      <c r="H162" s="222">
        <f>'I) Dépenses thématiques'!O161</f>
        <v>0</v>
      </c>
      <c r="I162" s="222">
        <f>'K) Plafonnement aide'!J161</f>
        <v>0</v>
      </c>
      <c r="J162" s="222">
        <f>'J) Plafonnement effort'!I161</f>
        <v>0</v>
      </c>
      <c r="K162" s="222">
        <f>'L) Plafonnement taux'!Q162</f>
        <v>0</v>
      </c>
      <c r="L162" s="307">
        <f t="shared" si="4"/>
        <v>2500263.453652767</v>
      </c>
      <c r="M162" s="307">
        <f>'M) Police'!O162</f>
        <v>210375.69600032523</v>
      </c>
      <c r="N162" s="307">
        <f t="shared" si="5"/>
        <v>2710639.149653092</v>
      </c>
      <c r="P162" s="380"/>
    </row>
    <row r="163" spans="1:16" s="215" customFormat="1" x14ac:dyDescent="0.25">
      <c r="A163" s="212">
        <f>'B) D RI'!A164</f>
        <v>5661</v>
      </c>
      <c r="B163" s="213" t="str">
        <f>'B) D RI'!B164</f>
        <v>Boulens</v>
      </c>
      <c r="C163" s="333">
        <f>'B) D RI'!S164</f>
        <v>79</v>
      </c>
      <c r="D163" s="214">
        <f>'B) D RI'!AR164</f>
        <v>325</v>
      </c>
      <c r="E163" s="219">
        <f>'D) Ecrêtage'!M162</f>
        <v>7277.4751898734185</v>
      </c>
      <c r="F163" s="222">
        <f>'E) Fact soc'!G168</f>
        <v>131886.27233684238</v>
      </c>
      <c r="G163" s="222">
        <f>'H) Péréquation directe'!I173</f>
        <v>-71921.454233646509</v>
      </c>
      <c r="H163" s="222">
        <f>'I) Dépenses thématiques'!O162</f>
        <v>-45659.770283892547</v>
      </c>
      <c r="I163" s="222">
        <f>'K) Plafonnement aide'!J162</f>
        <v>0</v>
      </c>
      <c r="J163" s="222">
        <f>'J) Plafonnement effort'!I162</f>
        <v>0</v>
      </c>
      <c r="K163" s="222">
        <f>'L) Plafonnement taux'!Q163</f>
        <v>0</v>
      </c>
      <c r="L163" s="307">
        <f t="shared" si="4"/>
        <v>14305.04781930332</v>
      </c>
      <c r="M163" s="307">
        <f>'M) Police'!O163</f>
        <v>23302.965112000293</v>
      </c>
      <c r="N163" s="307">
        <f t="shared" si="5"/>
        <v>37608.012931303616</v>
      </c>
      <c r="P163" s="380"/>
    </row>
    <row r="164" spans="1:16" s="215" customFormat="1" x14ac:dyDescent="0.25">
      <c r="A164" s="212">
        <f>'B) D RI'!A165</f>
        <v>5663</v>
      </c>
      <c r="B164" s="213" t="str">
        <f>'B) D RI'!B165</f>
        <v>Bussy-sur-Moudon</v>
      </c>
      <c r="C164" s="333">
        <f>'B) D RI'!S165</f>
        <v>80</v>
      </c>
      <c r="D164" s="214">
        <f>'B) D RI'!AR165</f>
        <v>198</v>
      </c>
      <c r="E164" s="219">
        <f>'D) Ecrêtage'!M163</f>
        <v>4999.1039999999994</v>
      </c>
      <c r="F164" s="222">
        <f>'E) Fact soc'!G169</f>
        <v>108372.06402374632</v>
      </c>
      <c r="G164" s="222">
        <f>'H) Péréquation directe'!I174</f>
        <v>-21632.723364913574</v>
      </c>
      <c r="H164" s="222">
        <f>'I) Dépenses thématiques'!O163</f>
        <v>-34324.910589011037</v>
      </c>
      <c r="I164" s="222">
        <f>'K) Plafonnement aide'!J163</f>
        <v>0</v>
      </c>
      <c r="J164" s="222">
        <f>'J) Plafonnement effort'!I163</f>
        <v>0</v>
      </c>
      <c r="K164" s="222">
        <f>'L) Plafonnement taux'!Q164</f>
        <v>0</v>
      </c>
      <c r="L164" s="307">
        <f t="shared" si="4"/>
        <v>52414.430069821712</v>
      </c>
      <c r="M164" s="307">
        <f>'M) Police'!O164</f>
        <v>16172.56589996702</v>
      </c>
      <c r="N164" s="307">
        <f t="shared" si="5"/>
        <v>68586.995969788724</v>
      </c>
      <c r="P164" s="380"/>
    </row>
    <row r="165" spans="1:16" s="215" customFormat="1" x14ac:dyDescent="0.25">
      <c r="A165" s="212">
        <f>'B) D RI'!A166</f>
        <v>5665</v>
      </c>
      <c r="B165" s="213" t="str">
        <f>'B) D RI'!B166</f>
        <v>Chavannes-sur-Moudon</v>
      </c>
      <c r="C165" s="333">
        <f>'B) D RI'!S166</f>
        <v>72</v>
      </c>
      <c r="D165" s="214">
        <f>'B) D RI'!AR166</f>
        <v>224</v>
      </c>
      <c r="E165" s="219">
        <f>'D) Ecrêtage'!M164</f>
        <v>4834.5158333333329</v>
      </c>
      <c r="F165" s="222">
        <f>'E) Fact soc'!G170</f>
        <v>75053.270825670013</v>
      </c>
      <c r="G165" s="222">
        <f>'H) Péréquation directe'!I175</f>
        <v>-36249.124164854322</v>
      </c>
      <c r="H165" s="222">
        <f>'I) Dépenses thématiques'!O164</f>
        <v>-18995.263396635946</v>
      </c>
      <c r="I165" s="222">
        <f>'K) Plafonnement aide'!J164</f>
        <v>0</v>
      </c>
      <c r="J165" s="222">
        <f>'J) Plafonnement effort'!I164</f>
        <v>0</v>
      </c>
      <c r="K165" s="222">
        <f>'L) Plafonnement taux'!Q165</f>
        <v>0</v>
      </c>
      <c r="L165" s="307">
        <f t="shared" si="4"/>
        <v>19808.883264179745</v>
      </c>
      <c r="M165" s="307">
        <f>'M) Police'!O165</f>
        <v>15531.697190871733</v>
      </c>
      <c r="N165" s="307">
        <f t="shared" si="5"/>
        <v>35340.58045505148</v>
      </c>
      <c r="P165" s="380"/>
    </row>
    <row r="166" spans="1:16" s="215" customFormat="1" x14ac:dyDescent="0.25">
      <c r="A166" s="212">
        <f>'B) D RI'!A167</f>
        <v>5669</v>
      </c>
      <c r="B166" s="213" t="str">
        <f>'B) D RI'!B167</f>
        <v>Curtilles</v>
      </c>
      <c r="C166" s="333">
        <f>'B) D RI'!S167</f>
        <v>72</v>
      </c>
      <c r="D166" s="214">
        <f>'B) D RI'!AR167</f>
        <v>311</v>
      </c>
      <c r="E166" s="219">
        <f>'D) Ecrêtage'!M165</f>
        <v>8707.7998611111107</v>
      </c>
      <c r="F166" s="222">
        <f>'E) Fact soc'!G171</f>
        <v>178231.45733208026</v>
      </c>
      <c r="G166" s="222">
        <f>'H) Péréquation directe'!I176</f>
        <v>27903.1193304935</v>
      </c>
      <c r="H166" s="222">
        <f>'I) Dépenses thématiques'!O165</f>
        <v>-9690.3840248677916</v>
      </c>
      <c r="I166" s="222">
        <f>'K) Plafonnement aide'!J165</f>
        <v>0</v>
      </c>
      <c r="J166" s="222">
        <f>'J) Plafonnement effort'!I165</f>
        <v>0</v>
      </c>
      <c r="K166" s="222">
        <f>'L) Plafonnement taux'!Q166</f>
        <v>0</v>
      </c>
      <c r="L166" s="307">
        <f t="shared" si="4"/>
        <v>196444.19263770597</v>
      </c>
      <c r="M166" s="307">
        <f>'M) Police'!O166</f>
        <v>27925.931831662579</v>
      </c>
      <c r="N166" s="307">
        <f t="shared" si="5"/>
        <v>224370.12446936854</v>
      </c>
      <c r="P166" s="380"/>
    </row>
    <row r="167" spans="1:16" s="215" customFormat="1" x14ac:dyDescent="0.25">
      <c r="A167" s="212">
        <f>'B) D RI'!A168</f>
        <v>5671</v>
      </c>
      <c r="B167" s="213" t="str">
        <f>'B) D RI'!B168</f>
        <v>Dompierre</v>
      </c>
      <c r="C167" s="333">
        <f>'B) D RI'!S168</f>
        <v>80</v>
      </c>
      <c r="D167" s="214">
        <f>'B) D RI'!AR168</f>
        <v>247</v>
      </c>
      <c r="E167" s="219">
        <f>'D) Ecrêtage'!M166</f>
        <v>6226.6947500000006</v>
      </c>
      <c r="F167" s="222">
        <f>'E) Fact soc'!G172</f>
        <v>127520.2533972263</v>
      </c>
      <c r="G167" s="222">
        <f>'H) Péréquation directe'!I177</f>
        <v>-27407.328290847756</v>
      </c>
      <c r="H167" s="222">
        <f>'I) Dépenses thématiques'!O166</f>
        <v>-67019.256542675153</v>
      </c>
      <c r="I167" s="222">
        <f>'K) Plafonnement aide'!J166</f>
        <v>0</v>
      </c>
      <c r="J167" s="222">
        <f>'J) Plafonnement effort'!I166</f>
        <v>0</v>
      </c>
      <c r="K167" s="222">
        <f>'L) Plafonnement taux'!Q167</f>
        <v>0</v>
      </c>
      <c r="L167" s="307">
        <f t="shared" si="4"/>
        <v>33093.668563703395</v>
      </c>
      <c r="M167" s="307">
        <f>'M) Police'!O167</f>
        <v>20011.003927806101</v>
      </c>
      <c r="N167" s="307">
        <f t="shared" si="5"/>
        <v>53104.672491509496</v>
      </c>
      <c r="P167" s="380"/>
    </row>
    <row r="168" spans="1:16" s="215" customFormat="1" x14ac:dyDescent="0.25">
      <c r="A168" s="212">
        <f>'B) D RI'!A169</f>
        <v>5673</v>
      </c>
      <c r="B168" s="213" t="str">
        <f>'B) D RI'!B169</f>
        <v>Hermenches</v>
      </c>
      <c r="C168" s="333">
        <f>'B) D RI'!S169</f>
        <v>75</v>
      </c>
      <c r="D168" s="214">
        <f>'B) D RI'!AR169</f>
        <v>382</v>
      </c>
      <c r="E168" s="219">
        <f>'D) Ecrêtage'!M167</f>
        <v>8854.2944888888887</v>
      </c>
      <c r="F168" s="222">
        <f>'E) Fact soc'!G173</f>
        <v>168129.3580227705</v>
      </c>
      <c r="G168" s="222">
        <f>'H) Péréquation directe'!I178</f>
        <v>-51925.009707210585</v>
      </c>
      <c r="H168" s="222">
        <f>'I) Dépenses thématiques'!O167</f>
        <v>-60600.3647380088</v>
      </c>
      <c r="I168" s="222">
        <f>'K) Plafonnement aide'!J167</f>
        <v>0</v>
      </c>
      <c r="J168" s="222">
        <f>'J) Plafonnement effort'!I167</f>
        <v>0</v>
      </c>
      <c r="K168" s="222">
        <f>'L) Plafonnement taux'!Q168</f>
        <v>0</v>
      </c>
      <c r="L168" s="307">
        <f t="shared" ref="L168:L220" si="6">F168+G168+H168+I168+J168+K168</f>
        <v>55603.983577551109</v>
      </c>
      <c r="M168" s="307">
        <f>'M) Police'!O168</f>
        <v>28429.068499489364</v>
      </c>
      <c r="N168" s="307">
        <f t="shared" si="5"/>
        <v>84033.052077040469</v>
      </c>
      <c r="P168" s="380"/>
    </row>
    <row r="169" spans="1:16" s="215" customFormat="1" x14ac:dyDescent="0.25">
      <c r="A169" s="212">
        <f>'B) D RI'!A170</f>
        <v>5674</v>
      </c>
      <c r="B169" s="213" t="str">
        <f>'B) D RI'!B170</f>
        <v>Lovatens</v>
      </c>
      <c r="C169" s="333">
        <f>'B) D RI'!S170</f>
        <v>75</v>
      </c>
      <c r="D169" s="214">
        <f>'B) D RI'!AR170</f>
        <v>151</v>
      </c>
      <c r="E169" s="219">
        <f>'D) Ecrêtage'!M168</f>
        <v>3347.4317333333333</v>
      </c>
      <c r="F169" s="222">
        <f>'E) Fact soc'!G174</f>
        <v>53065.586077177053</v>
      </c>
      <c r="G169" s="222">
        <f>'H) Péréquation directe'!I179</f>
        <v>-26773.689766023053</v>
      </c>
      <c r="H169" s="222">
        <f>'I) Dépenses thématiques'!O168</f>
        <v>-12284.097914878506</v>
      </c>
      <c r="I169" s="222">
        <f>'K) Plafonnement aide'!J168</f>
        <v>0</v>
      </c>
      <c r="J169" s="222">
        <f>'J) Plafonnement effort'!I168</f>
        <v>0</v>
      </c>
      <c r="K169" s="222">
        <f>'L) Plafonnement taux'!Q169</f>
        <v>0</v>
      </c>
      <c r="L169" s="307">
        <f t="shared" si="6"/>
        <v>14007.798396275493</v>
      </c>
      <c r="M169" s="307">
        <f>'M) Police'!O169</f>
        <v>10744.623924526375</v>
      </c>
      <c r="N169" s="307">
        <f t="shared" si="5"/>
        <v>24752.422320801867</v>
      </c>
      <c r="P169" s="380"/>
    </row>
    <row r="170" spans="1:16" s="215" customFormat="1" x14ac:dyDescent="0.25">
      <c r="A170" s="212">
        <f>'B) D RI'!A171</f>
        <v>5675</v>
      </c>
      <c r="B170" s="213" t="str">
        <f>'B) D RI'!B171</f>
        <v>Lucens</v>
      </c>
      <c r="C170" s="333">
        <f>'B) D RI'!S171</f>
        <v>67.8</v>
      </c>
      <c r="D170" s="214">
        <f>'B) D RI'!AR171</f>
        <v>3890</v>
      </c>
      <c r="E170" s="219">
        <f>'D) Ecrêtage'!M169</f>
        <v>91702.321238938035</v>
      </c>
      <c r="F170" s="222">
        <f>'E) Fact soc'!G175</f>
        <v>1882995.1921287351</v>
      </c>
      <c r="G170" s="222">
        <f>'H) Péréquation directe'!I180</f>
        <v>-986887.97307993821</v>
      </c>
      <c r="H170" s="222">
        <f>'I) Dépenses thématiques'!O169</f>
        <v>-303646.10401593766</v>
      </c>
      <c r="I170" s="222">
        <f>'K) Plafonnement aide'!J169</f>
        <v>0</v>
      </c>
      <c r="J170" s="222">
        <f>'J) Plafonnement effort'!I169</f>
        <v>0</v>
      </c>
      <c r="K170" s="222">
        <f>'L) Plafonnement taux'!Q170</f>
        <v>0</v>
      </c>
      <c r="L170" s="307">
        <f t="shared" ref="L170" si="7">F170+G170+H170+I170+J170+K170</f>
        <v>592461.11503285926</v>
      </c>
      <c r="M170" s="307">
        <f>'M) Police'!O170</f>
        <v>290053.7040209549</v>
      </c>
      <c r="N170" s="307">
        <f t="shared" ref="N170" si="8">L170+M170</f>
        <v>882514.81905381416</v>
      </c>
      <c r="P170" s="380"/>
    </row>
    <row r="171" spans="1:16" s="215" customFormat="1" x14ac:dyDescent="0.25">
      <c r="A171" s="212">
        <f>'B) D RI'!A172</f>
        <v>5678</v>
      </c>
      <c r="B171" s="213" t="str">
        <f>'B) D RI'!B172</f>
        <v>Moudon</v>
      </c>
      <c r="C171" s="333">
        <f>'B) D RI'!S172</f>
        <v>75</v>
      </c>
      <c r="D171" s="214">
        <f>'B) D RI'!AR172</f>
        <v>5770</v>
      </c>
      <c r="E171" s="219">
        <f>'D) Ecrêtage'!M170</f>
        <v>122060.45639999998</v>
      </c>
      <c r="F171" s="222">
        <f>'E) Fact soc'!G176</f>
        <v>2288258.0124914693</v>
      </c>
      <c r="G171" s="222">
        <f>'H) Péréquation directe'!I181</f>
        <v>-2930767.4198587248</v>
      </c>
      <c r="H171" s="222">
        <f>'I) Dépenses thématiques'!O170</f>
        <v>-1183679.2357596888</v>
      </c>
      <c r="I171" s="222">
        <f>'K) Plafonnement aide'!J170</f>
        <v>0</v>
      </c>
      <c r="J171" s="222">
        <f>'J) Plafonnement effort'!I170</f>
        <v>0</v>
      </c>
      <c r="K171" s="222">
        <f>'L) Plafonnement taux'!Q171</f>
        <v>0</v>
      </c>
      <c r="L171" s="307">
        <f t="shared" si="6"/>
        <v>-1826188.6431269443</v>
      </c>
      <c r="M171" s="307">
        <f>'M) Police'!O171</f>
        <v>387157.94509503129</v>
      </c>
      <c r="N171" s="307">
        <f t="shared" si="5"/>
        <v>-1439030.698031913</v>
      </c>
      <c r="P171" s="380"/>
    </row>
    <row r="172" spans="1:16" s="215" customFormat="1" x14ac:dyDescent="0.25">
      <c r="A172" s="212">
        <f>'B) D RI'!A173</f>
        <v>5680</v>
      </c>
      <c r="B172" s="213" t="str">
        <f>'B) D RI'!B173</f>
        <v>Ogens</v>
      </c>
      <c r="C172" s="333">
        <f>'B) D RI'!S173</f>
        <v>78</v>
      </c>
      <c r="D172" s="214">
        <f>'B) D RI'!AR173</f>
        <v>283</v>
      </c>
      <c r="E172" s="219">
        <f>'D) Ecrêtage'!M171</f>
        <v>8163.3689316239324</v>
      </c>
      <c r="F172" s="222">
        <f>'E) Fact soc'!G177</f>
        <v>133382.73353730145</v>
      </c>
      <c r="G172" s="222">
        <f>'H) Péréquation directe'!I182</f>
        <v>19340.344982508279</v>
      </c>
      <c r="H172" s="222">
        <f>'I) Dépenses thématiques'!O171</f>
        <v>0</v>
      </c>
      <c r="I172" s="222">
        <f>'K) Plafonnement aide'!J171</f>
        <v>0</v>
      </c>
      <c r="J172" s="222">
        <f>'J) Plafonnement effort'!I171</f>
        <v>0</v>
      </c>
      <c r="K172" s="222">
        <f>'L) Plafonnement taux'!Q172</f>
        <v>0</v>
      </c>
      <c r="L172" s="307">
        <f t="shared" si="6"/>
        <v>152723.07851980973</v>
      </c>
      <c r="M172" s="307">
        <f>'M) Police'!O172</f>
        <v>26354.623639561898</v>
      </c>
      <c r="N172" s="307">
        <f t="shared" si="5"/>
        <v>179077.70215937163</v>
      </c>
      <c r="P172" s="380"/>
    </row>
    <row r="173" spans="1:16" s="215" customFormat="1" x14ac:dyDescent="0.25">
      <c r="A173" s="212">
        <f>'B) D RI'!A174</f>
        <v>5683</v>
      </c>
      <c r="B173" s="213" t="str">
        <f>'B) D RI'!B174</f>
        <v>Prévonloup</v>
      </c>
      <c r="C173" s="333">
        <f>'B) D RI'!S174</f>
        <v>74</v>
      </c>
      <c r="D173" s="214">
        <f>'B) D RI'!AR174</f>
        <v>172</v>
      </c>
      <c r="E173" s="219">
        <f>'D) Ecrêtage'!M172</f>
        <v>3618.5018918918922</v>
      </c>
      <c r="F173" s="222">
        <f>'E) Fact soc'!G178</f>
        <v>63833.855209024521</v>
      </c>
      <c r="G173" s="222">
        <f>'H) Péréquation directe'!I183</f>
        <v>-36112.246458680078</v>
      </c>
      <c r="H173" s="222">
        <f>'I) Dépenses thématiques'!O172</f>
        <v>-17338.354330645063</v>
      </c>
      <c r="I173" s="222">
        <f>'K) Plafonnement aide'!J172</f>
        <v>0</v>
      </c>
      <c r="J173" s="222">
        <f>'J) Plafonnement effort'!I172</f>
        <v>0</v>
      </c>
      <c r="K173" s="222">
        <f>'L) Plafonnement taux'!Q173</f>
        <v>0</v>
      </c>
      <c r="L173" s="307">
        <f t="shared" si="6"/>
        <v>10383.25441969938</v>
      </c>
      <c r="M173" s="307">
        <f>'M) Police'!O173</f>
        <v>11570.524141151218</v>
      </c>
      <c r="N173" s="307">
        <f t="shared" si="5"/>
        <v>21953.778560850598</v>
      </c>
      <c r="P173" s="380"/>
    </row>
    <row r="174" spans="1:16" s="215" customFormat="1" x14ac:dyDescent="0.25">
      <c r="A174" s="212">
        <f>'B) D RI'!A175</f>
        <v>5684</v>
      </c>
      <c r="B174" s="213" t="str">
        <f>'B) D RI'!B175</f>
        <v>Rossenges</v>
      </c>
      <c r="C174" s="333">
        <f>'B) D RI'!S175</f>
        <v>60</v>
      </c>
      <c r="D174" s="214">
        <f>'B) D RI'!AR175</f>
        <v>65</v>
      </c>
      <c r="E174" s="219">
        <f>'D) Ecrêtage'!M173</f>
        <v>2611.7396666666664</v>
      </c>
      <c r="F174" s="222">
        <f>'E) Fact soc'!G179</f>
        <v>40545.860492781874</v>
      </c>
      <c r="G174" s="222">
        <f>'H) Péréquation directe'!I184</f>
        <v>38472.628131791906</v>
      </c>
      <c r="H174" s="222">
        <f>'I) Dépenses thématiques'!O173</f>
        <v>0</v>
      </c>
      <c r="I174" s="222">
        <f>'K) Plafonnement aide'!J173</f>
        <v>0</v>
      </c>
      <c r="J174" s="222">
        <f>'J) Plafonnement effort'!I173</f>
        <v>0</v>
      </c>
      <c r="K174" s="222">
        <f>'L) Plafonnement taux'!Q174</f>
        <v>0</v>
      </c>
      <c r="L174" s="307">
        <f t="shared" si="6"/>
        <v>79018.488624573773</v>
      </c>
      <c r="M174" s="307">
        <f>'M) Police'!O174</f>
        <v>8479.6514282561911</v>
      </c>
      <c r="N174" s="307">
        <f t="shared" si="5"/>
        <v>87498.140052829956</v>
      </c>
      <c r="P174" s="380"/>
    </row>
    <row r="175" spans="1:16" s="215" customFormat="1" x14ac:dyDescent="0.25">
      <c r="A175" s="212">
        <f>'B) D RI'!A176</f>
        <v>5688</v>
      </c>
      <c r="B175" s="213" t="str">
        <f>'B) D RI'!B176</f>
        <v>Syens</v>
      </c>
      <c r="C175" s="333">
        <f>'B) D RI'!S176</f>
        <v>75.599999999999994</v>
      </c>
      <c r="D175" s="214">
        <f>'B) D RI'!AR176</f>
        <v>139</v>
      </c>
      <c r="E175" s="219">
        <f>'D) Ecrêtage'!M174</f>
        <v>5385.636772486775</v>
      </c>
      <c r="F175" s="222">
        <f>'E) Fact soc'!G180</f>
        <v>97745.753439949738</v>
      </c>
      <c r="G175" s="222">
        <f>'H) Péréquation directe'!I185</f>
        <v>69457.928580329084</v>
      </c>
      <c r="H175" s="222">
        <f>'I) Dépenses thématiques'!O174</f>
        <v>-7533.7110850893841</v>
      </c>
      <c r="I175" s="222">
        <f>'K) Plafonnement aide'!J174</f>
        <v>0</v>
      </c>
      <c r="J175" s="222">
        <f>'J) Plafonnement effort'!I174</f>
        <v>0</v>
      </c>
      <c r="K175" s="222">
        <f>'L) Plafonnement taux'!Q175</f>
        <v>0</v>
      </c>
      <c r="L175" s="307">
        <f t="shared" si="6"/>
        <v>159669.97093518943</v>
      </c>
      <c r="M175" s="307">
        <f>'M) Police'!O175</f>
        <v>17499.790089323164</v>
      </c>
      <c r="N175" s="307">
        <f t="shared" si="5"/>
        <v>177169.76102451258</v>
      </c>
      <c r="P175" s="380"/>
    </row>
    <row r="176" spans="1:16" s="215" customFormat="1" x14ac:dyDescent="0.25">
      <c r="A176" s="212">
        <f>'B) D RI'!A177</f>
        <v>5690</v>
      </c>
      <c r="B176" s="213" t="str">
        <f>'B) D RI'!B177</f>
        <v>Villars-le-Comte</v>
      </c>
      <c r="C176" s="333">
        <f>'B) D RI'!S177</f>
        <v>76</v>
      </c>
      <c r="D176" s="214">
        <f>'B) D RI'!AR177</f>
        <v>150</v>
      </c>
      <c r="E176" s="219">
        <f>'D) Ecrêtage'!M175</f>
        <v>3375.6488157894737</v>
      </c>
      <c r="F176" s="222">
        <f>'E) Fact soc'!G181</f>
        <v>59116.766180211183</v>
      </c>
      <c r="G176" s="222">
        <f>'H) Péréquation directe'!I186</f>
        <v>-26477.154941794099</v>
      </c>
      <c r="H176" s="222">
        <f>'I) Dépenses thématiques'!O175</f>
        <v>-2244.8753430355396</v>
      </c>
      <c r="I176" s="222">
        <f>'K) Plafonnement aide'!J175</f>
        <v>0</v>
      </c>
      <c r="J176" s="222">
        <f>'J) Plafonnement effort'!I175</f>
        <v>0</v>
      </c>
      <c r="K176" s="222">
        <f>'L) Plafonnement taux'!Q176</f>
        <v>0</v>
      </c>
      <c r="L176" s="307">
        <f t="shared" si="6"/>
        <v>30394.735895381546</v>
      </c>
      <c r="M176" s="307">
        <f>'M) Police'!O176</f>
        <v>10780.410321871703</v>
      </c>
      <c r="N176" s="307">
        <f t="shared" si="5"/>
        <v>41175.146217253248</v>
      </c>
      <c r="P176" s="380"/>
    </row>
    <row r="177" spans="1:16" s="215" customFormat="1" x14ac:dyDescent="0.25">
      <c r="A177" s="212">
        <f>'B) D RI'!A178</f>
        <v>5692</v>
      </c>
      <c r="B177" s="213" t="str">
        <f>'B) D RI'!B178</f>
        <v>Vucherens</v>
      </c>
      <c r="C177" s="333">
        <f>'B) D RI'!S178</f>
        <v>79</v>
      </c>
      <c r="D177" s="214">
        <f>'B) D RI'!AR178</f>
        <v>543</v>
      </c>
      <c r="E177" s="219">
        <f>'D) Ecrêtage'!M176</f>
        <v>15125.888354430383</v>
      </c>
      <c r="F177" s="222">
        <f>'E) Fact soc'!G182</f>
        <v>275397.70615827077</v>
      </c>
      <c r="G177" s="222">
        <f>'H) Péréquation directe'!I187</f>
        <v>8614.7207236841787</v>
      </c>
      <c r="H177" s="222">
        <f>'I) Dépenses thématiques'!O176</f>
        <v>-65118.867456965163</v>
      </c>
      <c r="I177" s="222">
        <f>'K) Plafonnement aide'!J176</f>
        <v>0</v>
      </c>
      <c r="J177" s="222">
        <f>'J) Plafonnement effort'!I176</f>
        <v>0</v>
      </c>
      <c r="K177" s="222">
        <f>'L) Plafonnement taux'!Q177</f>
        <v>0</v>
      </c>
      <c r="L177" s="307">
        <f t="shared" si="6"/>
        <v>218893.5594249898</v>
      </c>
      <c r="M177" s="307">
        <f>'M) Police'!O177</f>
        <v>48543.386267961905</v>
      </c>
      <c r="N177" s="307">
        <f t="shared" si="5"/>
        <v>267436.94569295167</v>
      </c>
      <c r="P177" s="380"/>
    </row>
    <row r="178" spans="1:16" s="215" customFormat="1" x14ac:dyDescent="0.25">
      <c r="A178" s="212">
        <f>'B) D RI'!A179</f>
        <v>5693</v>
      </c>
      <c r="B178" s="213" t="str">
        <f>'B) D RI'!B179</f>
        <v>Montanaire</v>
      </c>
      <c r="C178" s="333">
        <f>'B) D RI'!S179</f>
        <v>72</v>
      </c>
      <c r="D178" s="214">
        <f>'B) D RI'!AR179</f>
        <v>2421</v>
      </c>
      <c r="E178" s="219">
        <f>'D) Ecrêtage'!M177</f>
        <v>62987.795555555575</v>
      </c>
      <c r="F178" s="222">
        <f>'E) Fact soc'!G183</f>
        <v>1169963.6992288388</v>
      </c>
      <c r="G178" s="222">
        <f>'H) Péréquation directe'!I188</f>
        <v>-322578.73734485032</v>
      </c>
      <c r="H178" s="222">
        <f>'I) Dépenses thématiques'!O177</f>
        <v>-441371.68628239486</v>
      </c>
      <c r="I178" s="222">
        <f>'K) Plafonnement aide'!J177</f>
        <v>0</v>
      </c>
      <c r="J178" s="222">
        <f>'J) Plafonnement effort'!I177</f>
        <v>0</v>
      </c>
      <c r="K178" s="222">
        <f>'L) Plafonnement taux'!Q178</f>
        <v>0</v>
      </c>
      <c r="L178" s="307">
        <f>F178+G178+H178+I178+J178+K178</f>
        <v>406013.2756015936</v>
      </c>
      <c r="M178" s="307">
        <f>'M) Police'!O178</f>
        <v>201992.50783632987</v>
      </c>
      <c r="N178" s="307">
        <f t="shared" si="5"/>
        <v>608005.78343792353</v>
      </c>
      <c r="P178" s="380"/>
    </row>
    <row r="179" spans="1:16" s="215" customFormat="1" x14ac:dyDescent="0.25">
      <c r="A179" s="212">
        <f>'B) D RI'!A180</f>
        <v>5701</v>
      </c>
      <c r="B179" s="213" t="str">
        <f>'B) D RI'!B180</f>
        <v>Arnex-sur-Nyon</v>
      </c>
      <c r="C179" s="333">
        <f>'B) D RI'!S180</f>
        <v>65</v>
      </c>
      <c r="D179" s="214">
        <f>'B) D RI'!AR180</f>
        <v>208</v>
      </c>
      <c r="E179" s="219">
        <f>'D) Ecrêtage'!M178</f>
        <v>13660.306397009143</v>
      </c>
      <c r="F179" s="222">
        <f>'E) Fact soc'!G184</f>
        <v>308480.33673344267</v>
      </c>
      <c r="G179" s="222">
        <f>'H) Péréquation directe'!I189</f>
        <v>233325.7843892448</v>
      </c>
      <c r="H179" s="222">
        <f>'I) Dépenses thématiques'!O178</f>
        <v>0</v>
      </c>
      <c r="I179" s="222">
        <f>'K) Plafonnement aide'!J178</f>
        <v>0</v>
      </c>
      <c r="J179" s="222">
        <f>'J) Plafonnement effort'!I178</f>
        <v>0</v>
      </c>
      <c r="K179" s="222">
        <f>'L) Plafonnement taux'!Q179</f>
        <v>0</v>
      </c>
      <c r="L179" s="307">
        <f>F179+G179+H179+I179+J179+K179</f>
        <v>541806.12112268747</v>
      </c>
      <c r="M179" s="307">
        <f>'M) Police'!O179</f>
        <v>35947.286707590218</v>
      </c>
      <c r="N179" s="307">
        <f t="shared" si="5"/>
        <v>577753.40783027769</v>
      </c>
      <c r="P179" s="380"/>
    </row>
    <row r="180" spans="1:16" s="215" customFormat="1" x14ac:dyDescent="0.25">
      <c r="A180" s="212">
        <f>'B) D RI'!A181</f>
        <v>5702</v>
      </c>
      <c r="B180" s="213" t="str">
        <f>'B) D RI'!B181</f>
        <v>Arzier-Le Muids</v>
      </c>
      <c r="C180" s="333">
        <f>'B) D RI'!S181</f>
        <v>64</v>
      </c>
      <c r="D180" s="214">
        <f>'B) D RI'!AR181</f>
        <v>2506</v>
      </c>
      <c r="E180" s="219">
        <f>'D) Ecrêtage'!M179</f>
        <v>137174.35355135452</v>
      </c>
      <c r="F180" s="222">
        <f>'E) Fact soc'!G185</f>
        <v>2585227.2037628544</v>
      </c>
      <c r="G180" s="222">
        <f>'H) Péréquation directe'!I190</f>
        <v>1928993.2202876618</v>
      </c>
      <c r="H180" s="222">
        <f>'I) Dépenses thématiques'!O179</f>
        <v>-270746.21527895553</v>
      </c>
      <c r="I180" s="222">
        <f>'K) Plafonnement aide'!J179</f>
        <v>0</v>
      </c>
      <c r="J180" s="222">
        <f>'J) Plafonnement effort'!I179</f>
        <v>0</v>
      </c>
      <c r="K180" s="222">
        <f>'L) Plafonnement taux'!Q180</f>
        <v>0</v>
      </c>
      <c r="L180" s="307">
        <f t="shared" si="6"/>
        <v>4243474.2087715613</v>
      </c>
      <c r="M180" s="307">
        <f>'M) Police'!O180</f>
        <v>396303.95587968046</v>
      </c>
      <c r="N180" s="307">
        <f t="shared" si="5"/>
        <v>4639778.1646512421</v>
      </c>
      <c r="P180" s="380"/>
    </row>
    <row r="181" spans="1:16" s="215" customFormat="1" x14ac:dyDescent="0.25">
      <c r="A181" s="212">
        <f>'B) D RI'!A182</f>
        <v>5703</v>
      </c>
      <c r="B181" s="213" t="str">
        <f>'B) D RI'!B182</f>
        <v>Bassins</v>
      </c>
      <c r="C181" s="333">
        <f>'B) D RI'!S182</f>
        <v>71</v>
      </c>
      <c r="D181" s="214">
        <f>'B) D RI'!AR182</f>
        <v>1320</v>
      </c>
      <c r="E181" s="219">
        <f>'D) Ecrêtage'!M180</f>
        <v>51617.647746478862</v>
      </c>
      <c r="F181" s="222">
        <f>'E) Fact soc'!G186</f>
        <v>917472.79492292786</v>
      </c>
      <c r="G181" s="222">
        <f>'H) Péréquation directe'!I191</f>
        <v>617621.70827873948</v>
      </c>
      <c r="H181" s="222">
        <f>'I) Dépenses thématiques'!O180</f>
        <v>-342076.84015590022</v>
      </c>
      <c r="I181" s="222">
        <f>'K) Plafonnement aide'!J180</f>
        <v>0</v>
      </c>
      <c r="J181" s="222">
        <f>'J) Plafonnement effort'!I180</f>
        <v>0</v>
      </c>
      <c r="K181" s="222">
        <f>'L) Plafonnement taux'!Q181</f>
        <v>0</v>
      </c>
      <c r="L181" s="307">
        <f t="shared" si="6"/>
        <v>1193017.663045767</v>
      </c>
      <c r="M181" s="307">
        <f>'M) Police'!O181</f>
        <v>164485.21920472506</v>
      </c>
      <c r="N181" s="307">
        <f t="shared" si="5"/>
        <v>1357502.882250492</v>
      </c>
      <c r="P181" s="380"/>
    </row>
    <row r="182" spans="1:16" s="215" customFormat="1" x14ac:dyDescent="0.25">
      <c r="A182" s="212">
        <f>'B) D RI'!A183</f>
        <v>5704</v>
      </c>
      <c r="B182" s="213" t="str">
        <f>'B) D RI'!B183</f>
        <v>Begnins</v>
      </c>
      <c r="C182" s="333">
        <f>'B) D RI'!S183</f>
        <v>67</v>
      </c>
      <c r="D182" s="214">
        <f>'B) D RI'!AR183</f>
        <v>1802</v>
      </c>
      <c r="E182" s="219">
        <f>'D) Ecrêtage'!M181</f>
        <v>106633.49455692498</v>
      </c>
      <c r="F182" s="222">
        <f>'E) Fact soc'!G187</f>
        <v>2516560.5978717194</v>
      </c>
      <c r="G182" s="222">
        <f>'H) Péréquation directe'!I192</f>
        <v>1605223.6467982391</v>
      </c>
      <c r="H182" s="222">
        <f>'I) Dépenses thématiques'!O181</f>
        <v>0</v>
      </c>
      <c r="I182" s="222">
        <f>'K) Plafonnement aide'!J181</f>
        <v>0</v>
      </c>
      <c r="J182" s="222">
        <f>'J) Plafonnement effort'!I181</f>
        <v>0</v>
      </c>
      <c r="K182" s="222">
        <f>'L) Plafonnement taux'!Q182</f>
        <v>0</v>
      </c>
      <c r="L182" s="307">
        <f t="shared" si="6"/>
        <v>4121784.2446699585</v>
      </c>
      <c r="M182" s="307">
        <f>'M) Police'!O182</f>
        <v>295704.91249252151</v>
      </c>
      <c r="N182" s="307">
        <f t="shared" si="5"/>
        <v>4417489.1571624801</v>
      </c>
      <c r="P182" s="380"/>
    </row>
    <row r="183" spans="1:16" s="215" customFormat="1" x14ac:dyDescent="0.25">
      <c r="A183" s="212">
        <f>'B) D RI'!A184</f>
        <v>5705</v>
      </c>
      <c r="B183" s="213" t="str">
        <f>'B) D RI'!B184</f>
        <v>Bogis-Bossey</v>
      </c>
      <c r="C183" s="333">
        <f>'B) D RI'!S184</f>
        <v>64</v>
      </c>
      <c r="D183" s="214">
        <f>'B) D RI'!AR184</f>
        <v>830</v>
      </c>
      <c r="E183" s="219">
        <f>'D) Ecrêtage'!M182</f>
        <v>48425.798700716397</v>
      </c>
      <c r="F183" s="222">
        <f>'E) Fact soc'!G188</f>
        <v>1027861.2754993901</v>
      </c>
      <c r="G183" s="222">
        <f>'H) Péréquation directe'!I193</f>
        <v>817969.33763735439</v>
      </c>
      <c r="H183" s="222">
        <f>'I) Dépenses thématiques'!O182</f>
        <v>0</v>
      </c>
      <c r="I183" s="222">
        <f>'K) Plafonnement aide'!J182</f>
        <v>0</v>
      </c>
      <c r="J183" s="222">
        <f>'J) Plafonnement effort'!I182</f>
        <v>0</v>
      </c>
      <c r="K183" s="222">
        <f>'L) Plafonnement taux'!Q183</f>
        <v>0</v>
      </c>
      <c r="L183" s="307">
        <f t="shared" si="6"/>
        <v>1845830.6131367446</v>
      </c>
      <c r="M183" s="307">
        <f>'M) Police'!O183</f>
        <v>135275.83135974634</v>
      </c>
      <c r="N183" s="307">
        <f t="shared" si="5"/>
        <v>1981106.444496491</v>
      </c>
      <c r="P183" s="380"/>
    </row>
    <row r="184" spans="1:16" s="215" customFormat="1" x14ac:dyDescent="0.25">
      <c r="A184" s="212">
        <f>'B) D RI'!A185</f>
        <v>5706</v>
      </c>
      <c r="B184" s="213" t="str">
        <f>'B) D RI'!B185</f>
        <v>Borex</v>
      </c>
      <c r="C184" s="333">
        <f>'B) D RI'!S185</f>
        <v>55</v>
      </c>
      <c r="D184" s="214">
        <f>'B) D RI'!AR185</f>
        <v>1049</v>
      </c>
      <c r="E184" s="219">
        <f>'D) Ecrêtage'!M183</f>
        <v>60160.097854151689</v>
      </c>
      <c r="F184" s="222">
        <f>'E) Fact soc'!G189</f>
        <v>1389373.4294529746</v>
      </c>
      <c r="G184" s="222">
        <f>'H) Péréquation directe'!I194</f>
        <v>1002278.9809589727</v>
      </c>
      <c r="H184" s="222">
        <f>'I) Dépenses thématiques'!O183</f>
        <v>0</v>
      </c>
      <c r="I184" s="222">
        <f>'K) Plafonnement aide'!J183</f>
        <v>0</v>
      </c>
      <c r="J184" s="222">
        <f>'J) Plafonnement effort'!I183</f>
        <v>0</v>
      </c>
      <c r="K184" s="222">
        <f>'L) Plafonnement taux'!Q184</f>
        <v>0</v>
      </c>
      <c r="L184" s="307">
        <f t="shared" si="6"/>
        <v>2391652.4104119474</v>
      </c>
      <c r="M184" s="307">
        <f>'M) Police'!O184</f>
        <v>169568.75250703338</v>
      </c>
      <c r="N184" s="307">
        <f t="shared" si="5"/>
        <v>2561221.1629189807</v>
      </c>
      <c r="P184" s="380"/>
    </row>
    <row r="185" spans="1:16" s="215" customFormat="1" x14ac:dyDescent="0.25">
      <c r="A185" s="212">
        <f>'B) D RI'!A186</f>
        <v>5707</v>
      </c>
      <c r="B185" s="213" t="str">
        <f>'B) D RI'!B186</f>
        <v>Chavannes-de-Bogis</v>
      </c>
      <c r="C185" s="333">
        <f>'B) D RI'!S186</f>
        <v>59</v>
      </c>
      <c r="D185" s="214">
        <f>'B) D RI'!AR186</f>
        <v>1155</v>
      </c>
      <c r="E185" s="219">
        <f>'D) Ecrêtage'!M184</f>
        <v>83013.30450324282</v>
      </c>
      <c r="F185" s="222">
        <f>'E) Fact soc'!G190</f>
        <v>2119290.3274714504</v>
      </c>
      <c r="G185" s="222">
        <f>'H) Péréquation directe'!I195</f>
        <v>1390345.5403197794</v>
      </c>
      <c r="H185" s="222">
        <f>'I) Dépenses thématiques'!O184</f>
        <v>0</v>
      </c>
      <c r="I185" s="222">
        <f>'K) Plafonnement aide'!J184</f>
        <v>0</v>
      </c>
      <c r="J185" s="222">
        <f>'J) Plafonnement effort'!I184</f>
        <v>0</v>
      </c>
      <c r="K185" s="222">
        <f>'L) Plafonnement taux'!Q185</f>
        <v>0</v>
      </c>
      <c r="L185" s="307">
        <f t="shared" si="6"/>
        <v>3509635.8677912299</v>
      </c>
      <c r="M185" s="307">
        <f>'M) Police'!O185</f>
        <v>209222.11800375767</v>
      </c>
      <c r="N185" s="307">
        <f t="shared" si="5"/>
        <v>3718857.9857949875</v>
      </c>
      <c r="P185" s="380"/>
    </row>
    <row r="186" spans="1:16" s="215" customFormat="1" x14ac:dyDescent="0.25">
      <c r="A186" s="212">
        <f>'B) D RI'!A187</f>
        <v>5708</v>
      </c>
      <c r="B186" s="213" t="str">
        <f>'B) D RI'!B187</f>
        <v>Chavannes-des-Bois</v>
      </c>
      <c r="C186" s="333">
        <f>'B) D RI'!S187</f>
        <v>61</v>
      </c>
      <c r="D186" s="214">
        <f>'B) D RI'!AR187</f>
        <v>807</v>
      </c>
      <c r="E186" s="219">
        <f>'D) Ecrêtage'!M185</f>
        <v>57303.315617106862</v>
      </c>
      <c r="F186" s="222">
        <f>'E) Fact soc'!G191</f>
        <v>1543678.2811299604</v>
      </c>
      <c r="G186" s="222">
        <f>'H) Péréquation directe'!I196</f>
        <v>985260.67320620629</v>
      </c>
      <c r="H186" s="222">
        <f>'I) Dépenses thématiques'!O185</f>
        <v>0</v>
      </c>
      <c r="I186" s="222">
        <f>'K) Plafonnement aide'!J185</f>
        <v>0</v>
      </c>
      <c r="J186" s="222">
        <f>'J) Plafonnement effort'!I185</f>
        <v>0</v>
      </c>
      <c r="K186" s="222">
        <f>'L) Plafonnement taux'!Q186</f>
        <v>0</v>
      </c>
      <c r="L186" s="307">
        <f t="shared" si="6"/>
        <v>2528938.9543361668</v>
      </c>
      <c r="M186" s="307">
        <f>'M) Police'!O186</f>
        <v>145246.4717444703</v>
      </c>
      <c r="N186" s="307">
        <f t="shared" si="5"/>
        <v>2674185.4260806371</v>
      </c>
      <c r="P186" s="380"/>
    </row>
    <row r="187" spans="1:16" s="215" customFormat="1" x14ac:dyDescent="0.25">
      <c r="A187" s="212">
        <f>'B) D RI'!A188</f>
        <v>5709</v>
      </c>
      <c r="B187" s="213" t="str">
        <f>'B) D RI'!B188</f>
        <v>Chéserex</v>
      </c>
      <c r="C187" s="333">
        <f>'B) D RI'!S188</f>
        <v>52</v>
      </c>
      <c r="D187" s="214">
        <f>'B) D RI'!AR188</f>
        <v>1174</v>
      </c>
      <c r="E187" s="219">
        <f>'D) Ecrêtage'!M186</f>
        <v>100633.87651707719</v>
      </c>
      <c r="F187" s="222">
        <f>'E) Fact soc'!G192</f>
        <v>2831565.4808029882</v>
      </c>
      <c r="G187" s="222">
        <f>'H) Péréquation directe'!I197</f>
        <v>1711292.0265104866</v>
      </c>
      <c r="H187" s="222">
        <f>'I) Dépenses thématiques'!O186</f>
        <v>0</v>
      </c>
      <c r="I187" s="222">
        <f>'K) Plafonnement aide'!J186</f>
        <v>0</v>
      </c>
      <c r="J187" s="222">
        <f>'J) Plafonnement effort'!I186</f>
        <v>0</v>
      </c>
      <c r="K187" s="222">
        <f>'L) Plafonnement taux'!Q187</f>
        <v>0</v>
      </c>
      <c r="L187" s="307">
        <f t="shared" si="6"/>
        <v>4542857.507313475</v>
      </c>
      <c r="M187" s="307">
        <f>'M) Police'!O187</f>
        <v>234485.63451155211</v>
      </c>
      <c r="N187" s="307">
        <f t="shared" si="5"/>
        <v>4777343.1418250268</v>
      </c>
      <c r="P187" s="380"/>
    </row>
    <row r="188" spans="1:16" s="215" customFormat="1" x14ac:dyDescent="0.25">
      <c r="A188" s="212">
        <f>'B) D RI'!A189</f>
        <v>5710</v>
      </c>
      <c r="B188" s="213" t="str">
        <f>'B) D RI'!B189</f>
        <v>Coinsins</v>
      </c>
      <c r="C188" s="333">
        <f>'B) D RI'!S189</f>
        <v>41</v>
      </c>
      <c r="D188" s="214">
        <f>'B) D RI'!AR189</f>
        <v>435</v>
      </c>
      <c r="E188" s="219">
        <f>'D) Ecrêtage'!M187</f>
        <v>78275.084040994145</v>
      </c>
      <c r="F188" s="222">
        <f>'E) Fact soc'!G193</f>
        <v>3522028.2619136153</v>
      </c>
      <c r="G188" s="222">
        <f>'H) Péréquation directe'!I198</f>
        <v>1411907.7456016261</v>
      </c>
      <c r="H188" s="222">
        <f>'I) Dépenses thématiques'!O187</f>
        <v>0</v>
      </c>
      <c r="I188" s="222">
        <f>'K) Plafonnement aide'!J187</f>
        <v>0</v>
      </c>
      <c r="J188" s="222">
        <f>'J) Plafonnement effort'!I187</f>
        <v>0</v>
      </c>
      <c r="K188" s="222">
        <f>'L) Plafonnement taux'!Q188</f>
        <v>0</v>
      </c>
      <c r="L188" s="307">
        <f t="shared" si="6"/>
        <v>4933936.0075152414</v>
      </c>
      <c r="M188" s="307">
        <f>'M) Police'!O188</f>
        <v>141907.7212885606</v>
      </c>
      <c r="N188" s="307">
        <f t="shared" si="5"/>
        <v>5075843.7288038023</v>
      </c>
      <c r="P188" s="380"/>
    </row>
    <row r="189" spans="1:16" s="215" customFormat="1" x14ac:dyDescent="0.25">
      <c r="A189" s="212">
        <f>'B) D RI'!A190</f>
        <v>5711</v>
      </c>
      <c r="B189" s="213" t="str">
        <f>'B) D RI'!B190</f>
        <v>Commugny</v>
      </c>
      <c r="C189" s="333">
        <f>'B) D RI'!S190</f>
        <v>58</v>
      </c>
      <c r="D189" s="214">
        <f>'B) D RI'!AR190</f>
        <v>2591</v>
      </c>
      <c r="E189" s="219">
        <f>'D) Ecrêtage'!M188</f>
        <v>210519.71244284327</v>
      </c>
      <c r="F189" s="222">
        <f>'E) Fact soc'!G194</f>
        <v>6106143.9792224057</v>
      </c>
      <c r="G189" s="222">
        <f>'H) Péréquation directe'!I199</f>
        <v>3262879.3546492737</v>
      </c>
      <c r="H189" s="222">
        <f>'I) Dépenses thématiques'!O188</f>
        <v>0</v>
      </c>
      <c r="I189" s="222">
        <f>'K) Plafonnement aide'!J188</f>
        <v>0</v>
      </c>
      <c r="J189" s="222">
        <f>'J) Plafonnement effort'!I188</f>
        <v>0</v>
      </c>
      <c r="K189" s="222">
        <f>'L) Plafonnement taux'!Q189</f>
        <v>0</v>
      </c>
      <c r="L189" s="307">
        <f t="shared" si="6"/>
        <v>9369023.3338716794</v>
      </c>
      <c r="M189" s="307">
        <f>'M) Police'!O189</f>
        <v>501963.51629490743</v>
      </c>
      <c r="N189" s="307">
        <f t="shared" si="5"/>
        <v>9870986.8501665872</v>
      </c>
      <c r="P189" s="380"/>
    </row>
    <row r="190" spans="1:16" s="215" customFormat="1" x14ac:dyDescent="0.25">
      <c r="A190" s="212">
        <f>'B) D RI'!A191</f>
        <v>5712</v>
      </c>
      <c r="B190" s="213" t="str">
        <f>'B) D RI'!B191</f>
        <v>Coppet</v>
      </c>
      <c r="C190" s="333">
        <f>'B) D RI'!S191</f>
        <v>53</v>
      </c>
      <c r="D190" s="214">
        <f>'B) D RI'!AR191</f>
        <v>2936</v>
      </c>
      <c r="E190" s="219">
        <f>'D) Ecrêtage'!M189</f>
        <v>264743.7101481721</v>
      </c>
      <c r="F190" s="222">
        <f>'E) Fact soc'!G195</f>
        <v>8970537.3294366933</v>
      </c>
      <c r="G190" s="222">
        <f>'H) Péréquation directe'!I200</f>
        <v>4151254.8649925534</v>
      </c>
      <c r="H190" s="222">
        <f>'I) Dépenses thématiques'!O189</f>
        <v>0</v>
      </c>
      <c r="I190" s="222">
        <f>'K) Plafonnement aide'!J189</f>
        <v>0</v>
      </c>
      <c r="J190" s="222">
        <f>'J) Plafonnement effort'!I189</f>
        <v>0</v>
      </c>
      <c r="K190" s="222">
        <f>'L) Plafonnement taux'!Q190</f>
        <v>0</v>
      </c>
      <c r="L190" s="307">
        <f t="shared" si="6"/>
        <v>13121792.194429247</v>
      </c>
      <c r="M190" s="307">
        <f>'M) Police'!O190</f>
        <v>603964.28129213734</v>
      </c>
      <c r="N190" s="307">
        <f t="shared" si="5"/>
        <v>13725756.475721383</v>
      </c>
      <c r="P190" s="380"/>
    </row>
    <row r="191" spans="1:16" s="215" customFormat="1" x14ac:dyDescent="0.25">
      <c r="A191" s="212">
        <f>'B) D RI'!A192</f>
        <v>5713</v>
      </c>
      <c r="B191" s="213" t="str">
        <f>'B) D RI'!B192</f>
        <v>Crans-près-Céligny</v>
      </c>
      <c r="C191" s="333">
        <f>'B) D RI'!S192</f>
        <v>53</v>
      </c>
      <c r="D191" s="214">
        <f>'B) D RI'!AR192</f>
        <v>2044</v>
      </c>
      <c r="E191" s="219">
        <f>'D) Ecrêtage'!M190</f>
        <v>212144.04426696996</v>
      </c>
      <c r="F191" s="222">
        <f>'E) Fact soc'!G196</f>
        <v>7788570.0674624015</v>
      </c>
      <c r="G191" s="222">
        <f>'H) Péréquation directe'!I201</f>
        <v>3482596.2300439449</v>
      </c>
      <c r="H191" s="222">
        <f>'I) Dépenses thématiques'!O190</f>
        <v>0</v>
      </c>
      <c r="I191" s="222">
        <f>'K) Plafonnement aide'!J190</f>
        <v>0</v>
      </c>
      <c r="J191" s="222">
        <f>'J) Plafonnement effort'!I190</f>
        <v>0</v>
      </c>
      <c r="K191" s="222">
        <f>'L) Plafonnement taux'!Q191</f>
        <v>0</v>
      </c>
      <c r="L191" s="307">
        <f t="shared" si="6"/>
        <v>11271166.297506347</v>
      </c>
      <c r="M191" s="307">
        <f>'M) Police'!O191</f>
        <v>284796.19833712222</v>
      </c>
      <c r="N191" s="307">
        <f t="shared" si="5"/>
        <v>11555962.49584347</v>
      </c>
      <c r="P191" s="380"/>
    </row>
    <row r="192" spans="1:16" s="215" customFormat="1" x14ac:dyDescent="0.25">
      <c r="A192" s="212">
        <f>'B) D RI'!A193</f>
        <v>5714</v>
      </c>
      <c r="B192" s="213" t="str">
        <f>'B) D RI'!B193</f>
        <v>Crassier</v>
      </c>
      <c r="C192" s="333">
        <f>'B) D RI'!S193</f>
        <v>64</v>
      </c>
      <c r="D192" s="214">
        <f>'B) D RI'!AR193</f>
        <v>1141</v>
      </c>
      <c r="E192" s="219">
        <f>'D) Ecrêtage'!M191</f>
        <v>72000.97268941706</v>
      </c>
      <c r="F192" s="222">
        <f>'E) Fact soc'!G197</f>
        <v>1585726.6035518255</v>
      </c>
      <c r="G192" s="222">
        <f>'H) Péréquation directe'!I202</f>
        <v>1190500.0256235811</v>
      </c>
      <c r="H192" s="222">
        <f>'I) Dépenses thématiques'!O191</f>
        <v>0</v>
      </c>
      <c r="I192" s="222">
        <f>'K) Plafonnement aide'!J191</f>
        <v>0</v>
      </c>
      <c r="J192" s="222">
        <f>'J) Plafonnement effort'!I191</f>
        <v>0</v>
      </c>
      <c r="K192" s="222">
        <f>'L) Plafonnement taux'!Q192</f>
        <v>0</v>
      </c>
      <c r="L192" s="307">
        <f t="shared" si="6"/>
        <v>2776226.6291754069</v>
      </c>
      <c r="M192" s="307">
        <f>'M) Police'!O192</f>
        <v>193253.22844266013</v>
      </c>
      <c r="N192" s="307">
        <f t="shared" si="5"/>
        <v>2969479.8576180669</v>
      </c>
      <c r="P192" s="380"/>
    </row>
    <row r="193" spans="1:16" s="215" customFormat="1" x14ac:dyDescent="0.25">
      <c r="A193" s="212">
        <f>'B) D RI'!A194</f>
        <v>5715</v>
      </c>
      <c r="B193" s="213" t="str">
        <f>'B) D RI'!B194</f>
        <v>Duillier</v>
      </c>
      <c r="C193" s="333">
        <f>'B) D RI'!S194</f>
        <v>66</v>
      </c>
      <c r="D193" s="214">
        <f>'B) D RI'!AR194</f>
        <v>998</v>
      </c>
      <c r="E193" s="219">
        <f>'D) Ecrêtage'!M192</f>
        <v>57401.609046070247</v>
      </c>
      <c r="F193" s="222">
        <f>'E) Fact soc'!G198</f>
        <v>1291061.4083959269</v>
      </c>
      <c r="G193" s="222">
        <f>'H) Péréquation directe'!I203</f>
        <v>968179.8954123772</v>
      </c>
      <c r="H193" s="222">
        <f>'I) Dépenses thématiques'!O192</f>
        <v>0</v>
      </c>
      <c r="I193" s="222">
        <f>'K) Plafonnement aide'!J192</f>
        <v>0</v>
      </c>
      <c r="J193" s="222">
        <f>'J) Plafonnement effort'!I192</f>
        <v>0</v>
      </c>
      <c r="K193" s="222">
        <f>'L) Plafonnement taux'!Q193</f>
        <v>0</v>
      </c>
      <c r="L193" s="307">
        <f t="shared" si="6"/>
        <v>2259241.303808304</v>
      </c>
      <c r="M193" s="307">
        <f>'M) Police'!O193</f>
        <v>161548.0353477574</v>
      </c>
      <c r="N193" s="307">
        <f t="shared" si="5"/>
        <v>2420789.3391560614</v>
      </c>
      <c r="P193" s="380"/>
    </row>
    <row r="194" spans="1:16" s="215" customFormat="1" x14ac:dyDescent="0.25">
      <c r="A194" s="212">
        <f>'B) D RI'!A195</f>
        <v>5716</v>
      </c>
      <c r="B194" s="213" t="str">
        <f>'B) D RI'!B195</f>
        <v>Eysins</v>
      </c>
      <c r="C194" s="333">
        <f>'B) D RI'!S195</f>
        <v>61</v>
      </c>
      <c r="D194" s="214">
        <f>'B) D RI'!AR195</f>
        <v>1469</v>
      </c>
      <c r="E194" s="219">
        <f>'D) Ecrêtage'!M193</f>
        <v>112427.98831677147</v>
      </c>
      <c r="F194" s="222">
        <f>'E) Fact soc'!G199</f>
        <v>3243364.386945216</v>
      </c>
      <c r="G194" s="222">
        <f>'H) Péréquation directe'!I204</f>
        <v>1828308.6328692448</v>
      </c>
      <c r="H194" s="222">
        <f>'I) Dépenses thématiques'!O193</f>
        <v>0</v>
      </c>
      <c r="I194" s="222">
        <f>'K) Plafonnement aide'!J193</f>
        <v>0</v>
      </c>
      <c r="J194" s="222">
        <f>'J) Plafonnement effort'!I193</f>
        <v>0</v>
      </c>
      <c r="K194" s="222">
        <f>'L) Plafonnement taux'!Q194</f>
        <v>0</v>
      </c>
      <c r="L194" s="307">
        <f t="shared" si="6"/>
        <v>5071673.0198144605</v>
      </c>
      <c r="M194" s="307">
        <f>'M) Police'!O194</f>
        <v>275292.83225922915</v>
      </c>
      <c r="N194" s="307">
        <f t="shared" ref="N194:N254" si="9">L194+M194</f>
        <v>5346965.8520736899</v>
      </c>
      <c r="P194" s="380"/>
    </row>
    <row r="195" spans="1:16" s="215" customFormat="1" x14ac:dyDescent="0.25">
      <c r="A195" s="212">
        <f>'B) D RI'!A196</f>
        <v>5717</v>
      </c>
      <c r="B195" s="213" t="str">
        <f>'B) D RI'!B196</f>
        <v>Founex</v>
      </c>
      <c r="C195" s="333">
        <f>'B) D RI'!S196</f>
        <v>57</v>
      </c>
      <c r="D195" s="214">
        <f>'B) D RI'!AR196</f>
        <v>3372</v>
      </c>
      <c r="E195" s="219">
        <f>'D) Ecrêtage'!M194</f>
        <v>297680.06872799026</v>
      </c>
      <c r="F195" s="222">
        <f>'E) Fact soc'!G200</f>
        <v>10015363.673390914</v>
      </c>
      <c r="G195" s="222">
        <f>'H) Péréquation directe'!I205</f>
        <v>4557169.4724322809</v>
      </c>
      <c r="H195" s="222">
        <f>'I) Dépenses thématiques'!O194</f>
        <v>0</v>
      </c>
      <c r="I195" s="222">
        <f>'K) Plafonnement aide'!J194</f>
        <v>0</v>
      </c>
      <c r="J195" s="222">
        <f>'J) Plafonnement effort'!I194</f>
        <v>0</v>
      </c>
      <c r="K195" s="222">
        <f>'L) Plafonnement taux'!Q195</f>
        <v>0</v>
      </c>
      <c r="L195" s="307">
        <f t="shared" si="6"/>
        <v>14572533.145823196</v>
      </c>
      <c r="M195" s="307">
        <f>'M) Police'!O195</f>
        <v>685090.95600173343</v>
      </c>
      <c r="N195" s="307">
        <f t="shared" si="9"/>
        <v>15257624.101824928</v>
      </c>
      <c r="P195" s="380"/>
    </row>
    <row r="196" spans="1:16" s="215" customFormat="1" x14ac:dyDescent="0.25">
      <c r="A196" s="212">
        <f>'B) D RI'!A197</f>
        <v>5718</v>
      </c>
      <c r="B196" s="213" t="str">
        <f>'B) D RI'!B197</f>
        <v>Genolier</v>
      </c>
      <c r="C196" s="333">
        <f>'B) D RI'!S197</f>
        <v>55</v>
      </c>
      <c r="D196" s="214">
        <f>'B) D RI'!AR197</f>
        <v>1890</v>
      </c>
      <c r="E196" s="219">
        <f>'D) Ecrêtage'!M195</f>
        <v>135930.25960105986</v>
      </c>
      <c r="F196" s="222">
        <f>'E) Fact soc'!G201</f>
        <v>3664523.9038247727</v>
      </c>
      <c r="G196" s="222">
        <f>'H) Péréquation directe'!I206</f>
        <v>2119299.1013739696</v>
      </c>
      <c r="H196" s="222">
        <f>'I) Dépenses thématiques'!O195</f>
        <v>0</v>
      </c>
      <c r="I196" s="222">
        <f>'K) Plafonnement aide'!J195</f>
        <v>0</v>
      </c>
      <c r="J196" s="222">
        <f>'J) Plafonnement effort'!I195</f>
        <v>0</v>
      </c>
      <c r="K196" s="222">
        <f>'L) Plafonnement taux'!Q196</f>
        <v>0</v>
      </c>
      <c r="L196" s="307">
        <f t="shared" si="6"/>
        <v>5783823.0051987423</v>
      </c>
      <c r="M196" s="307">
        <f>'M) Police'!O196</f>
        <v>342484.69961632963</v>
      </c>
      <c r="N196" s="307">
        <f t="shared" si="9"/>
        <v>6126307.704815072</v>
      </c>
      <c r="P196" s="380"/>
    </row>
    <row r="197" spans="1:16" s="215" customFormat="1" x14ac:dyDescent="0.25">
      <c r="A197" s="212">
        <f>'B) D RI'!A198</f>
        <v>5719</v>
      </c>
      <c r="B197" s="213" t="str">
        <f>'B) D RI'!B198</f>
        <v>Gingins</v>
      </c>
      <c r="C197" s="333">
        <f>'B) D RI'!S198</f>
        <v>57</v>
      </c>
      <c r="D197" s="214">
        <f>'B) D RI'!AR198</f>
        <v>1204</v>
      </c>
      <c r="E197" s="219">
        <f>'D) Ecrêtage'!M196</f>
        <v>88352.891449777657</v>
      </c>
      <c r="F197" s="222">
        <f>'E) Fact soc'!G202</f>
        <v>2427738.1463237233</v>
      </c>
      <c r="G197" s="222">
        <f>'H) Péréquation directe'!I207</f>
        <v>1472619.8304760184</v>
      </c>
      <c r="H197" s="222">
        <f>'I) Dépenses thématiques'!O196</f>
        <v>0</v>
      </c>
      <c r="I197" s="222">
        <f>'K) Plafonnement aide'!J196</f>
        <v>0</v>
      </c>
      <c r="J197" s="222">
        <f>'J) Plafonnement effort'!I196</f>
        <v>0</v>
      </c>
      <c r="K197" s="222">
        <f>'L) Plafonnement taux'!Q197</f>
        <v>0</v>
      </c>
      <c r="L197" s="307">
        <f t="shared" si="6"/>
        <v>3900357.9767997414</v>
      </c>
      <c r="M197" s="307">
        <f>'M) Police'!O197</f>
        <v>220538.55677651</v>
      </c>
      <c r="N197" s="307">
        <f t="shared" si="9"/>
        <v>4120896.5335762515</v>
      </c>
      <c r="P197" s="380"/>
    </row>
    <row r="198" spans="1:16" s="215" customFormat="1" x14ac:dyDescent="0.25">
      <c r="A198" s="212">
        <f>'B) D RI'!A199</f>
        <v>5720</v>
      </c>
      <c r="B198" s="213" t="str">
        <f>'B) D RI'!B199</f>
        <v>Givrins</v>
      </c>
      <c r="C198" s="333">
        <f>'B) D RI'!S199</f>
        <v>61</v>
      </c>
      <c r="D198" s="214">
        <f>'B) D RI'!AR199</f>
        <v>971</v>
      </c>
      <c r="E198" s="219">
        <f>'D) Ecrêtage'!M197</f>
        <v>73498.475925076491</v>
      </c>
      <c r="F198" s="222">
        <f>'E) Fact soc'!G203</f>
        <v>2256585.4687344367</v>
      </c>
      <c r="G198" s="222">
        <f>'H) Péréquation directe'!I208</f>
        <v>1270059.8252029417</v>
      </c>
      <c r="H198" s="222">
        <f>'I) Dépenses thématiques'!O197</f>
        <v>-28276.74023801263</v>
      </c>
      <c r="I198" s="222">
        <f>'K) Plafonnement aide'!J197</f>
        <v>0</v>
      </c>
      <c r="J198" s="222">
        <f>'J) Plafonnement effort'!I197</f>
        <v>0</v>
      </c>
      <c r="K198" s="222">
        <f>'L) Plafonnement taux'!Q198</f>
        <v>0</v>
      </c>
      <c r="L198" s="307">
        <f t="shared" si="6"/>
        <v>3498368.5536993658</v>
      </c>
      <c r="M198" s="307">
        <f>'M) Police'!O198</f>
        <v>180871.77814769692</v>
      </c>
      <c r="N198" s="307">
        <f t="shared" si="9"/>
        <v>3679240.3318470628</v>
      </c>
      <c r="P198" s="380"/>
    </row>
    <row r="199" spans="1:16" s="215" customFormat="1" x14ac:dyDescent="0.25">
      <c r="A199" s="212">
        <f>'B) D RI'!A200</f>
        <v>5721</v>
      </c>
      <c r="B199" s="213" t="str">
        <f>'B) D RI'!B200</f>
        <v>Gland</v>
      </c>
      <c r="C199" s="333">
        <f>'B) D RI'!S200</f>
        <v>62.5</v>
      </c>
      <c r="D199" s="214">
        <f>'B) D RI'!AR200</f>
        <v>12663</v>
      </c>
      <c r="E199" s="219">
        <f>'D) Ecrêtage'!M198</f>
        <v>556574.85335272714</v>
      </c>
      <c r="F199" s="222">
        <f>'E) Fact soc'!G204</f>
        <v>11052446.063227879</v>
      </c>
      <c r="G199" s="222">
        <f>'H) Péréquation directe'!I209</f>
        <v>2979765.8441017084</v>
      </c>
      <c r="H199" s="222">
        <f>'I) Dépenses thématiques'!O198</f>
        <v>0</v>
      </c>
      <c r="I199" s="222">
        <f>'K) Plafonnement aide'!J198</f>
        <v>0</v>
      </c>
      <c r="J199" s="222">
        <f>'J) Plafonnement effort'!I198</f>
        <v>0</v>
      </c>
      <c r="K199" s="222">
        <f>'L) Plafonnement taux'!Q199</f>
        <v>0</v>
      </c>
      <c r="L199" s="307">
        <f t="shared" si="6"/>
        <v>14032211.907329587</v>
      </c>
      <c r="M199" s="307">
        <f>'M) Police'!O199</f>
        <v>1782986.4326868826</v>
      </c>
      <c r="N199" s="307">
        <f t="shared" si="9"/>
        <v>15815198.340016469</v>
      </c>
      <c r="P199" s="380"/>
    </row>
    <row r="200" spans="1:16" s="215" customFormat="1" x14ac:dyDescent="0.25">
      <c r="A200" s="212">
        <f>'B) D RI'!A201</f>
        <v>5722</v>
      </c>
      <c r="B200" s="213" t="str">
        <f>'B) D RI'!B201</f>
        <v>Grens</v>
      </c>
      <c r="C200" s="333">
        <f>'B) D RI'!S201</f>
        <v>57</v>
      </c>
      <c r="D200" s="214">
        <f>'B) D RI'!AR201</f>
        <v>380</v>
      </c>
      <c r="E200" s="219">
        <f>'D) Ecrêtage'!M199</f>
        <v>22380.908870006704</v>
      </c>
      <c r="F200" s="222">
        <f>'E) Fact soc'!G205</f>
        <v>412627.17655559327</v>
      </c>
      <c r="G200" s="222">
        <f>'H) Péréquation directe'!I210</f>
        <v>378396.58566453634</v>
      </c>
      <c r="H200" s="222">
        <f>'I) Dépenses thématiques'!O199</f>
        <v>0</v>
      </c>
      <c r="I200" s="222">
        <f>'K) Plafonnement aide'!J199</f>
        <v>0</v>
      </c>
      <c r="J200" s="222">
        <f>'J) Plafonnement effort'!I199</f>
        <v>0</v>
      </c>
      <c r="K200" s="222">
        <f>'L) Plafonnement taux'!Q200</f>
        <v>0</v>
      </c>
      <c r="L200" s="307">
        <f t="shared" si="6"/>
        <v>791023.7622201296</v>
      </c>
      <c r="M200" s="307">
        <f>'M) Police'!O200</f>
        <v>62215.513299844271</v>
      </c>
      <c r="N200" s="307">
        <f t="shared" si="9"/>
        <v>853239.27551997383</v>
      </c>
      <c r="P200" s="380"/>
    </row>
    <row r="201" spans="1:16" s="215" customFormat="1" x14ac:dyDescent="0.25">
      <c r="A201" s="212">
        <f>'B) D RI'!A202</f>
        <v>5723</v>
      </c>
      <c r="B201" s="213" t="str">
        <f>'B) D RI'!B202</f>
        <v>Mies</v>
      </c>
      <c r="C201" s="333">
        <f>'B) D RI'!S202</f>
        <v>49</v>
      </c>
      <c r="D201" s="214">
        <f>'B) D RI'!AR202</f>
        <v>1778</v>
      </c>
      <c r="E201" s="219">
        <f>'D) Ecrêtage'!M200</f>
        <v>208613.39926680108</v>
      </c>
      <c r="F201" s="222">
        <f>'E) Fact soc'!G206</f>
        <v>8095204.627054086</v>
      </c>
      <c r="G201" s="222">
        <f>'H) Péréquation directe'!I211</f>
        <v>3509132.3032205678</v>
      </c>
      <c r="H201" s="222">
        <f>'I) Dépenses thématiques'!O200</f>
        <v>0</v>
      </c>
      <c r="I201" s="222">
        <f>'K) Plafonnement aide'!J200</f>
        <v>0</v>
      </c>
      <c r="J201" s="222">
        <f>'J) Plafonnement effort'!I200</f>
        <v>0</v>
      </c>
      <c r="K201" s="222">
        <f>'L) Plafonnement taux'!Q201</f>
        <v>0</v>
      </c>
      <c r="L201" s="307">
        <f t="shared" si="6"/>
        <v>11604336.930274654</v>
      </c>
      <c r="M201" s="307">
        <f>'M) Police'!O201</f>
        <v>430577.6993339014</v>
      </c>
      <c r="N201" s="307">
        <f t="shared" si="9"/>
        <v>12034914.629608555</v>
      </c>
      <c r="P201" s="380"/>
    </row>
    <row r="202" spans="1:16" s="215" customFormat="1" x14ac:dyDescent="0.25">
      <c r="A202" s="212">
        <f>'B) D RI'!A203</f>
        <v>5724</v>
      </c>
      <c r="B202" s="213" t="str">
        <f>'B) D RI'!B203</f>
        <v>Nyon</v>
      </c>
      <c r="C202" s="333">
        <f>'B) D RI'!S203</f>
        <v>61</v>
      </c>
      <c r="D202" s="214">
        <f>'B) D RI'!AR203</f>
        <v>19861</v>
      </c>
      <c r="E202" s="219">
        <f>'D) Ecrêtage'!M201</f>
        <v>1304185.770987886</v>
      </c>
      <c r="F202" s="222">
        <f>'E) Fact soc'!G207</f>
        <v>30949377.893902253</v>
      </c>
      <c r="G202" s="222">
        <f>'H) Péréquation directe'!I212</f>
        <v>9537473.2318147812</v>
      </c>
      <c r="H202" s="222">
        <f>'I) Dépenses thématiques'!O201</f>
        <v>-133616.23689351938</v>
      </c>
      <c r="I202" s="222">
        <f>'K) Plafonnement aide'!J201</f>
        <v>0</v>
      </c>
      <c r="J202" s="222">
        <f>'J) Plafonnement effort'!I201</f>
        <v>0</v>
      </c>
      <c r="K202" s="222">
        <f>'L) Plafonnement taux'!Q202</f>
        <v>0</v>
      </c>
      <c r="L202" s="307">
        <f t="shared" si="6"/>
        <v>40353234.888823517</v>
      </c>
      <c r="M202" s="307">
        <f>'M) Police'!O202</f>
        <v>1750825.2507682983</v>
      </c>
      <c r="N202" s="307">
        <f t="shared" si="9"/>
        <v>42104060.139591813</v>
      </c>
      <c r="P202" s="380"/>
    </row>
    <row r="203" spans="1:16" s="215" customFormat="1" x14ac:dyDescent="0.25">
      <c r="A203" s="212">
        <f>'B) D RI'!A204</f>
        <v>5725</v>
      </c>
      <c r="B203" s="213" t="str">
        <f>'B) D RI'!B204</f>
        <v>Prangins</v>
      </c>
      <c r="C203" s="333">
        <f>'B) D RI'!S204</f>
        <v>56</v>
      </c>
      <c r="D203" s="214">
        <f>'B) D RI'!AR204</f>
        <v>3976</v>
      </c>
      <c r="E203" s="219">
        <f>'D) Ecrêtage'!M202</f>
        <v>263974.0731358112</v>
      </c>
      <c r="F203" s="222">
        <f>'E) Fact soc'!G208</f>
        <v>6585361.2292803526</v>
      </c>
      <c r="G203" s="222">
        <f>'H) Péréquation directe'!I213</f>
        <v>3631683.7312863888</v>
      </c>
      <c r="H203" s="222">
        <f>'I) Dépenses thématiques'!O202</f>
        <v>0</v>
      </c>
      <c r="I203" s="222">
        <f>'K) Plafonnement aide'!J202</f>
        <v>0</v>
      </c>
      <c r="J203" s="222">
        <f>'J) Plafonnement effort'!I202</f>
        <v>0</v>
      </c>
      <c r="K203" s="222">
        <f>'L) Plafonnement taux'!Q203</f>
        <v>0</v>
      </c>
      <c r="L203" s="307">
        <f t="shared" si="6"/>
        <v>10217044.96056674</v>
      </c>
      <c r="M203" s="307">
        <f>'M) Police'!O203</f>
        <v>354376.25764330523</v>
      </c>
      <c r="N203" s="307">
        <f t="shared" si="9"/>
        <v>10571421.218210045</v>
      </c>
      <c r="P203" s="380"/>
    </row>
    <row r="204" spans="1:16" s="215" customFormat="1" x14ac:dyDescent="0.25">
      <c r="A204" s="212">
        <f>'B) D RI'!A205</f>
        <v>5726</v>
      </c>
      <c r="B204" s="213" t="str">
        <f>'B) D RI'!B205</f>
        <v>La Rippe</v>
      </c>
      <c r="C204" s="333">
        <f>'B) D RI'!S205</f>
        <v>65</v>
      </c>
      <c r="D204" s="214">
        <f>'B) D RI'!AR205</f>
        <v>1104</v>
      </c>
      <c r="E204" s="219">
        <f>'D) Ecrêtage'!M203</f>
        <v>60375.551317460784</v>
      </c>
      <c r="F204" s="222">
        <f>'E) Fact soc'!G209</f>
        <v>1142309.8257116869</v>
      </c>
      <c r="G204" s="222">
        <f>'H) Péréquation directe'!I214</f>
        <v>987227.47224747529</v>
      </c>
      <c r="H204" s="222">
        <f>'I) Dépenses thématiques'!O203</f>
        <v>-584.13213205964348</v>
      </c>
      <c r="I204" s="222">
        <f>'K) Plafonnement aide'!J203</f>
        <v>0</v>
      </c>
      <c r="J204" s="222">
        <f>'J) Plafonnement effort'!I203</f>
        <v>0</v>
      </c>
      <c r="K204" s="222">
        <f>'L) Plafonnement taux'!Q204</f>
        <v>0</v>
      </c>
      <c r="L204" s="307">
        <f t="shared" si="6"/>
        <v>2128953.1658271025</v>
      </c>
      <c r="M204" s="307">
        <f>'M) Police'!O204</f>
        <v>174514.16133195965</v>
      </c>
      <c r="N204" s="307">
        <f t="shared" si="9"/>
        <v>2303467.327159062</v>
      </c>
      <c r="P204" s="380"/>
    </row>
    <row r="205" spans="1:16" s="215" customFormat="1" x14ac:dyDescent="0.25">
      <c r="A205" s="212">
        <f>'B) D RI'!A206</f>
        <v>5727</v>
      </c>
      <c r="B205" s="213" t="str">
        <f>'B) D RI'!B206</f>
        <v>Saint-Cergue</v>
      </c>
      <c r="C205" s="333">
        <f>'B) D RI'!S206</f>
        <v>66</v>
      </c>
      <c r="D205" s="214">
        <f>'B) D RI'!AR206</f>
        <v>2406</v>
      </c>
      <c r="E205" s="219">
        <f>'D) Ecrêtage'!M204</f>
        <v>92384.571565656559</v>
      </c>
      <c r="F205" s="222">
        <f>'E) Fact soc'!G210</f>
        <v>1787141.8483030512</v>
      </c>
      <c r="G205" s="222">
        <f>'H) Péréquation directe'!I215</f>
        <v>893773.68110286165</v>
      </c>
      <c r="H205" s="222">
        <f>'I) Dépenses thématiques'!O204</f>
        <v>-172278.0951180761</v>
      </c>
      <c r="I205" s="222">
        <f>'K) Plafonnement aide'!J204</f>
        <v>0</v>
      </c>
      <c r="J205" s="222">
        <f>'J) Plafonnement effort'!I204</f>
        <v>0</v>
      </c>
      <c r="K205" s="222">
        <f>'L) Plafonnement taux'!Q205</f>
        <v>0</v>
      </c>
      <c r="L205" s="307">
        <f t="shared" si="6"/>
        <v>2508637.4342878368</v>
      </c>
      <c r="M205" s="307">
        <f>'M) Police'!O205</f>
        <v>295047.24464790046</v>
      </c>
      <c r="N205" s="307">
        <f t="shared" si="9"/>
        <v>2803684.6789357373</v>
      </c>
      <c r="P205" s="380"/>
    </row>
    <row r="206" spans="1:16" s="215" customFormat="1" x14ac:dyDescent="0.25">
      <c r="A206" s="212">
        <f>'B) D RI'!A207</f>
        <v>5728</v>
      </c>
      <c r="B206" s="213" t="str">
        <f>'B) D RI'!B207</f>
        <v>Signy-Avenex</v>
      </c>
      <c r="C206" s="333">
        <f>'B) D RI'!S207</f>
        <v>56</v>
      </c>
      <c r="D206" s="214">
        <f>'B) D RI'!AR207</f>
        <v>481</v>
      </c>
      <c r="E206" s="219">
        <f>'D) Ecrêtage'!M205</f>
        <v>31844.633660866617</v>
      </c>
      <c r="F206" s="222">
        <f>'E) Fact soc'!G211</f>
        <v>801728.54781464487</v>
      </c>
      <c r="G206" s="222">
        <f>'H) Péréquation directe'!I216</f>
        <v>544309.0482057092</v>
      </c>
      <c r="H206" s="222">
        <f>'I) Dépenses thématiques'!O205</f>
        <v>0</v>
      </c>
      <c r="I206" s="222">
        <f>'K) Plafonnement aide'!J205</f>
        <v>0</v>
      </c>
      <c r="J206" s="222">
        <f>'J) Plafonnement effort'!I205</f>
        <v>0</v>
      </c>
      <c r="K206" s="222">
        <f>'L) Plafonnement taux'!Q206</f>
        <v>0</v>
      </c>
      <c r="L206" s="307">
        <f t="shared" si="6"/>
        <v>1346037.596020354</v>
      </c>
      <c r="M206" s="307">
        <f>'M) Police'!O206</f>
        <v>83470.664469229785</v>
      </c>
      <c r="N206" s="307">
        <f t="shared" si="9"/>
        <v>1429508.2604895837</v>
      </c>
      <c r="P206" s="380"/>
    </row>
    <row r="207" spans="1:16" s="215" customFormat="1" x14ac:dyDescent="0.25">
      <c r="A207" s="212">
        <f>'B) D RI'!A208</f>
        <v>5729</v>
      </c>
      <c r="B207" s="213" t="str">
        <f>'B) D RI'!B208</f>
        <v>Tannay</v>
      </c>
      <c r="C207" s="333">
        <f>'B) D RI'!S208</f>
        <v>61</v>
      </c>
      <c r="D207" s="214">
        <f>'B) D RI'!AR208</f>
        <v>1448</v>
      </c>
      <c r="E207" s="219">
        <f>'D) Ecrêtage'!M206</f>
        <v>121490.26557201984</v>
      </c>
      <c r="F207" s="222">
        <f>'E) Fact soc'!G212</f>
        <v>3758973.5658648908</v>
      </c>
      <c r="G207" s="222">
        <f>'H) Péréquation directe'!I217</f>
        <v>2004033.471929128</v>
      </c>
      <c r="H207" s="222">
        <f>'I) Dépenses thématiques'!O206</f>
        <v>0</v>
      </c>
      <c r="I207" s="222">
        <f>'K) Plafonnement aide'!J206</f>
        <v>0</v>
      </c>
      <c r="J207" s="222">
        <f>'J) Plafonnement effort'!I206</f>
        <v>0</v>
      </c>
      <c r="K207" s="222">
        <f>'L) Plafonnement taux'!Q207</f>
        <v>0</v>
      </c>
      <c r="L207" s="307">
        <f t="shared" si="6"/>
        <v>5763007.0377940191</v>
      </c>
      <c r="M207" s="307">
        <f>'M) Police'!O207</f>
        <v>285680.8224117572</v>
      </c>
      <c r="N207" s="307">
        <f t="shared" si="9"/>
        <v>6048687.8602057761</v>
      </c>
      <c r="P207" s="380"/>
    </row>
    <row r="208" spans="1:16" s="215" customFormat="1" x14ac:dyDescent="0.25">
      <c r="A208" s="212">
        <f>'B) D RI'!A209</f>
        <v>5730</v>
      </c>
      <c r="B208" s="213" t="str">
        <f>'B) D RI'!B209</f>
        <v>Trélex</v>
      </c>
      <c r="C208" s="333">
        <f>'B) D RI'!S209</f>
        <v>53</v>
      </c>
      <c r="D208" s="214">
        <f>'B) D RI'!AR209</f>
        <v>1394</v>
      </c>
      <c r="E208" s="219">
        <f>'D) Ecrêtage'!M207</f>
        <v>126974.54932555581</v>
      </c>
      <c r="F208" s="222">
        <f>'E) Fact soc'!G213</f>
        <v>3938365.0373841785</v>
      </c>
      <c r="G208" s="222">
        <f>'H) Péréquation directe'!I218</f>
        <v>2124684.6970745269</v>
      </c>
      <c r="H208" s="222">
        <f>'I) Dépenses thématiques'!O207</f>
        <v>0</v>
      </c>
      <c r="I208" s="222">
        <f>'K) Plafonnement aide'!J207</f>
        <v>0</v>
      </c>
      <c r="J208" s="222">
        <f>'J) Plafonnement effort'!I207</f>
        <v>0</v>
      </c>
      <c r="K208" s="222">
        <f>'L) Plafonnement taux'!Q208</f>
        <v>0</v>
      </c>
      <c r="L208" s="307">
        <f t="shared" si="6"/>
        <v>6063049.7344587054</v>
      </c>
      <c r="M208" s="307">
        <f>'M) Police'!O208</f>
        <v>288471.7754974463</v>
      </c>
      <c r="N208" s="307">
        <f t="shared" si="9"/>
        <v>6351521.5099561512</v>
      </c>
      <c r="P208" s="380"/>
    </row>
    <row r="209" spans="1:16" s="215" customFormat="1" x14ac:dyDescent="0.25">
      <c r="A209" s="212">
        <f>'B) D RI'!A210</f>
        <v>5731</v>
      </c>
      <c r="B209" s="213" t="str">
        <f>'B) D RI'!B210</f>
        <v>Le Vaud</v>
      </c>
      <c r="C209" s="333">
        <f>'B) D RI'!S210</f>
        <v>75</v>
      </c>
      <c r="D209" s="214">
        <f>'B) D RI'!AR210</f>
        <v>1243</v>
      </c>
      <c r="E209" s="219">
        <f>'D) Ecrêtage'!M208</f>
        <v>46449.882799999999</v>
      </c>
      <c r="F209" s="222">
        <f>'E) Fact soc'!G214</f>
        <v>872324.31997431803</v>
      </c>
      <c r="G209" s="222">
        <f>'H) Péréquation directe'!I219</f>
        <v>493302.57121051277</v>
      </c>
      <c r="H209" s="222">
        <f>'I) Dépenses thématiques'!O208</f>
        <v>-162358.0010825638</v>
      </c>
      <c r="I209" s="222">
        <f>'K) Plafonnement aide'!J208</f>
        <v>0</v>
      </c>
      <c r="J209" s="222">
        <f>'J) Plafonnement effort'!I208</f>
        <v>0</v>
      </c>
      <c r="K209" s="222">
        <f>'L) Plafonnement taux'!Q209</f>
        <v>0</v>
      </c>
      <c r="L209" s="307">
        <f t="shared" si="6"/>
        <v>1203268.890102267</v>
      </c>
      <c r="M209" s="307">
        <f>'M) Police'!O209</f>
        <v>149107.69426043163</v>
      </c>
      <c r="N209" s="307">
        <f t="shared" si="9"/>
        <v>1352376.5843626987</v>
      </c>
      <c r="P209" s="380"/>
    </row>
    <row r="210" spans="1:16" s="215" customFormat="1" x14ac:dyDescent="0.25">
      <c r="A210" s="212">
        <f>'B) D RI'!A211</f>
        <v>5732</v>
      </c>
      <c r="B210" s="213" t="str">
        <f>'B) D RI'!B211</f>
        <v>Vich</v>
      </c>
      <c r="C210" s="333">
        <f>'B) D RI'!S211</f>
        <v>68</v>
      </c>
      <c r="D210" s="214">
        <f>'B) D RI'!AR211</f>
        <v>882</v>
      </c>
      <c r="E210" s="219">
        <f>'D) Ecrêtage'!M209</f>
        <v>55139.937699210619</v>
      </c>
      <c r="F210" s="222">
        <f>'E) Fact soc'!G215</f>
        <v>1446886.7119681616</v>
      </c>
      <c r="G210" s="222">
        <f>'H) Péréquation directe'!I220</f>
        <v>937623.45458474394</v>
      </c>
      <c r="H210" s="222">
        <f>'I) Dépenses thématiques'!O209</f>
        <v>0</v>
      </c>
      <c r="I210" s="222">
        <f>'K) Plafonnement aide'!J209</f>
        <v>0</v>
      </c>
      <c r="J210" s="222">
        <f>'J) Plafonnement effort'!I209</f>
        <v>0</v>
      </c>
      <c r="K210" s="222">
        <f>'L) Plafonnement taux'!Q210</f>
        <v>0</v>
      </c>
      <c r="L210" s="307">
        <f t="shared" si="6"/>
        <v>2384510.1665529055</v>
      </c>
      <c r="M210" s="307">
        <f>'M) Police'!O210</f>
        <v>148691.53263412468</v>
      </c>
      <c r="N210" s="307">
        <f t="shared" si="9"/>
        <v>2533201.6991870301</v>
      </c>
      <c r="P210" s="380"/>
    </row>
    <row r="211" spans="1:16" s="215" customFormat="1" x14ac:dyDescent="0.25">
      <c r="A211" s="212">
        <f>'B) D RI'!A212</f>
        <v>5741</v>
      </c>
      <c r="B211" s="213" t="str">
        <f>'B) D RI'!B212</f>
        <v>L'Abergement</v>
      </c>
      <c r="C211" s="333">
        <f>'B) D RI'!S212</f>
        <v>81</v>
      </c>
      <c r="D211" s="214">
        <f>'B) D RI'!AR212</f>
        <v>250</v>
      </c>
      <c r="E211" s="219">
        <f>'D) Ecrêtage'!M210</f>
        <v>6994.8889917695487</v>
      </c>
      <c r="F211" s="222">
        <f>'E) Fact soc'!G216</f>
        <v>124764.22785456685</v>
      </c>
      <c r="G211" s="222">
        <f>'H) Péréquation directe'!I221</f>
        <v>179.73141529774875</v>
      </c>
      <c r="H211" s="222">
        <f>'I) Dépenses thématiques'!O210</f>
        <v>-83466.867860695405</v>
      </c>
      <c r="I211" s="222">
        <f>'K) Plafonnement aide'!J210</f>
        <v>0</v>
      </c>
      <c r="J211" s="222">
        <f>'J) Plafonnement effort'!I210</f>
        <v>0</v>
      </c>
      <c r="K211" s="222">
        <f>'L) Plafonnement taux'!Q211</f>
        <v>0</v>
      </c>
      <c r="L211" s="307">
        <f t="shared" si="6"/>
        <v>41477.091409169196</v>
      </c>
      <c r="M211" s="307">
        <f>'M) Police'!O211</f>
        <v>22509.748607531168</v>
      </c>
      <c r="N211" s="307">
        <f t="shared" si="9"/>
        <v>63986.840016700364</v>
      </c>
      <c r="P211" s="380"/>
    </row>
    <row r="212" spans="1:16" s="215" customFormat="1" x14ac:dyDescent="0.25">
      <c r="A212" s="212">
        <f>'B) D RI'!A213</f>
        <v>5742</v>
      </c>
      <c r="B212" s="213" t="str">
        <f>'B) D RI'!B213</f>
        <v>Agiez</v>
      </c>
      <c r="C212" s="333">
        <f>'B) D RI'!S213</f>
        <v>76</v>
      </c>
      <c r="D212" s="214">
        <f>'B) D RI'!AR213</f>
        <v>308</v>
      </c>
      <c r="E212" s="219">
        <f>'D) Ecrêtage'!M211</f>
        <v>9274.0430263157905</v>
      </c>
      <c r="F212" s="222">
        <f>'E) Fact soc'!G217</f>
        <v>147868.00441222131</v>
      </c>
      <c r="G212" s="222">
        <f>'H) Péréquation directe'!I222</f>
        <v>42987.347446657019</v>
      </c>
      <c r="H212" s="222">
        <f>'I) Dépenses thématiques'!O211</f>
        <v>-28777.31502586764</v>
      </c>
      <c r="I212" s="222">
        <f>'K) Plafonnement aide'!J211</f>
        <v>0</v>
      </c>
      <c r="J212" s="222">
        <f>'J) Plafonnement effort'!I211</f>
        <v>0</v>
      </c>
      <c r="K212" s="222">
        <f>'L) Plafonnement taux'!Q212</f>
        <v>0</v>
      </c>
      <c r="L212" s="307">
        <f t="shared" si="6"/>
        <v>162078.0368330107</v>
      </c>
      <c r="M212" s="307">
        <f>'M) Police'!O212</f>
        <v>29757.427520010402</v>
      </c>
      <c r="N212" s="307">
        <f t="shared" si="9"/>
        <v>191835.46435302112</v>
      </c>
      <c r="P212" s="380"/>
    </row>
    <row r="213" spans="1:16" s="215" customFormat="1" x14ac:dyDescent="0.25">
      <c r="A213" s="212">
        <f>'B) D RI'!A214</f>
        <v>5743</v>
      </c>
      <c r="B213" s="213" t="str">
        <f>'B) D RI'!B214</f>
        <v>Arnex-sur-Orbe</v>
      </c>
      <c r="C213" s="333">
        <f>'B) D RI'!S214</f>
        <v>73</v>
      </c>
      <c r="D213" s="214">
        <f>'B) D RI'!AR214</f>
        <v>625</v>
      </c>
      <c r="E213" s="219">
        <f>'D) Ecrêtage'!M212</f>
        <v>17348.834349315071</v>
      </c>
      <c r="F213" s="222">
        <f>'E) Fact soc'!G218</f>
        <v>311392.30298334977</v>
      </c>
      <c r="G213" s="222">
        <f>'H) Péréquation directe'!I223</f>
        <v>44278.968268037541</v>
      </c>
      <c r="H213" s="222">
        <f>'I) Dépenses thématiques'!O212</f>
        <v>-53042.202690488128</v>
      </c>
      <c r="I213" s="222">
        <f>'K) Plafonnement aide'!J212</f>
        <v>0</v>
      </c>
      <c r="J213" s="222">
        <f>'J) Plafonnement effort'!I212</f>
        <v>0</v>
      </c>
      <c r="K213" s="222">
        <f>'L) Plafonnement taux'!Q213</f>
        <v>0</v>
      </c>
      <c r="L213" s="307">
        <f t="shared" si="6"/>
        <v>302629.06856089918</v>
      </c>
      <c r="M213" s="307">
        <f>'M) Police'!O213</f>
        <v>55973.023402599691</v>
      </c>
      <c r="N213" s="307">
        <f t="shared" si="9"/>
        <v>358602.09196349885</v>
      </c>
      <c r="P213" s="380"/>
    </row>
    <row r="214" spans="1:16" s="215" customFormat="1" x14ac:dyDescent="0.25">
      <c r="A214" s="212">
        <f>'B) D RI'!A215</f>
        <v>5744</v>
      </c>
      <c r="B214" s="213" t="str">
        <f>'B) D RI'!B215</f>
        <v>Ballaigues</v>
      </c>
      <c r="C214" s="333">
        <f>'B) D RI'!S215</f>
        <v>66</v>
      </c>
      <c r="D214" s="214">
        <f>'B) D RI'!AR215</f>
        <v>1069</v>
      </c>
      <c r="E214" s="219">
        <f>'D) Ecrêtage'!M213</f>
        <v>53212.458333333336</v>
      </c>
      <c r="F214" s="222">
        <f>'E) Fact soc'!G219</f>
        <v>1098975.0407234184</v>
      </c>
      <c r="G214" s="222">
        <f>'H) Péréquation directe'!I224</f>
        <v>866207.3140271774</v>
      </c>
      <c r="H214" s="222">
        <f>'I) Dépenses thématiques'!O213</f>
        <v>-412897.87182675756</v>
      </c>
      <c r="I214" s="222">
        <f>'K) Plafonnement aide'!J213</f>
        <v>0</v>
      </c>
      <c r="J214" s="222">
        <f>'J) Plafonnement effort'!I213</f>
        <v>0</v>
      </c>
      <c r="K214" s="222">
        <f>'L) Plafonnement taux'!Q214</f>
        <v>0</v>
      </c>
      <c r="L214" s="307">
        <f t="shared" si="6"/>
        <v>1552284.4829238383</v>
      </c>
      <c r="M214" s="307">
        <f>'M) Police'!O214</f>
        <v>161934.93429881794</v>
      </c>
      <c r="N214" s="307">
        <f t="shared" si="9"/>
        <v>1714219.4172226563</v>
      </c>
      <c r="P214" s="380"/>
    </row>
    <row r="215" spans="1:16" s="215" customFormat="1" x14ac:dyDescent="0.25">
      <c r="A215" s="212">
        <f>'B) D RI'!A216</f>
        <v>5745</v>
      </c>
      <c r="B215" s="213" t="str">
        <f>'B) D RI'!B216</f>
        <v>Baulmes</v>
      </c>
      <c r="C215" s="333">
        <f>'B) D RI'!S216</f>
        <v>78</v>
      </c>
      <c r="D215" s="214">
        <f>'B) D RI'!AR216</f>
        <v>1034</v>
      </c>
      <c r="E215" s="219">
        <f>'D) Ecrêtage'!M214</f>
        <v>27522.151666666668</v>
      </c>
      <c r="F215" s="222">
        <f>'E) Fact soc'!G220</f>
        <v>519988.36446226499</v>
      </c>
      <c r="G215" s="222">
        <f>'H) Péréquation directe'!I225</f>
        <v>-36335.936577207292</v>
      </c>
      <c r="H215" s="222">
        <f>'I) Dépenses thématiques'!O214</f>
        <v>-306219.89791546215</v>
      </c>
      <c r="I215" s="222">
        <f>'K) Plafonnement aide'!J214</f>
        <v>0</v>
      </c>
      <c r="J215" s="222">
        <f>'J) Plafonnement effort'!I214</f>
        <v>0</v>
      </c>
      <c r="K215" s="222">
        <f>'L) Plafonnement taux'!Q215</f>
        <v>0</v>
      </c>
      <c r="L215" s="307">
        <f t="shared" si="6"/>
        <v>177432.52996959555</v>
      </c>
      <c r="M215" s="307">
        <f>'M) Police'!O215</f>
        <v>88920.880831823801</v>
      </c>
      <c r="N215" s="307">
        <f t="shared" si="9"/>
        <v>266353.41080141935</v>
      </c>
      <c r="P215" s="380"/>
    </row>
    <row r="216" spans="1:16" s="215" customFormat="1" x14ac:dyDescent="0.25">
      <c r="A216" s="212">
        <f>'B) D RI'!A217</f>
        <v>5746</v>
      </c>
      <c r="B216" s="213" t="str">
        <f>'B) D RI'!B217</f>
        <v>Bavois</v>
      </c>
      <c r="C216" s="333">
        <f>'B) D RI'!S217</f>
        <v>73</v>
      </c>
      <c r="D216" s="214">
        <f>'B) D RI'!AR217</f>
        <v>939</v>
      </c>
      <c r="E216" s="219">
        <f>'D) Ecrêtage'!M215</f>
        <v>23930.083584474884</v>
      </c>
      <c r="F216" s="222">
        <f>'E) Fact soc'!G221</f>
        <v>439401.07500116469</v>
      </c>
      <c r="G216" s="222">
        <f>'H) Péréquation directe'!I226</f>
        <v>-18394.732021554315</v>
      </c>
      <c r="H216" s="222">
        <f>'I) Dépenses thématiques'!O215</f>
        <v>-180227.26001525723</v>
      </c>
      <c r="I216" s="222">
        <f>'K) Plafonnement aide'!J215</f>
        <v>0</v>
      </c>
      <c r="J216" s="222">
        <f>'J) Plafonnement effort'!I215</f>
        <v>0</v>
      </c>
      <c r="K216" s="222">
        <f>'L) Plafonnement taux'!Q216</f>
        <v>0</v>
      </c>
      <c r="L216" s="307">
        <f t="shared" si="6"/>
        <v>240779.08296435315</v>
      </c>
      <c r="M216" s="307">
        <f>'M) Police'!O216</f>
        <v>75698.972656544633</v>
      </c>
      <c r="N216" s="307">
        <f t="shared" si="9"/>
        <v>316478.05562089779</v>
      </c>
      <c r="P216" s="380"/>
    </row>
    <row r="217" spans="1:16" s="215" customFormat="1" x14ac:dyDescent="0.25">
      <c r="A217" s="212">
        <f>'B) D RI'!A218</f>
        <v>5747</v>
      </c>
      <c r="B217" s="213" t="str">
        <f>'B) D RI'!B218</f>
        <v>Bofflens</v>
      </c>
      <c r="C217" s="333">
        <f>'B) D RI'!S218</f>
        <v>69</v>
      </c>
      <c r="D217" s="214">
        <f>'B) D RI'!AR218</f>
        <v>187</v>
      </c>
      <c r="E217" s="219">
        <f>'D) Ecrêtage'!M216</f>
        <v>5183.441884057971</v>
      </c>
      <c r="F217" s="222">
        <f>'E) Fact soc'!G222</f>
        <v>87334.711014053464</v>
      </c>
      <c r="G217" s="222">
        <f>'H) Péréquation directe'!I227</f>
        <v>19872.13568706809</v>
      </c>
      <c r="H217" s="222">
        <f>'I) Dépenses thématiques'!O216</f>
        <v>-8169.3644062213198</v>
      </c>
      <c r="I217" s="222">
        <f>'K) Plafonnement aide'!J216</f>
        <v>0</v>
      </c>
      <c r="J217" s="222">
        <f>'J) Plafonnement effort'!I216</f>
        <v>0</v>
      </c>
      <c r="K217" s="222">
        <f>'L) Plafonnement taux'!Q217</f>
        <v>0</v>
      </c>
      <c r="L217" s="307">
        <f t="shared" si="6"/>
        <v>99037.482294900241</v>
      </c>
      <c r="M217" s="307">
        <f>'M) Police'!O217</f>
        <v>16574.179037580048</v>
      </c>
      <c r="N217" s="307">
        <f t="shared" si="9"/>
        <v>115611.66133248029</v>
      </c>
      <c r="P217" s="380"/>
    </row>
    <row r="218" spans="1:16" s="215" customFormat="1" x14ac:dyDescent="0.25">
      <c r="A218" s="212">
        <f>'B) D RI'!A219</f>
        <v>5748</v>
      </c>
      <c r="B218" s="213" t="str">
        <f>'B) D RI'!B219</f>
        <v>Bretonnières</v>
      </c>
      <c r="C218" s="333">
        <f>'B) D RI'!S219</f>
        <v>72</v>
      </c>
      <c r="D218" s="214">
        <f>'B) D RI'!AR219</f>
        <v>252</v>
      </c>
      <c r="E218" s="219">
        <f>'D) Ecrêtage'!M217</f>
        <v>6140.8540277777784</v>
      </c>
      <c r="F218" s="222">
        <f>'E) Fact soc'!G223</f>
        <v>121384.86712763886</v>
      </c>
      <c r="G218" s="222">
        <f>'H) Péréquation directe'!I228</f>
        <v>-13259.55812648109</v>
      </c>
      <c r="H218" s="222">
        <f>'I) Dépenses thématiques'!O217</f>
        <v>-46790.473303760999</v>
      </c>
      <c r="I218" s="222">
        <f>'K) Plafonnement aide'!J217</f>
        <v>0</v>
      </c>
      <c r="J218" s="222">
        <f>'J) Plafonnement effort'!I217</f>
        <v>0</v>
      </c>
      <c r="K218" s="222">
        <f>'L) Plafonnement taux'!Q218</f>
        <v>0</v>
      </c>
      <c r="L218" s="307">
        <f t="shared" si="6"/>
        <v>61334.835697396775</v>
      </c>
      <c r="M218" s="307">
        <f>'M) Police'!O218</f>
        <v>19638.068941715217</v>
      </c>
      <c r="N218" s="307">
        <f t="shared" si="9"/>
        <v>80972.904639111992</v>
      </c>
      <c r="P218" s="380"/>
    </row>
    <row r="219" spans="1:16" s="215" customFormat="1" x14ac:dyDescent="0.25">
      <c r="A219" s="212">
        <f>'B) D RI'!A220</f>
        <v>5749</v>
      </c>
      <c r="B219" s="213" t="str">
        <f>'B) D RI'!B220</f>
        <v>Chavornay</v>
      </c>
      <c r="C219" s="333">
        <f>'B) D RI'!S220</f>
        <v>72.42</v>
      </c>
      <c r="D219" s="214">
        <f>'B) D RI'!AR220</f>
        <v>4672</v>
      </c>
      <c r="E219" s="219">
        <f>'D) Ecrêtage'!M218</f>
        <v>124346.92667771333</v>
      </c>
      <c r="F219" s="222">
        <f>'E) Fact soc'!G224</f>
        <v>2262350.7448085584</v>
      </c>
      <c r="G219" s="222">
        <f>'H) Péréquation directe'!I229</f>
        <v>-1011043.220508304</v>
      </c>
      <c r="H219" s="222">
        <f>'I) Dépenses thématiques'!O218</f>
        <v>-484646.01965837297</v>
      </c>
      <c r="I219" s="222">
        <f>'K) Plafonnement aide'!J218</f>
        <v>0</v>
      </c>
      <c r="J219" s="222">
        <f>'J) Plafonnement effort'!I218</f>
        <v>0</v>
      </c>
      <c r="K219" s="222">
        <f>'L) Plafonnement taux'!Q219</f>
        <v>0</v>
      </c>
      <c r="L219" s="307">
        <f t="shared" ref="L219" si="10">F219+G219+H219+I219+J219+K219</f>
        <v>766661.50464188145</v>
      </c>
      <c r="M219" s="307">
        <f>'M) Police'!O219</f>
        <v>396344.40735227708</v>
      </c>
      <c r="N219" s="307">
        <f t="shared" ref="N219" si="11">L219+M219</f>
        <v>1163005.9119941585</v>
      </c>
      <c r="P219" s="380"/>
    </row>
    <row r="220" spans="1:16" s="215" customFormat="1" x14ac:dyDescent="0.25">
      <c r="A220" s="212">
        <f>'B) D RI'!A221</f>
        <v>5750</v>
      </c>
      <c r="B220" s="213" t="str">
        <f>'B) D RI'!B221</f>
        <v>Les Clées</v>
      </c>
      <c r="C220" s="333">
        <f>'B) D RI'!S221</f>
        <v>80</v>
      </c>
      <c r="D220" s="214">
        <f>'B) D RI'!AR221</f>
        <v>186</v>
      </c>
      <c r="E220" s="219">
        <f>'D) Ecrêtage'!M219</f>
        <v>4366.1146666666664</v>
      </c>
      <c r="F220" s="222">
        <f>'E) Fact soc'!G225</f>
        <v>73584.683406702039</v>
      </c>
      <c r="G220" s="222">
        <f>'H) Péréquation directe'!I230</f>
        <v>-34854.564002883009</v>
      </c>
      <c r="H220" s="222">
        <f>'I) Dépenses thématiques'!O219</f>
        <v>-29958.115672519027</v>
      </c>
      <c r="I220" s="222">
        <f>'K) Plafonnement aide'!J219</f>
        <v>0</v>
      </c>
      <c r="J220" s="222">
        <f>'J) Plafonnement effort'!I219</f>
        <v>0</v>
      </c>
      <c r="K220" s="222">
        <f>'L) Plafonnement taux'!Q220</f>
        <v>0</v>
      </c>
      <c r="L220" s="307">
        <f t="shared" si="6"/>
        <v>8772.003731300003</v>
      </c>
      <c r="M220" s="307">
        <f>'M) Police'!O220</f>
        <v>14073.163396701866</v>
      </c>
      <c r="N220" s="307">
        <f t="shared" si="9"/>
        <v>22845.167128001871</v>
      </c>
      <c r="P220" s="380"/>
    </row>
    <row r="221" spans="1:16" s="215" customFormat="1" x14ac:dyDescent="0.25">
      <c r="A221" s="212">
        <f>'B) D RI'!A222</f>
        <v>5752</v>
      </c>
      <c r="B221" s="213" t="str">
        <f>'B) D RI'!B222</f>
        <v>Croy</v>
      </c>
      <c r="C221" s="333">
        <f>'B) D RI'!S222</f>
        <v>74</v>
      </c>
      <c r="D221" s="214">
        <f>'B) D RI'!AR222</f>
        <v>335</v>
      </c>
      <c r="E221" s="219">
        <f>'D) Ecrêtage'!M220</f>
        <v>12886.326312741312</v>
      </c>
      <c r="F221" s="222">
        <f>'E) Fact soc'!G226</f>
        <v>243221.05909964745</v>
      </c>
      <c r="G221" s="222">
        <f>'H) Péréquation directe'!I231</f>
        <v>165331.58525780376</v>
      </c>
      <c r="H221" s="222">
        <f>'I) Dépenses thématiques'!O220</f>
        <v>-299699.43352905393</v>
      </c>
      <c r="I221" s="222">
        <f>'K) Plafonnement aide'!J220</f>
        <v>0</v>
      </c>
      <c r="J221" s="222">
        <f>'J) Plafonnement effort'!I220</f>
        <v>0</v>
      </c>
      <c r="K221" s="222">
        <f>'L) Plafonnement taux'!Q221</f>
        <v>0</v>
      </c>
      <c r="L221" s="307">
        <f t="shared" ref="L221:L265" si="12">F221+G221+H221+I221+J221+K221</f>
        <v>108853.21082839731</v>
      </c>
      <c r="M221" s="307">
        <f>'M) Police'!O221</f>
        <v>41896.086331234357</v>
      </c>
      <c r="N221" s="307">
        <f t="shared" si="9"/>
        <v>150749.29715963168</v>
      </c>
      <c r="P221" s="380"/>
    </row>
    <row r="222" spans="1:16" s="215" customFormat="1" x14ac:dyDescent="0.25">
      <c r="A222" s="212">
        <f>'B) D RI'!A223</f>
        <v>5754</v>
      </c>
      <c r="B222" s="213" t="str">
        <f>'B) D RI'!B223</f>
        <v>Juriens</v>
      </c>
      <c r="C222" s="333">
        <f>'B) D RI'!S223</f>
        <v>79</v>
      </c>
      <c r="D222" s="214">
        <f>'B) D RI'!AR223</f>
        <v>302</v>
      </c>
      <c r="E222" s="219">
        <f>'D) Ecrêtage'!M221</f>
        <v>6475.8115189873415</v>
      </c>
      <c r="F222" s="222">
        <f>'E) Fact soc'!G227</f>
        <v>119394.06790567972</v>
      </c>
      <c r="G222" s="222">
        <f>'H) Péréquation directe'!I232</f>
        <v>-79273.367150787788</v>
      </c>
      <c r="H222" s="222">
        <f>'I) Dépenses thématiques'!O221</f>
        <v>-33424.740186891308</v>
      </c>
      <c r="I222" s="222">
        <f>'K) Plafonnement aide'!J221</f>
        <v>0</v>
      </c>
      <c r="J222" s="222">
        <f>'J) Plafonnement effort'!I221</f>
        <v>0</v>
      </c>
      <c r="K222" s="222">
        <f>'L) Plafonnement taux'!Q222</f>
        <v>0</v>
      </c>
      <c r="L222" s="307">
        <f t="shared" si="12"/>
        <v>6695.960568000628</v>
      </c>
      <c r="M222" s="307">
        <f>'M) Police'!O222</f>
        <v>20702.687124639517</v>
      </c>
      <c r="N222" s="307">
        <f t="shared" si="9"/>
        <v>27398.647692640145</v>
      </c>
      <c r="P222" s="380"/>
    </row>
    <row r="223" spans="1:16" s="215" customFormat="1" x14ac:dyDescent="0.25">
      <c r="A223" s="212">
        <f>'B) D RI'!A224</f>
        <v>5755</v>
      </c>
      <c r="B223" s="213" t="str">
        <f>'B) D RI'!B224</f>
        <v>Lignerolle</v>
      </c>
      <c r="C223" s="333">
        <f>'B) D RI'!S224</f>
        <v>81</v>
      </c>
      <c r="D223" s="214">
        <f>'B) D RI'!AR224</f>
        <v>394</v>
      </c>
      <c r="E223" s="219">
        <f>'D) Ecrêtage'!M222</f>
        <v>8871.4906525573169</v>
      </c>
      <c r="F223" s="222">
        <f>'E) Fact soc'!G228</f>
        <v>179489.16426014414</v>
      </c>
      <c r="G223" s="222">
        <f>'H) Péréquation directe'!I233</f>
        <v>-95883.173371916928</v>
      </c>
      <c r="H223" s="222">
        <f>'I) Dépenses thématiques'!O222</f>
        <v>-291042.23923238885</v>
      </c>
      <c r="I223" s="222">
        <f>'K) Plafonnement aide'!J222</f>
        <v>0</v>
      </c>
      <c r="J223" s="222">
        <f>'J) Plafonnement effort'!I222</f>
        <v>0</v>
      </c>
      <c r="K223" s="222">
        <f>'L) Plafonnement taux'!Q223</f>
        <v>0</v>
      </c>
      <c r="L223" s="307">
        <f t="shared" si="12"/>
        <v>-207436.24834416164</v>
      </c>
      <c r="M223" s="307">
        <f>'M) Police'!O223</f>
        <v>28447.925283172219</v>
      </c>
      <c r="N223" s="307">
        <f t="shared" si="9"/>
        <v>-178988.32306098941</v>
      </c>
      <c r="P223" s="380"/>
    </row>
    <row r="224" spans="1:16" s="215" customFormat="1" x14ac:dyDescent="0.25">
      <c r="A224" s="212">
        <f>'B) D RI'!A225</f>
        <v>5756</v>
      </c>
      <c r="B224" s="213" t="str">
        <f>'B) D RI'!B225</f>
        <v>Montcherand</v>
      </c>
      <c r="C224" s="333">
        <f>'B) D RI'!S225</f>
        <v>69</v>
      </c>
      <c r="D224" s="214">
        <f>'B) D RI'!AR225</f>
        <v>474</v>
      </c>
      <c r="E224" s="219">
        <f>'D) Ecrêtage'!M223</f>
        <v>14808.245169082125</v>
      </c>
      <c r="F224" s="222">
        <f>'E) Fact soc'!G229</f>
        <v>263544.77071191696</v>
      </c>
      <c r="G224" s="222">
        <f>'H) Péréquation directe'!I234</f>
        <v>113009.34966355184</v>
      </c>
      <c r="H224" s="222">
        <f>'I) Dépenses thématiques'!O223</f>
        <v>-59207.546867325153</v>
      </c>
      <c r="I224" s="222">
        <f>'K) Plafonnement aide'!J223</f>
        <v>0</v>
      </c>
      <c r="J224" s="222">
        <f>'J) Plafonnement effort'!I223</f>
        <v>0</v>
      </c>
      <c r="K224" s="222">
        <f>'L) Plafonnement taux'!Q224</f>
        <v>0</v>
      </c>
      <c r="L224" s="307">
        <f t="shared" si="12"/>
        <v>317346.57350814366</v>
      </c>
      <c r="M224" s="307">
        <f>'M) Police'!O224</f>
        <v>19879.567879319759</v>
      </c>
      <c r="N224" s="307">
        <f t="shared" si="9"/>
        <v>337226.14138746343</v>
      </c>
      <c r="P224" s="380"/>
    </row>
    <row r="225" spans="1:16" s="215" customFormat="1" x14ac:dyDescent="0.25">
      <c r="A225" s="212">
        <f>'B) D RI'!A226</f>
        <v>5757</v>
      </c>
      <c r="B225" s="213" t="str">
        <f>'B) D RI'!B226</f>
        <v>Orbe</v>
      </c>
      <c r="C225" s="333">
        <f>'B) D RI'!S226</f>
        <v>72</v>
      </c>
      <c r="D225" s="214">
        <f>'B) D RI'!AR226</f>
        <v>6767</v>
      </c>
      <c r="E225" s="219">
        <f>'D) Ecrêtage'!M224</f>
        <v>210430.38166666671</v>
      </c>
      <c r="F225" s="222">
        <f>'E) Fact soc'!G230</f>
        <v>4500300.8506862083</v>
      </c>
      <c r="G225" s="222">
        <f>'H) Péréquation directe'!I235</f>
        <v>-732770.0452782549</v>
      </c>
      <c r="H225" s="222">
        <f>'I) Dépenses thématiques'!O224</f>
        <v>-1721957.7805490347</v>
      </c>
      <c r="I225" s="222">
        <f>'K) Plafonnement aide'!J224</f>
        <v>0</v>
      </c>
      <c r="J225" s="222">
        <f>'J) Plafonnement effort'!I224</f>
        <v>0</v>
      </c>
      <c r="K225" s="222">
        <f>'L) Plafonnement taux'!Q225</f>
        <v>0</v>
      </c>
      <c r="L225" s="307">
        <f t="shared" si="12"/>
        <v>2045573.0248589187</v>
      </c>
      <c r="M225" s="307">
        <f>'M) Police'!O225</f>
        <v>282495.66430381843</v>
      </c>
      <c r="N225" s="307">
        <f t="shared" si="9"/>
        <v>2328068.6891627372</v>
      </c>
      <c r="P225" s="380"/>
    </row>
    <row r="226" spans="1:16" s="215" customFormat="1" x14ac:dyDescent="0.25">
      <c r="A226" s="212">
        <f>'B) D RI'!A227</f>
        <v>5758</v>
      </c>
      <c r="B226" s="213" t="str">
        <f>'B) D RI'!B227</f>
        <v>La Praz</v>
      </c>
      <c r="C226" s="333">
        <f>'B) D RI'!S227</f>
        <v>83</v>
      </c>
      <c r="D226" s="214">
        <f>'B) D RI'!AR227</f>
        <v>160</v>
      </c>
      <c r="E226" s="219">
        <f>'D) Ecrêtage'!M225</f>
        <v>3864.2083668005353</v>
      </c>
      <c r="F226" s="222">
        <f>'E) Fact soc'!G231</f>
        <v>66315.441727133613</v>
      </c>
      <c r="G226" s="222">
        <f>'H) Péréquation directe'!I236</f>
        <v>-31412.239480143398</v>
      </c>
      <c r="H226" s="222">
        <f>'I) Dépenses thématiques'!O225</f>
        <v>-33622.09036236602</v>
      </c>
      <c r="I226" s="222">
        <f>'K) Plafonnement aide'!J225</f>
        <v>0</v>
      </c>
      <c r="J226" s="222">
        <f>'J) Plafonnement effort'!I225</f>
        <v>0</v>
      </c>
      <c r="K226" s="222">
        <f>'L) Plafonnement taux'!Q226</f>
        <v>0</v>
      </c>
      <c r="L226" s="307">
        <f t="shared" si="12"/>
        <v>1281.1118846241952</v>
      </c>
      <c r="M226" s="307">
        <f>'M) Police'!O226</f>
        <v>12388.276157611899</v>
      </c>
      <c r="N226" s="307">
        <f t="shared" si="9"/>
        <v>13669.388042236094</v>
      </c>
      <c r="P226" s="380"/>
    </row>
    <row r="227" spans="1:16" s="215" customFormat="1" x14ac:dyDescent="0.25">
      <c r="A227" s="212">
        <f>'B) D RI'!A228</f>
        <v>5759</v>
      </c>
      <c r="B227" s="213" t="str">
        <f>'B) D RI'!B228</f>
        <v>Premier</v>
      </c>
      <c r="C227" s="333">
        <f>'B) D RI'!S228</f>
        <v>81</v>
      </c>
      <c r="D227" s="214">
        <f>'B) D RI'!AR228</f>
        <v>185</v>
      </c>
      <c r="E227" s="219">
        <f>'D) Ecrêtage'!M226</f>
        <v>4558.7250617283944</v>
      </c>
      <c r="F227" s="222">
        <f>'E) Fact soc'!G232</f>
        <v>81212.521702802289</v>
      </c>
      <c r="G227" s="222">
        <f>'H) Péréquation directe'!I237</f>
        <v>-27455.075632659922</v>
      </c>
      <c r="H227" s="222">
        <f>'I) Dépenses thématiques'!O226</f>
        <v>-43680.526171920996</v>
      </c>
      <c r="I227" s="222">
        <f>'K) Plafonnement aide'!J226</f>
        <v>0</v>
      </c>
      <c r="J227" s="222">
        <f>'J) Plafonnement effort'!I226</f>
        <v>0</v>
      </c>
      <c r="K227" s="222">
        <f>'L) Plafonnement taux'!Q227</f>
        <v>0</v>
      </c>
      <c r="L227" s="307">
        <f t="shared" si="12"/>
        <v>10076.919898221371</v>
      </c>
      <c r="M227" s="307">
        <f>'M) Police'!O227</f>
        <v>14607.278032813674</v>
      </c>
      <c r="N227" s="307">
        <f t="shared" si="9"/>
        <v>24684.197931035043</v>
      </c>
      <c r="P227" s="380"/>
    </row>
    <row r="228" spans="1:16" s="215" customFormat="1" x14ac:dyDescent="0.25">
      <c r="A228" s="212">
        <f>'B) D RI'!A229</f>
        <v>5760</v>
      </c>
      <c r="B228" s="213" t="str">
        <f>'B) D RI'!B229</f>
        <v>Rances</v>
      </c>
      <c r="C228" s="333">
        <f>'B) D RI'!S229</f>
        <v>78</v>
      </c>
      <c r="D228" s="214">
        <f>'B) D RI'!AR229</f>
        <v>460</v>
      </c>
      <c r="E228" s="219">
        <f>'D) Ecrêtage'!M227</f>
        <v>11470.274871794873</v>
      </c>
      <c r="F228" s="222">
        <f>'E) Fact soc'!G233</f>
        <v>203291.77336548912</v>
      </c>
      <c r="G228" s="222">
        <f>'H) Péréquation directe'!I238</f>
        <v>-45517.711535146635</v>
      </c>
      <c r="H228" s="222">
        <f>'I) Dépenses thématiques'!O227</f>
        <v>-161064.4194082118</v>
      </c>
      <c r="I228" s="222">
        <f>'K) Plafonnement aide'!J227</f>
        <v>0</v>
      </c>
      <c r="J228" s="222">
        <f>'J) Plafonnement effort'!I227</f>
        <v>0</v>
      </c>
      <c r="K228" s="222">
        <f>'L) Plafonnement taux'!Q228</f>
        <v>0</v>
      </c>
      <c r="L228" s="307">
        <f t="shared" si="12"/>
        <v>-3290.3575778693194</v>
      </c>
      <c r="M228" s="307">
        <f>'M) Police'!O228</f>
        <v>36812.643950876489</v>
      </c>
      <c r="N228" s="307">
        <f t="shared" si="9"/>
        <v>33522.286373007169</v>
      </c>
      <c r="P228" s="380"/>
    </row>
    <row r="229" spans="1:16" s="215" customFormat="1" x14ac:dyDescent="0.25">
      <c r="A229" s="212">
        <f>'B) D RI'!A230</f>
        <v>5761</v>
      </c>
      <c r="B229" s="213" t="str">
        <f>'B) D RI'!B230</f>
        <v>Romainmôtier-Envy</v>
      </c>
      <c r="C229" s="333">
        <f>'B) D RI'!S230</f>
        <v>76</v>
      </c>
      <c r="D229" s="214">
        <f>'B) D RI'!AR230</f>
        <v>525</v>
      </c>
      <c r="E229" s="219">
        <f>'D) Ecrêtage'!M228</f>
        <v>11347.35572368421</v>
      </c>
      <c r="F229" s="222">
        <f>'E) Fact soc'!G234</f>
        <v>218894.16937877104</v>
      </c>
      <c r="G229" s="222">
        <f>'H) Péréquation directe'!I239</f>
        <v>-112093.96198846743</v>
      </c>
      <c r="H229" s="222">
        <f>'I) Dépenses thématiques'!O228</f>
        <v>-72001.900001671267</v>
      </c>
      <c r="I229" s="222">
        <f>'K) Plafonnement aide'!J228</f>
        <v>0</v>
      </c>
      <c r="J229" s="222">
        <f>'J) Plafonnement effort'!I228</f>
        <v>0</v>
      </c>
      <c r="K229" s="222">
        <f>'L) Plafonnement taux'!Q229</f>
        <v>0</v>
      </c>
      <c r="L229" s="307">
        <f t="shared" si="12"/>
        <v>34798.30738863234</v>
      </c>
      <c r="M229" s="307">
        <f>'M) Police'!O229</f>
        <v>35966.767529179167</v>
      </c>
      <c r="N229" s="307">
        <f t="shared" si="9"/>
        <v>70765.074917811507</v>
      </c>
      <c r="P229" s="380"/>
    </row>
    <row r="230" spans="1:16" s="215" customFormat="1" x14ac:dyDescent="0.25">
      <c r="A230" s="212">
        <f>'B) D RI'!A231</f>
        <v>5762</v>
      </c>
      <c r="B230" s="213" t="str">
        <f>'B) D RI'!B231</f>
        <v>Sergey</v>
      </c>
      <c r="C230" s="333">
        <f>'B) D RI'!S231</f>
        <v>81</v>
      </c>
      <c r="D230" s="214">
        <f>'B) D RI'!AR231</f>
        <v>144</v>
      </c>
      <c r="E230" s="219">
        <f>'D) Ecrêtage'!M229</f>
        <v>3104.8092592592593</v>
      </c>
      <c r="F230" s="222">
        <f>'E) Fact soc'!G235</f>
        <v>49445.562021432983</v>
      </c>
      <c r="G230" s="222">
        <f>'H) Péréquation directe'!I240</f>
        <v>-41189.574960117061</v>
      </c>
      <c r="H230" s="222">
        <f>'I) Dépenses thématiques'!O229</f>
        <v>-7296.343601205378</v>
      </c>
      <c r="I230" s="222">
        <f>'K) Plafonnement aide'!J229</f>
        <v>0</v>
      </c>
      <c r="J230" s="222">
        <f>'J) Plafonnement effort'!I229</f>
        <v>0</v>
      </c>
      <c r="K230" s="222">
        <f>'L) Plafonnement taux'!Q230</f>
        <v>0</v>
      </c>
      <c r="L230" s="307">
        <f t="shared" si="12"/>
        <v>959.64346011054386</v>
      </c>
      <c r="M230" s="307">
        <f>'M) Police'!O230</f>
        <v>9929.9642954999035</v>
      </c>
      <c r="N230" s="307">
        <f t="shared" si="9"/>
        <v>10889.607755610446</v>
      </c>
      <c r="P230" s="380"/>
    </row>
    <row r="231" spans="1:16" s="215" customFormat="1" x14ac:dyDescent="0.25">
      <c r="A231" s="212">
        <f>'B) D RI'!A232</f>
        <v>5763</v>
      </c>
      <c r="B231" s="213" t="str">
        <f>'B) D RI'!B232</f>
        <v>Valeyres-sous-Rances</v>
      </c>
      <c r="C231" s="333">
        <f>'B) D RI'!S232</f>
        <v>68</v>
      </c>
      <c r="D231" s="214">
        <f>'B) D RI'!AR232</f>
        <v>600</v>
      </c>
      <c r="E231" s="219">
        <f>'D) Ecrêtage'!M230</f>
        <v>16129.151764705883</v>
      </c>
      <c r="F231" s="222">
        <f>'E) Fact soc'!G236</f>
        <v>307764.98864502372</v>
      </c>
      <c r="G231" s="222">
        <f>'H) Péréquation directe'!I241</f>
        <v>50543.292259987764</v>
      </c>
      <c r="H231" s="222">
        <f>'I) Dépenses thématiques'!O230</f>
        <v>-116985.05152811774</v>
      </c>
      <c r="I231" s="222">
        <f>'K) Plafonnement aide'!J230</f>
        <v>0</v>
      </c>
      <c r="J231" s="222">
        <f>'J) Plafonnement effort'!I230</f>
        <v>0</v>
      </c>
      <c r="K231" s="222">
        <f>'L) Plafonnement taux'!Q231</f>
        <v>0</v>
      </c>
      <c r="L231" s="307">
        <f t="shared" si="12"/>
        <v>241323.22937689372</v>
      </c>
      <c r="M231" s="307">
        <f>'M) Police'!O231</f>
        <v>51536.521741748824</v>
      </c>
      <c r="N231" s="307">
        <f t="shared" si="9"/>
        <v>292859.75111864257</v>
      </c>
      <c r="P231" s="380"/>
    </row>
    <row r="232" spans="1:16" s="215" customFormat="1" x14ac:dyDescent="0.25">
      <c r="A232" s="212">
        <f>'B) D RI'!A233</f>
        <v>5764</v>
      </c>
      <c r="B232" s="213" t="str">
        <f>'B) D RI'!B233</f>
        <v>Vallorbe</v>
      </c>
      <c r="C232" s="333">
        <f>'B) D RI'!S233</f>
        <v>74</v>
      </c>
      <c r="D232" s="214">
        <f>'B) D RI'!AR233</f>
        <v>3650</v>
      </c>
      <c r="E232" s="219">
        <f>'D) Ecrêtage'!M231</f>
        <v>84393.993513513502</v>
      </c>
      <c r="F232" s="222">
        <f>'E) Fact soc'!G237</f>
        <v>2225024.065690083</v>
      </c>
      <c r="G232" s="222">
        <f>'H) Péréquation directe'!I242</f>
        <v>-1211687.2074745591</v>
      </c>
      <c r="H232" s="222">
        <f>'I) Dépenses thématiques'!O231</f>
        <v>-1522767.3680849413</v>
      </c>
      <c r="I232" s="222">
        <f>'K) Plafonnement aide'!J231</f>
        <v>0</v>
      </c>
      <c r="J232" s="222">
        <f>'J) Plafonnement effort'!I231</f>
        <v>0</v>
      </c>
      <c r="K232" s="222">
        <f>'L) Plafonnement taux'!Q232</f>
        <v>0</v>
      </c>
      <c r="L232" s="307">
        <f t="shared" si="12"/>
        <v>-509430.50986941741</v>
      </c>
      <c r="M232" s="307">
        <f>'M) Police'!O232</f>
        <v>271307.81657611748</v>
      </c>
      <c r="N232" s="307">
        <f t="shared" si="9"/>
        <v>-238122.69329329993</v>
      </c>
      <c r="P232" s="380"/>
    </row>
    <row r="233" spans="1:16" s="215" customFormat="1" x14ac:dyDescent="0.25">
      <c r="A233" s="212">
        <f>'B) D RI'!A234</f>
        <v>5765</v>
      </c>
      <c r="B233" s="213" t="str">
        <f>'B) D RI'!B234</f>
        <v>Vaulion</v>
      </c>
      <c r="C233" s="333">
        <f>'B) D RI'!S234</f>
        <v>81</v>
      </c>
      <c r="D233" s="214">
        <f>'B) D RI'!AR234</f>
        <v>491</v>
      </c>
      <c r="E233" s="219">
        <f>'D) Ecrêtage'!M232</f>
        <v>9305.5603703703709</v>
      </c>
      <c r="F233" s="222">
        <f>'E) Fact soc'!G238</f>
        <v>202026.61431023435</v>
      </c>
      <c r="G233" s="222">
        <f>'H) Péréquation directe'!I243</f>
        <v>-197675.93660405211</v>
      </c>
      <c r="H233" s="222">
        <f>'I) Dépenses thématiques'!O232</f>
        <v>-167610.1499188008</v>
      </c>
      <c r="I233" s="222">
        <f>'K) Plafonnement aide'!J232</f>
        <v>0</v>
      </c>
      <c r="J233" s="222">
        <f>'J) Plafonnement effort'!I232</f>
        <v>0</v>
      </c>
      <c r="K233" s="222">
        <f>'L) Plafonnement taux'!Q233</f>
        <v>0</v>
      </c>
      <c r="L233" s="307">
        <f t="shared" si="12"/>
        <v>-163259.47221261857</v>
      </c>
      <c r="M233" s="307">
        <f>'M) Police'!O233</f>
        <v>29709.414371230003</v>
      </c>
      <c r="N233" s="307">
        <f t="shared" si="9"/>
        <v>-133550.05784138857</v>
      </c>
      <c r="P233" s="380"/>
    </row>
    <row r="234" spans="1:16" s="215" customFormat="1" x14ac:dyDescent="0.25">
      <c r="A234" s="212">
        <f>'B) D RI'!A235</f>
        <v>5766</v>
      </c>
      <c r="B234" s="213" t="str">
        <f>'B) D RI'!B235</f>
        <v>Vuiteboeuf</v>
      </c>
      <c r="C234" s="333">
        <f>'B) D RI'!S235</f>
        <v>77</v>
      </c>
      <c r="D234" s="214">
        <f>'B) D RI'!AR235</f>
        <v>538</v>
      </c>
      <c r="E234" s="219">
        <f>'D) Ecrêtage'!M233</f>
        <v>11614.965899814471</v>
      </c>
      <c r="F234" s="222">
        <f>'E) Fact soc'!G239</f>
        <v>220235.52413524041</v>
      </c>
      <c r="G234" s="222">
        <f>'H) Péréquation directe'!I244</f>
        <v>-122790.93559132714</v>
      </c>
      <c r="H234" s="222">
        <f>'I) Dépenses thématiques'!O233</f>
        <v>-90991.965185484063</v>
      </c>
      <c r="I234" s="222">
        <f>'K) Plafonnement aide'!J233</f>
        <v>0</v>
      </c>
      <c r="J234" s="222">
        <f>'J) Plafonnement effort'!I233</f>
        <v>0</v>
      </c>
      <c r="K234" s="222">
        <f>'L) Plafonnement taux'!Q234</f>
        <v>0</v>
      </c>
      <c r="L234" s="307">
        <f t="shared" si="12"/>
        <v>6452.6233584292058</v>
      </c>
      <c r="M234" s="307">
        <f>'M) Police'!O234</f>
        <v>36964.04037124462</v>
      </c>
      <c r="N234" s="307">
        <f t="shared" si="9"/>
        <v>43416.663729673826</v>
      </c>
      <c r="P234" s="380"/>
    </row>
    <row r="235" spans="1:16" s="215" customFormat="1" x14ac:dyDescent="0.25">
      <c r="A235" s="212">
        <f>'B) D RI'!A236</f>
        <v>5785</v>
      </c>
      <c r="B235" s="213" t="str">
        <f>'B) D RI'!B236</f>
        <v>Corcelles-le-Jorat</v>
      </c>
      <c r="C235" s="333">
        <f>'B) D RI'!S236</f>
        <v>79</v>
      </c>
      <c r="D235" s="214">
        <f>'B) D RI'!AR236</f>
        <v>421</v>
      </c>
      <c r="E235" s="219">
        <f>'D) Ecrêtage'!M234</f>
        <v>12293.058354430379</v>
      </c>
      <c r="F235" s="222">
        <f>'E) Fact soc'!G240</f>
        <v>211182.65157050273</v>
      </c>
      <c r="G235" s="222">
        <f>'H) Péréquation directe'!I245</f>
        <v>31229.978076095314</v>
      </c>
      <c r="H235" s="222">
        <f>'I) Dépenses thématiques'!O234</f>
        <v>-104176.30511320528</v>
      </c>
      <c r="I235" s="222">
        <f>'K) Plafonnement aide'!J234</f>
        <v>0</v>
      </c>
      <c r="J235" s="222">
        <f>'J) Plafonnement effort'!I234</f>
        <v>0</v>
      </c>
      <c r="K235" s="222">
        <f>'L) Plafonnement taux'!Q235</f>
        <v>0</v>
      </c>
      <c r="L235" s="307">
        <f t="shared" si="12"/>
        <v>138236.32453339276</v>
      </c>
      <c r="M235" s="307">
        <f>'M) Police'!O235</f>
        <v>39445.855479399557</v>
      </c>
      <c r="N235" s="307">
        <f t="shared" si="9"/>
        <v>177682.18001279232</v>
      </c>
      <c r="P235" s="380"/>
    </row>
    <row r="236" spans="1:16" s="215" customFormat="1" x14ac:dyDescent="0.25">
      <c r="A236" s="212">
        <f>'B) D RI'!A237</f>
        <v>5788</v>
      </c>
      <c r="B236" s="213" t="str">
        <f>'B) D RI'!B237</f>
        <v>Essertes</v>
      </c>
      <c r="C236" s="333">
        <f>'B) D RI'!S237</f>
        <v>70</v>
      </c>
      <c r="D236" s="214">
        <f>'B) D RI'!AR237</f>
        <v>330</v>
      </c>
      <c r="E236" s="219">
        <f>'D) Ecrêtage'!M235</f>
        <v>10412.319857142857</v>
      </c>
      <c r="F236" s="222">
        <f>'E) Fact soc'!G241</f>
        <v>183364.16799234782</v>
      </c>
      <c r="G236" s="222">
        <f>'H) Péréquation directe'!I246</f>
        <v>80246.54778886975</v>
      </c>
      <c r="H236" s="222">
        <f>'I) Dépenses thématiques'!O235</f>
        <v>-42650.756319339867</v>
      </c>
      <c r="I236" s="222">
        <f>'K) Plafonnement aide'!J235</f>
        <v>0</v>
      </c>
      <c r="J236" s="222">
        <f>'J) Plafonnement effort'!I235</f>
        <v>0</v>
      </c>
      <c r="K236" s="222">
        <f>'L) Plafonnement taux'!Q236</f>
        <v>0</v>
      </c>
      <c r="L236" s="307">
        <f t="shared" si="12"/>
        <v>220959.9594618777</v>
      </c>
      <c r="M236" s="307">
        <f>'M) Police'!O236</f>
        <v>33233.7295218605</v>
      </c>
      <c r="N236" s="307">
        <f t="shared" si="9"/>
        <v>254193.68898373819</v>
      </c>
      <c r="P236" s="380"/>
    </row>
    <row r="237" spans="1:16" s="215" customFormat="1" x14ac:dyDescent="0.25">
      <c r="A237" s="212">
        <f>'B) D RI'!A238</f>
        <v>5790</v>
      </c>
      <c r="B237" s="213" t="str">
        <f>'B) D RI'!B238</f>
        <v>Maracon</v>
      </c>
      <c r="C237" s="333">
        <f>'B) D RI'!S238</f>
        <v>76</v>
      </c>
      <c r="D237" s="214">
        <f>'B) D RI'!AR238</f>
        <v>444</v>
      </c>
      <c r="E237" s="219">
        <f>'D) Ecrêtage'!M236</f>
        <v>12107.709078947366</v>
      </c>
      <c r="F237" s="222">
        <f>'E) Fact soc'!G242</f>
        <v>295622.0782696298</v>
      </c>
      <c r="G237" s="222">
        <f>'H) Péréquation directe'!I247</f>
        <v>9551.4063950945565</v>
      </c>
      <c r="H237" s="222">
        <f>'I) Dépenses thématiques'!O236</f>
        <v>-110549.99627530714</v>
      </c>
      <c r="I237" s="222">
        <f>'K) Plafonnement aide'!J236</f>
        <v>0</v>
      </c>
      <c r="J237" s="222">
        <f>'J) Plafonnement effort'!I236</f>
        <v>0</v>
      </c>
      <c r="K237" s="222">
        <f>'L) Plafonnement taux'!Q237</f>
        <v>0</v>
      </c>
      <c r="L237" s="307">
        <f t="shared" si="12"/>
        <v>194623.48838941718</v>
      </c>
      <c r="M237" s="307">
        <f>'M) Police'!O237</f>
        <v>38642.677486393201</v>
      </c>
      <c r="N237" s="307">
        <f t="shared" si="9"/>
        <v>233266.16587581037</v>
      </c>
      <c r="P237" s="380"/>
    </row>
    <row r="238" spans="1:16" s="215" customFormat="1" x14ac:dyDescent="0.25">
      <c r="A238" s="212">
        <f>'B) D RI'!A239</f>
        <v>5792</v>
      </c>
      <c r="B238" s="213" t="str">
        <f>'B) D RI'!B239</f>
        <v>Montpreveyres</v>
      </c>
      <c r="C238" s="333">
        <f>'B) D RI'!S239</f>
        <v>77</v>
      </c>
      <c r="D238" s="214">
        <f>'B) D RI'!AR239</f>
        <v>628</v>
      </c>
      <c r="E238" s="219">
        <f>'D) Ecrêtage'!M237</f>
        <v>19088.494155844161</v>
      </c>
      <c r="F238" s="222">
        <f>'E) Fact soc'!G243</f>
        <v>325395.3453943698</v>
      </c>
      <c r="G238" s="222">
        <f>'H) Péréquation directe'!I248</f>
        <v>89858.421785080805</v>
      </c>
      <c r="H238" s="222">
        <f>'I) Dépenses thématiques'!O237</f>
        <v>-110075.85312186874</v>
      </c>
      <c r="I238" s="222">
        <f>'K) Plafonnement aide'!J237</f>
        <v>0</v>
      </c>
      <c r="J238" s="222">
        <f>'J) Plafonnement effort'!I237</f>
        <v>0</v>
      </c>
      <c r="K238" s="222">
        <f>'L) Plafonnement taux'!Q238</f>
        <v>0</v>
      </c>
      <c r="L238" s="307">
        <f t="shared" si="12"/>
        <v>305177.91405758186</v>
      </c>
      <c r="M238" s="307">
        <f>'M) Police'!O238</f>
        <v>61195.588426140326</v>
      </c>
      <c r="N238" s="307">
        <f t="shared" si="9"/>
        <v>366373.50248372217</v>
      </c>
      <c r="P238" s="380"/>
    </row>
    <row r="239" spans="1:16" s="215" customFormat="1" x14ac:dyDescent="0.25">
      <c r="A239" s="212">
        <f>'B) D RI'!A240</f>
        <v>5798</v>
      </c>
      <c r="B239" s="213" t="str">
        <f>'B) D RI'!B240</f>
        <v>Ropraz</v>
      </c>
      <c r="C239" s="333">
        <f>'B) D RI'!S240</f>
        <v>77.5</v>
      </c>
      <c r="D239" s="214">
        <f>'B) D RI'!AR240</f>
        <v>405</v>
      </c>
      <c r="E239" s="219">
        <f>'D) Ecrêtage'!M238</f>
        <v>9558.3067096774193</v>
      </c>
      <c r="F239" s="222">
        <f>'E) Fact soc'!G244</f>
        <v>191754.87095531469</v>
      </c>
      <c r="G239" s="222">
        <f>'H) Péréquation directe'!I249</f>
        <v>-60633.547865487286</v>
      </c>
      <c r="H239" s="222">
        <f>'I) Dépenses thématiques'!O238</f>
        <v>-87488.363643049728</v>
      </c>
      <c r="I239" s="222">
        <f>'K) Plafonnement aide'!J238</f>
        <v>0</v>
      </c>
      <c r="J239" s="222">
        <f>'J) Plafonnement effort'!I238</f>
        <v>0</v>
      </c>
      <c r="K239" s="222">
        <f>'L) Plafonnement taux'!Q239</f>
        <v>0</v>
      </c>
      <c r="L239" s="307">
        <f t="shared" si="12"/>
        <v>43632.959446777677</v>
      </c>
      <c r="M239" s="307">
        <f>'M) Police'!O239</f>
        <v>30911.354047076238</v>
      </c>
      <c r="N239" s="307">
        <f t="shared" si="9"/>
        <v>74544.313493853915</v>
      </c>
      <c r="P239" s="380"/>
    </row>
    <row r="240" spans="1:16" s="215" customFormat="1" x14ac:dyDescent="0.25">
      <c r="A240" s="212">
        <f>'B) D RI'!A241</f>
        <v>5799</v>
      </c>
      <c r="B240" s="213" t="str">
        <f>'B) D RI'!B241</f>
        <v>Servion</v>
      </c>
      <c r="C240" s="333">
        <f>'B) D RI'!S241</f>
        <v>69</v>
      </c>
      <c r="D240" s="214">
        <f>'B) D RI'!AR241</f>
        <v>1908</v>
      </c>
      <c r="E240" s="219">
        <f>'D) Ecrêtage'!M239</f>
        <v>51366.477681159435</v>
      </c>
      <c r="F240" s="222">
        <f>'E) Fact soc'!G245</f>
        <v>1041372.6790878657</v>
      </c>
      <c r="G240" s="222">
        <f>'H) Péréquation directe'!I250</f>
        <v>-79034.327922815457</v>
      </c>
      <c r="H240" s="222">
        <f>'I) Dépenses thématiques'!O239</f>
        <v>-229160.9671389815</v>
      </c>
      <c r="I240" s="222">
        <f>'K) Plafonnement aide'!J239</f>
        <v>0</v>
      </c>
      <c r="J240" s="222">
        <f>'J) Plafonnement effort'!I239</f>
        <v>0</v>
      </c>
      <c r="K240" s="222">
        <f>'L) Plafonnement taux'!Q240</f>
        <v>0</v>
      </c>
      <c r="L240" s="307">
        <f t="shared" si="12"/>
        <v>733177.38402606873</v>
      </c>
      <c r="M240" s="307">
        <f>'M) Police'!O240</f>
        <v>161692.97520912095</v>
      </c>
      <c r="N240" s="307">
        <f t="shared" si="9"/>
        <v>894870.35923518962</v>
      </c>
      <c r="P240" s="380"/>
    </row>
    <row r="241" spans="1:16" s="215" customFormat="1" x14ac:dyDescent="0.25">
      <c r="A241" s="212">
        <f>'B) D RI'!A242</f>
        <v>5803</v>
      </c>
      <c r="B241" s="213" t="str">
        <f>'B) D RI'!B242</f>
        <v>Vulliens</v>
      </c>
      <c r="C241" s="333">
        <f>'B) D RI'!S242</f>
        <v>81</v>
      </c>
      <c r="D241" s="214">
        <f>'B) D RI'!AR242</f>
        <v>462</v>
      </c>
      <c r="E241" s="219">
        <f>'D) Ecrêtage'!M240</f>
        <v>12589.149382716048</v>
      </c>
      <c r="F241" s="222">
        <f>'E) Fact soc'!G246</f>
        <v>281986.55631341483</v>
      </c>
      <c r="G241" s="222">
        <f>'H) Péréquation directe'!I251</f>
        <v>-14742.312720940856</v>
      </c>
      <c r="H241" s="222">
        <f>'I) Dépenses thématiques'!O240</f>
        <v>-72944.39855807666</v>
      </c>
      <c r="I241" s="222">
        <f>'K) Plafonnement aide'!J240</f>
        <v>0</v>
      </c>
      <c r="J241" s="222">
        <f>'J) Plafonnement effort'!I240</f>
        <v>0</v>
      </c>
      <c r="K241" s="222">
        <f>'L) Plafonnement taux'!Q241</f>
        <v>0</v>
      </c>
      <c r="L241" s="307">
        <f t="shared" si="12"/>
        <v>194299.84503439732</v>
      </c>
      <c r="M241" s="307">
        <f>'M) Police'!O241</f>
        <v>40403.577273046991</v>
      </c>
      <c r="N241" s="307">
        <f t="shared" si="9"/>
        <v>234703.42230744433</v>
      </c>
      <c r="P241" s="380"/>
    </row>
    <row r="242" spans="1:16" s="215" customFormat="1" x14ac:dyDescent="0.25">
      <c r="A242" s="212">
        <f>'B) D RI'!A243</f>
        <v>5804</v>
      </c>
      <c r="B242" s="213" t="str">
        <f>'B) D RI'!B243</f>
        <v>Jorat-Menthue</v>
      </c>
      <c r="C242" s="333">
        <f>'B) D RI'!S243</f>
        <v>72</v>
      </c>
      <c r="D242" s="214">
        <f>'B) D RI'!AR243</f>
        <v>1518</v>
      </c>
      <c r="E242" s="219">
        <f>'D) Ecrêtage'!M241</f>
        <v>41163.666944444441</v>
      </c>
      <c r="F242" s="222">
        <f>'E) Fact soc'!G247</f>
        <v>755636.67805854103</v>
      </c>
      <c r="G242" s="222">
        <f>'H) Péréquation directe'!I252</f>
        <v>-44506.639054530649</v>
      </c>
      <c r="H242" s="222">
        <f>'I) Dépenses thématiques'!O241</f>
        <v>-415896.71784129972</v>
      </c>
      <c r="I242" s="222">
        <f>'K) Plafonnement aide'!J241</f>
        <v>0</v>
      </c>
      <c r="J242" s="222">
        <f>'J) Plafonnement effort'!I241</f>
        <v>0</v>
      </c>
      <c r="K242" s="222">
        <f>'L) Plafonnement taux'!Q242</f>
        <v>0</v>
      </c>
      <c r="L242" s="307">
        <f>F242+G242+H242+I242+J242+K242</f>
        <v>295233.32116271066</v>
      </c>
      <c r="M242" s="307">
        <f>'M) Police'!O242</f>
        <v>131224.63420202729</v>
      </c>
      <c r="N242" s="307">
        <f t="shared" si="9"/>
        <v>426457.95536473795</v>
      </c>
      <c r="P242" s="380"/>
    </row>
    <row r="243" spans="1:16" s="215" customFormat="1" x14ac:dyDescent="0.25">
      <c r="A243" s="212">
        <f>'B) D RI'!A244</f>
        <v>5805</v>
      </c>
      <c r="B243" s="213" t="str">
        <f>'B) D RI'!B244</f>
        <v>Oron</v>
      </c>
      <c r="C243" s="333">
        <f>'B) D RI'!S244</f>
        <v>69</v>
      </c>
      <c r="D243" s="214">
        <f>'B) D RI'!AR244</f>
        <v>5297</v>
      </c>
      <c r="E243" s="219">
        <f>'D) Ecrêtage'!M242</f>
        <v>146504.50986824767</v>
      </c>
      <c r="F243" s="222">
        <f>'E) Fact soc'!G248</f>
        <v>2735670.5198557889</v>
      </c>
      <c r="G243" s="222">
        <f>'H) Péréquation directe'!I253</f>
        <v>-883133.77239939757</v>
      </c>
      <c r="H243" s="222">
        <f>'I) Dépenses thématiques'!O242</f>
        <v>-961996.64210485655</v>
      </c>
      <c r="I243" s="222">
        <f>'K) Plafonnement aide'!J242</f>
        <v>0</v>
      </c>
      <c r="J243" s="222">
        <f>'J) Plafonnement effort'!I242</f>
        <v>0</v>
      </c>
      <c r="K243" s="222">
        <f>'L) Plafonnement taux'!Q243</f>
        <v>0</v>
      </c>
      <c r="L243" s="307">
        <f>F243+G243+H243+I243+J243+K243</f>
        <v>890540.10535153479</v>
      </c>
      <c r="M243" s="307">
        <f>'M) Police'!O243</f>
        <v>465300.65226635942</v>
      </c>
      <c r="N243" s="307">
        <f t="shared" si="9"/>
        <v>1355840.7576178941</v>
      </c>
      <c r="P243" s="380"/>
    </row>
    <row r="244" spans="1:16" s="215" customFormat="1" x14ac:dyDescent="0.25">
      <c r="A244" s="212">
        <f>'B) D RI'!A245</f>
        <v>5806</v>
      </c>
      <c r="B244" s="213" t="str">
        <f>'B) D RI'!B245</f>
        <v>Jorat-Mézières</v>
      </c>
      <c r="C244" s="333">
        <f>'B) D RI'!S245</f>
        <v>76.12</v>
      </c>
      <c r="D244" s="214">
        <f>'B) D RI'!AR245</f>
        <v>2755</v>
      </c>
      <c r="E244" s="219">
        <f>'D) Ecrêtage'!M243</f>
        <v>83059.358118759847</v>
      </c>
      <c r="F244" s="222">
        <f>'E) Fact soc'!G249</f>
        <v>1508674.9304982913</v>
      </c>
      <c r="G244" s="222">
        <f>'H) Péréquation directe'!I254</f>
        <v>-48253.834740795661</v>
      </c>
      <c r="H244" s="222">
        <f>'I) Dépenses thématiques'!O243</f>
        <v>-686110.33725527115</v>
      </c>
      <c r="I244" s="222">
        <f>'K) Plafonnement aide'!J243</f>
        <v>0</v>
      </c>
      <c r="J244" s="222">
        <f>'J) Plafonnement effort'!I243</f>
        <v>0</v>
      </c>
      <c r="K244" s="222">
        <f>'L) Plafonnement taux'!Q244</f>
        <v>0</v>
      </c>
      <c r="L244" s="307">
        <f>F244+G244+H244+I244+J244+K244</f>
        <v>774310.75850222446</v>
      </c>
      <c r="M244" s="307">
        <f>'M) Police'!O244</f>
        <v>266015.76241591736</v>
      </c>
      <c r="N244" s="307">
        <f t="shared" ref="N244" si="13">L244+M244</f>
        <v>1040326.5209181418</v>
      </c>
      <c r="P244" s="380"/>
    </row>
    <row r="245" spans="1:16" s="215" customFormat="1" x14ac:dyDescent="0.25">
      <c r="A245" s="212">
        <f>'B) D RI'!A246</f>
        <v>5812</v>
      </c>
      <c r="B245" s="213" t="str">
        <f>'B) D RI'!B246</f>
        <v>Champtauroz</v>
      </c>
      <c r="C245" s="333">
        <f>'B) D RI'!S246</f>
        <v>77</v>
      </c>
      <c r="D245" s="214">
        <f>'B) D RI'!AR246</f>
        <v>133</v>
      </c>
      <c r="E245" s="219">
        <f>'D) Ecrêtage'!M244</f>
        <v>2420.1879870129869</v>
      </c>
      <c r="F245" s="222">
        <f>'E) Fact soc'!G250</f>
        <v>55110.423186755273</v>
      </c>
      <c r="G245" s="222">
        <f>'H) Péréquation directe'!I255</f>
        <v>-49378.698263085949</v>
      </c>
      <c r="H245" s="222">
        <f>'I) Dépenses thématiques'!O244</f>
        <v>-35550.871325499342</v>
      </c>
      <c r="I245" s="222">
        <f>'K) Plafonnement aide'!J244</f>
        <v>0</v>
      </c>
      <c r="J245" s="222">
        <f>'J) Plafonnement effort'!I244</f>
        <v>0</v>
      </c>
      <c r="K245" s="222">
        <f>'L) Plafonnement taux'!Q245</f>
        <v>0</v>
      </c>
      <c r="L245" s="307">
        <f t="shared" si="12"/>
        <v>-29819.146401830018</v>
      </c>
      <c r="M245" s="307">
        <f>'M) Police'!O245</f>
        <v>7711.8087607143543</v>
      </c>
      <c r="N245" s="307">
        <f t="shared" si="9"/>
        <v>-22107.337641115664</v>
      </c>
      <c r="P245" s="380"/>
    </row>
    <row r="246" spans="1:16" s="215" customFormat="1" x14ac:dyDescent="0.25">
      <c r="A246" s="212">
        <f>'B) D RI'!A247</f>
        <v>5813</v>
      </c>
      <c r="B246" s="213" t="str">
        <f>'B) D RI'!B247</f>
        <v>Chevroux</v>
      </c>
      <c r="C246" s="333">
        <f>'B) D RI'!S247</f>
        <v>70</v>
      </c>
      <c r="D246" s="214">
        <f>'B) D RI'!AR247</f>
        <v>430</v>
      </c>
      <c r="E246" s="219">
        <f>'D) Ecrêtage'!M245</f>
        <v>11590.298571428571</v>
      </c>
      <c r="F246" s="222">
        <f>'E) Fact soc'!G251</f>
        <v>213150.78206427876</v>
      </c>
      <c r="G246" s="222">
        <f>'H) Péréquation directe'!I256</f>
        <v>29283.800784349616</v>
      </c>
      <c r="H246" s="222">
        <f>'I) Dépenses thématiques'!O245</f>
        <v>-8981.6332456752953</v>
      </c>
      <c r="I246" s="222">
        <f>'K) Plafonnement aide'!J245</f>
        <v>0</v>
      </c>
      <c r="J246" s="222">
        <f>'J) Plafonnement effort'!I245</f>
        <v>0</v>
      </c>
      <c r="K246" s="222">
        <f>'L) Plafonnement taux'!Q246</f>
        <v>0</v>
      </c>
      <c r="L246" s="307">
        <f t="shared" si="12"/>
        <v>233452.94960295307</v>
      </c>
      <c r="M246" s="307">
        <f>'M) Police'!O246</f>
        <v>36751.202071124157</v>
      </c>
      <c r="N246" s="307">
        <f t="shared" si="9"/>
        <v>270204.15167407721</v>
      </c>
      <c r="P246" s="380"/>
    </row>
    <row r="247" spans="1:16" s="215" customFormat="1" x14ac:dyDescent="0.25">
      <c r="A247" s="212">
        <f>'B) D RI'!A248</f>
        <v>5816</v>
      </c>
      <c r="B247" s="213" t="str">
        <f>'B) D RI'!B248</f>
        <v>Corcelles-près-Payerne</v>
      </c>
      <c r="C247" s="333">
        <f>'B) D RI'!S248</f>
        <v>72</v>
      </c>
      <c r="D247" s="214">
        <f>'B) D RI'!AR248</f>
        <v>2229</v>
      </c>
      <c r="E247" s="219">
        <f>'D) Ecrêtage'!M246</f>
        <v>52953.608154761903</v>
      </c>
      <c r="F247" s="222">
        <f>'E) Fact soc'!G252</f>
        <v>1062635.0502406014</v>
      </c>
      <c r="G247" s="222">
        <f>'H) Péréquation directe'!I257</f>
        <v>-474902.92400662357</v>
      </c>
      <c r="H247" s="222">
        <f>'I) Dépenses thématiques'!O246</f>
        <v>-252509.0245776448</v>
      </c>
      <c r="I247" s="222">
        <f>'K) Plafonnement aide'!J246</f>
        <v>0</v>
      </c>
      <c r="J247" s="222">
        <f>'J) Plafonnement effort'!I246</f>
        <v>0</v>
      </c>
      <c r="K247" s="222">
        <f>'L) Plafonnement taux'!Q247</f>
        <v>0</v>
      </c>
      <c r="L247" s="307">
        <f t="shared" si="12"/>
        <v>335223.10165633308</v>
      </c>
      <c r="M247" s="307">
        <f>'M) Police'!O247</f>
        <v>169220.75785318005</v>
      </c>
      <c r="N247" s="307">
        <f t="shared" si="9"/>
        <v>504443.85950951313</v>
      </c>
      <c r="P247" s="380"/>
    </row>
    <row r="248" spans="1:16" s="215" customFormat="1" x14ac:dyDescent="0.25">
      <c r="A248" s="212">
        <f>'B) D RI'!A249</f>
        <v>5817</v>
      </c>
      <c r="B248" s="213" t="str">
        <f>'B) D RI'!B249</f>
        <v>Grandcour</v>
      </c>
      <c r="C248" s="333">
        <f>'B) D RI'!S249</f>
        <v>79.5</v>
      </c>
      <c r="D248" s="214">
        <f>'B) D RI'!AR249</f>
        <v>856</v>
      </c>
      <c r="E248" s="219">
        <f>'D) Ecrêtage'!M247</f>
        <v>20895.78968553459</v>
      </c>
      <c r="F248" s="222">
        <f>'E) Fact soc'!G253</f>
        <v>364465.47620807576</v>
      </c>
      <c r="G248" s="222">
        <f>'H) Péréquation directe'!I258</f>
        <v>-119733.40118799178</v>
      </c>
      <c r="H248" s="222">
        <f>'I) Dépenses thématiques'!O247</f>
        <v>-103686.86559026972</v>
      </c>
      <c r="I248" s="222">
        <f>'K) Plafonnement aide'!J247</f>
        <v>0</v>
      </c>
      <c r="J248" s="222">
        <f>'J) Plafonnement effort'!I247</f>
        <v>0</v>
      </c>
      <c r="K248" s="222">
        <f>'L) Plafonnement taux'!Q248</f>
        <v>0</v>
      </c>
      <c r="L248" s="307">
        <f t="shared" si="12"/>
        <v>141045.20942981425</v>
      </c>
      <c r="M248" s="307">
        <f>'M) Police'!O248</f>
        <v>67163.107435752027</v>
      </c>
      <c r="N248" s="307">
        <f t="shared" si="9"/>
        <v>208208.31686556627</v>
      </c>
      <c r="P248" s="380"/>
    </row>
    <row r="249" spans="1:16" s="215" customFormat="1" x14ac:dyDescent="0.25">
      <c r="A249" s="212">
        <f>'B) D RI'!A250</f>
        <v>5819</v>
      </c>
      <c r="B249" s="213" t="str">
        <f>'B) D RI'!B250</f>
        <v>Henniez</v>
      </c>
      <c r="C249" s="333">
        <f>'B) D RI'!S250</f>
        <v>67</v>
      </c>
      <c r="D249" s="214">
        <f>'B) D RI'!AR250</f>
        <v>339</v>
      </c>
      <c r="E249" s="219">
        <f>'D) Ecrêtage'!M248</f>
        <v>13106.979402985076</v>
      </c>
      <c r="F249" s="222">
        <f>'E) Fact soc'!G254</f>
        <v>228552.31022968539</v>
      </c>
      <c r="G249" s="222">
        <f>'H) Péréquation directe'!I259</f>
        <v>177223.83924766723</v>
      </c>
      <c r="H249" s="222">
        <f>'I) Dépenses thématiques'!O248</f>
        <v>-71750.574897940925</v>
      </c>
      <c r="I249" s="222">
        <f>'K) Plafonnement aide'!J248</f>
        <v>0</v>
      </c>
      <c r="J249" s="222">
        <f>'J) Plafonnement effort'!I248</f>
        <v>0</v>
      </c>
      <c r="K249" s="222">
        <f>'L) Plafonnement taux'!Q249</f>
        <v>0</v>
      </c>
      <c r="L249" s="307">
        <f t="shared" si="12"/>
        <v>334025.57457941171</v>
      </c>
      <c r="M249" s="307">
        <f>'M) Police'!O249</f>
        <v>41603.212594214492</v>
      </c>
      <c r="N249" s="307">
        <f t="shared" si="9"/>
        <v>375628.78717362619</v>
      </c>
      <c r="P249" s="380"/>
    </row>
    <row r="250" spans="1:16" s="215" customFormat="1" x14ac:dyDescent="0.25">
      <c r="A250" s="212">
        <f>'B) D RI'!A251</f>
        <v>5821</v>
      </c>
      <c r="B250" s="213" t="str">
        <f>'B) D RI'!B251</f>
        <v>Missy</v>
      </c>
      <c r="C250" s="333">
        <f>'B) D RI'!S251</f>
        <v>72</v>
      </c>
      <c r="D250" s="214">
        <f>'B) D RI'!AR251</f>
        <v>350</v>
      </c>
      <c r="E250" s="219">
        <f>'D) Ecrêtage'!M249</f>
        <v>7313.8070833333331</v>
      </c>
      <c r="F250" s="222">
        <f>'E) Fact soc'!G255</f>
        <v>162114.09053757269</v>
      </c>
      <c r="G250" s="222">
        <f>'H) Péréquation directe'!I260</f>
        <v>-66052.584601618641</v>
      </c>
      <c r="H250" s="222">
        <f>'I) Dépenses thématiques'!O249</f>
        <v>-72007.206082007935</v>
      </c>
      <c r="I250" s="222">
        <f>'K) Plafonnement aide'!J249</f>
        <v>0</v>
      </c>
      <c r="J250" s="222">
        <f>'J) Plafonnement effort'!I249</f>
        <v>0</v>
      </c>
      <c r="K250" s="222">
        <f>'L) Plafonnement taux'!Q250</f>
        <v>0</v>
      </c>
      <c r="L250" s="307">
        <f t="shared" si="12"/>
        <v>24054.299853946111</v>
      </c>
      <c r="M250" s="307">
        <f>'M) Police'!O250</f>
        <v>23279.074825363659</v>
      </c>
      <c r="N250" s="307">
        <f t="shared" si="9"/>
        <v>47333.374679309767</v>
      </c>
      <c r="P250" s="380"/>
    </row>
    <row r="251" spans="1:16" s="215" customFormat="1" x14ac:dyDescent="0.25">
      <c r="A251" s="212">
        <f>'B) D RI'!A252</f>
        <v>5822</v>
      </c>
      <c r="B251" s="213" t="str">
        <f>'B) D RI'!B252</f>
        <v>Payerne</v>
      </c>
      <c r="C251" s="333">
        <f>'B) D RI'!S252</f>
        <v>75</v>
      </c>
      <c r="D251" s="214">
        <f>'B) D RI'!AR252</f>
        <v>9302</v>
      </c>
      <c r="E251" s="219">
        <f>'D) Ecrêtage'!M250</f>
        <v>224445.50853333328</v>
      </c>
      <c r="F251" s="222">
        <f>'E) Fact soc'!G256</f>
        <v>4169309.6142388908</v>
      </c>
      <c r="G251" s="222">
        <f>'H) Péréquation directe'!I261</f>
        <v>-4393533.5016737804</v>
      </c>
      <c r="H251" s="222">
        <f>'I) Dépenses thématiques'!O250</f>
        <v>-1143134.2743227421</v>
      </c>
      <c r="I251" s="222">
        <f>'K) Plafonnement aide'!J250</f>
        <v>0</v>
      </c>
      <c r="J251" s="222">
        <f>'J) Plafonnement effort'!I250</f>
        <v>0</v>
      </c>
      <c r="K251" s="222">
        <f>'L) Plafonnement taux'!Q251</f>
        <v>0</v>
      </c>
      <c r="L251" s="307">
        <f t="shared" si="12"/>
        <v>-1367358.1617576317</v>
      </c>
      <c r="M251" s="307">
        <f>'M) Police'!O251</f>
        <v>714599.15344259061</v>
      </c>
      <c r="N251" s="307">
        <f t="shared" si="9"/>
        <v>-652759.00831504108</v>
      </c>
      <c r="P251" s="380"/>
    </row>
    <row r="252" spans="1:16" s="215" customFormat="1" x14ac:dyDescent="0.25">
      <c r="A252" s="212">
        <f>'B) D RI'!A253</f>
        <v>5827</v>
      </c>
      <c r="B252" s="213" t="str">
        <f>'B) D RI'!B253</f>
        <v>Trey</v>
      </c>
      <c r="C252" s="333">
        <f>'B) D RI'!S253</f>
        <v>80</v>
      </c>
      <c r="D252" s="214">
        <f>'B) D RI'!AR253</f>
        <v>255</v>
      </c>
      <c r="E252" s="219">
        <f>'D) Ecrêtage'!M251</f>
        <v>6544.3336250000011</v>
      </c>
      <c r="F252" s="222">
        <f>'E) Fact soc'!G257</f>
        <v>127602.19692773039</v>
      </c>
      <c r="G252" s="222">
        <f>'H) Péréquation directe'!I262</f>
        <v>-23188.242768367665</v>
      </c>
      <c r="H252" s="222">
        <f>'I) Dépenses thématiques'!O251</f>
        <v>-45878.985589413111</v>
      </c>
      <c r="I252" s="222">
        <f>'K) Plafonnement aide'!J251</f>
        <v>0</v>
      </c>
      <c r="J252" s="222">
        <f>'J) Plafonnement effort'!I251</f>
        <v>0</v>
      </c>
      <c r="K252" s="222">
        <f>'L) Plafonnement taux'!Q252</f>
        <v>0</v>
      </c>
      <c r="L252" s="307">
        <f t="shared" si="12"/>
        <v>58534.968569949611</v>
      </c>
      <c r="M252" s="307">
        <f>'M) Police'!O252</f>
        <v>21032.939865394648</v>
      </c>
      <c r="N252" s="307">
        <f t="shared" si="9"/>
        <v>79567.908435344259</v>
      </c>
      <c r="P252" s="380"/>
    </row>
    <row r="253" spans="1:16" s="215" customFormat="1" x14ac:dyDescent="0.25">
      <c r="A253" s="212">
        <f>'B) D RI'!A254</f>
        <v>5828</v>
      </c>
      <c r="B253" s="213" t="str">
        <f>'B) D RI'!B254</f>
        <v>Treytorrens (Payerne)</v>
      </c>
      <c r="C253" s="333">
        <f>'B) D RI'!S254</f>
        <v>84</v>
      </c>
      <c r="D253" s="214">
        <f>'B) D RI'!AR254</f>
        <v>124</v>
      </c>
      <c r="E253" s="219">
        <f>'D) Ecrêtage'!M252</f>
        <v>2136.5168650793653</v>
      </c>
      <c r="F253" s="222">
        <f>'E) Fact soc'!G258</f>
        <v>41317.405842686196</v>
      </c>
      <c r="G253" s="222">
        <f>'H) Péréquation directe'!I263</f>
        <v>-66020.114816076879</v>
      </c>
      <c r="H253" s="222">
        <f>'I) Dépenses thématiques'!O252</f>
        <v>-54059.757564051622</v>
      </c>
      <c r="I253" s="222">
        <f>'K) Plafonnement aide'!J252</f>
        <v>10815.34935037481</v>
      </c>
      <c r="J253" s="222">
        <f>'J) Plafonnement effort'!I252</f>
        <v>0</v>
      </c>
      <c r="K253" s="222">
        <f>'L) Plafonnement taux'!Q253</f>
        <v>0</v>
      </c>
      <c r="L253" s="307">
        <f t="shared" si="12"/>
        <v>-67947.117187067488</v>
      </c>
      <c r="M253" s="307">
        <f>'M) Police'!O253</f>
        <v>6816.2265701182077</v>
      </c>
      <c r="N253" s="307">
        <f t="shared" si="9"/>
        <v>-61130.890616949284</v>
      </c>
      <c r="P253" s="380"/>
    </row>
    <row r="254" spans="1:16" s="215" customFormat="1" x14ac:dyDescent="0.25">
      <c r="A254" s="212">
        <f>'B) D RI'!A255</f>
        <v>5830</v>
      </c>
      <c r="B254" s="213" t="str">
        <f>'B) D RI'!B255</f>
        <v>Villarzel</v>
      </c>
      <c r="C254" s="333">
        <f>'B) D RI'!S255</f>
        <v>79</v>
      </c>
      <c r="D254" s="214">
        <f>'B) D RI'!AR255</f>
        <v>415</v>
      </c>
      <c r="E254" s="219">
        <f>'D) Ecrêtage'!M253</f>
        <v>10236.981518987341</v>
      </c>
      <c r="F254" s="222">
        <f>'E) Fact soc'!G259</f>
        <v>174653.18413551888</v>
      </c>
      <c r="G254" s="222">
        <f>'H) Péréquation directe'!I264</f>
        <v>-50854.833289102797</v>
      </c>
      <c r="H254" s="222">
        <f>'I) Dépenses thématiques'!O253</f>
        <v>-106018.69799429258</v>
      </c>
      <c r="I254" s="222">
        <f>'K) Plafonnement aide'!J253</f>
        <v>0</v>
      </c>
      <c r="J254" s="222">
        <f>'J) Plafonnement effort'!I253</f>
        <v>0</v>
      </c>
      <c r="K254" s="222">
        <f>'L) Plafonnement taux'!Q254</f>
        <v>0</v>
      </c>
      <c r="L254" s="307">
        <f t="shared" si="12"/>
        <v>17779.652852123501</v>
      </c>
      <c r="M254" s="307">
        <f>'M) Police'!O254</f>
        <v>32842.795850217917</v>
      </c>
      <c r="N254" s="307">
        <f t="shared" si="9"/>
        <v>50622.448702341419</v>
      </c>
      <c r="P254" s="380"/>
    </row>
    <row r="255" spans="1:16" s="215" customFormat="1" x14ac:dyDescent="0.25">
      <c r="A255" s="212">
        <f>'B) D RI'!A256</f>
        <v>5831</v>
      </c>
      <c r="B255" s="213" t="str">
        <f>'B) D RI'!B256</f>
        <v>Valbroye</v>
      </c>
      <c r="C255" s="333">
        <f>'B) D RI'!S256</f>
        <v>73</v>
      </c>
      <c r="D255" s="214">
        <f>'B) D RI'!AR256</f>
        <v>2960</v>
      </c>
      <c r="E255" s="219">
        <f>'D) Ecrêtage'!M254</f>
        <v>78037.716438356161</v>
      </c>
      <c r="F255" s="222">
        <f>'E) Fact soc'!G260</f>
        <v>1320926.2060486958</v>
      </c>
      <c r="G255" s="222">
        <f>'H) Péréquation directe'!I265</f>
        <v>-439505.96900167293</v>
      </c>
      <c r="H255" s="222">
        <f>'I) Dépenses thématiques'!O254</f>
        <v>-619133.14335191716</v>
      </c>
      <c r="I255" s="222">
        <f>'K) Plafonnement aide'!J254</f>
        <v>0</v>
      </c>
      <c r="J255" s="222">
        <f>'J) Plafonnement effort'!I254</f>
        <v>0</v>
      </c>
      <c r="K255" s="222">
        <f>'L) Plafonnement taux'!Q255</f>
        <v>0</v>
      </c>
      <c r="L255" s="307">
        <f>F255+G255+H255+I255+J255+K255</f>
        <v>262287.09369510575</v>
      </c>
      <c r="M255" s="307">
        <f>'M) Police'!O255</f>
        <v>250061.56259914546</v>
      </c>
      <c r="N255" s="307">
        <f t="shared" ref="N255:N314" si="14">L255+M255</f>
        <v>512348.65629425121</v>
      </c>
      <c r="P255" s="380"/>
    </row>
    <row r="256" spans="1:16" s="215" customFormat="1" x14ac:dyDescent="0.25">
      <c r="A256" s="212">
        <f>'B) D RI'!A257</f>
        <v>5841</v>
      </c>
      <c r="B256" s="213" t="str">
        <f>'B) D RI'!B257</f>
        <v>Château-d'Oex</v>
      </c>
      <c r="C256" s="333">
        <f>'B) D RI'!S257</f>
        <v>83</v>
      </c>
      <c r="D256" s="214">
        <f>'B) D RI'!AR257</f>
        <v>3408</v>
      </c>
      <c r="E256" s="219">
        <f>'D) Ecrêtage'!M255</f>
        <v>107525.73574297188</v>
      </c>
      <c r="F256" s="222">
        <f>'E) Fact soc'!G261</f>
        <v>2264776.8234358197</v>
      </c>
      <c r="G256" s="222">
        <f>'H) Péréquation directe'!I266</f>
        <v>-166033.80825329921</v>
      </c>
      <c r="H256" s="222">
        <f>'I) Dépenses thématiques'!O255</f>
        <v>-1765399.6792172969</v>
      </c>
      <c r="I256" s="222">
        <f>'K) Plafonnement aide'!J255</f>
        <v>0</v>
      </c>
      <c r="J256" s="222">
        <f>'J) Plafonnement effort'!I255</f>
        <v>0</v>
      </c>
      <c r="K256" s="222">
        <f>'L) Plafonnement taux'!Q256</f>
        <v>0</v>
      </c>
      <c r="L256" s="307">
        <f t="shared" si="12"/>
        <v>333343.33596522338</v>
      </c>
      <c r="M256" s="307">
        <f>'M) Police'!O256</f>
        <v>337698.14481833554</v>
      </c>
      <c r="N256" s="307">
        <f t="shared" si="14"/>
        <v>671041.48078355892</v>
      </c>
      <c r="P256" s="380"/>
    </row>
    <row r="257" spans="1:16" s="215" customFormat="1" x14ac:dyDescent="0.25">
      <c r="A257" s="212">
        <f>'B) D RI'!A258</f>
        <v>5842</v>
      </c>
      <c r="B257" s="213" t="str">
        <f>'B) D RI'!B258</f>
        <v>Rossinière</v>
      </c>
      <c r="C257" s="333">
        <f>'B) D RI'!S258</f>
        <v>81</v>
      </c>
      <c r="D257" s="214">
        <f>'B) D RI'!AR258</f>
        <v>565</v>
      </c>
      <c r="E257" s="219">
        <f>'D) Ecrêtage'!M256</f>
        <v>16554.125349794238</v>
      </c>
      <c r="F257" s="222">
        <f>'E) Fact soc'!G262</f>
        <v>290042.11110291479</v>
      </c>
      <c r="G257" s="222">
        <f>'H) Péréquation directe'!I267</f>
        <v>33721.194205103908</v>
      </c>
      <c r="H257" s="222">
        <f>'I) Dépenses thématiques'!O256</f>
        <v>-272668.67997334292</v>
      </c>
      <c r="I257" s="222">
        <f>'K) Plafonnement aide'!J256</f>
        <v>0</v>
      </c>
      <c r="J257" s="222">
        <f>'J) Plafonnement effort'!I256</f>
        <v>0</v>
      </c>
      <c r="K257" s="222">
        <f>'L) Plafonnement taux'!Q257</f>
        <v>0</v>
      </c>
      <c r="L257" s="307">
        <f t="shared" si="12"/>
        <v>51094.625334675773</v>
      </c>
      <c r="M257" s="307">
        <f>'M) Police'!O257</f>
        <v>53267.390454619228</v>
      </c>
      <c r="N257" s="307">
        <f t="shared" si="14"/>
        <v>104362.01578929499</v>
      </c>
      <c r="P257" s="380"/>
    </row>
    <row r="258" spans="1:16" s="215" customFormat="1" x14ac:dyDescent="0.25">
      <c r="A258" s="212">
        <f>'B) D RI'!A259</f>
        <v>5843</v>
      </c>
      <c r="B258" s="213" t="str">
        <f>'B) D RI'!B259</f>
        <v>Rougemont</v>
      </c>
      <c r="C258" s="333">
        <f>'B) D RI'!S259</f>
        <v>69</v>
      </c>
      <c r="D258" s="214">
        <f>'B) D RI'!AR259</f>
        <v>881</v>
      </c>
      <c r="E258" s="219">
        <f>'D) Ecrêtage'!M257</f>
        <v>79049.148416639975</v>
      </c>
      <c r="F258" s="222">
        <f>'E) Fact soc'!G263</f>
        <v>3695996.2193898303</v>
      </c>
      <c r="G258" s="222">
        <f>'H) Péréquation directe'!I268</f>
        <v>1382144.6757385866</v>
      </c>
      <c r="H258" s="222">
        <f>'I) Dépenses thématiques'!O257</f>
        <v>-979608.52305813832</v>
      </c>
      <c r="I258" s="222">
        <f>'K) Plafonnement aide'!J257</f>
        <v>0</v>
      </c>
      <c r="J258" s="222">
        <f>'J) Plafonnement effort'!I257</f>
        <v>0</v>
      </c>
      <c r="K258" s="222">
        <f>'L) Plafonnement taux'!Q258</f>
        <v>0</v>
      </c>
      <c r="L258" s="307">
        <f t="shared" si="12"/>
        <v>4098532.3720702785</v>
      </c>
      <c r="M258" s="307">
        <f>'M) Police'!O258</f>
        <v>180704.18106023764</v>
      </c>
      <c r="N258" s="307">
        <f t="shared" si="14"/>
        <v>4279236.5531305159</v>
      </c>
      <c r="P258" s="380"/>
    </row>
    <row r="259" spans="1:16" s="215" customFormat="1" x14ac:dyDescent="0.25">
      <c r="A259" s="212">
        <f>'B) D RI'!A260</f>
        <v>5851</v>
      </c>
      <c r="B259" s="213" t="str">
        <f>'B) D RI'!B260</f>
        <v>Allaman</v>
      </c>
      <c r="C259" s="333">
        <f>'B) D RI'!S260</f>
        <v>62</v>
      </c>
      <c r="D259" s="214">
        <f>'B) D RI'!AR260</f>
        <v>393</v>
      </c>
      <c r="E259" s="219">
        <f>'D) Ecrêtage'!M258</f>
        <v>25169.262174508789</v>
      </c>
      <c r="F259" s="222">
        <f>'E) Fact soc'!G264</f>
        <v>259486.8399465734</v>
      </c>
      <c r="G259" s="222">
        <f>'H) Péréquation directe'!I269</f>
        <v>428939.32093269844</v>
      </c>
      <c r="H259" s="222">
        <f>'I) Dépenses thématiques'!O258</f>
        <v>0</v>
      </c>
      <c r="I259" s="222">
        <f>'K) Plafonnement aide'!J258</f>
        <v>0</v>
      </c>
      <c r="J259" s="222">
        <f>'J) Plafonnement effort'!I258</f>
        <v>0</v>
      </c>
      <c r="K259" s="222">
        <f>'L) Plafonnement taux'!Q259</f>
        <v>0</v>
      </c>
      <c r="L259" s="307">
        <f t="shared" si="12"/>
        <v>688426.1608792718</v>
      </c>
      <c r="M259" s="307">
        <f>'M) Police'!O259</f>
        <v>67059.332460924721</v>
      </c>
      <c r="N259" s="307">
        <f t="shared" si="14"/>
        <v>755485.49334019655</v>
      </c>
      <c r="P259" s="380"/>
    </row>
    <row r="260" spans="1:16" s="215" customFormat="1" x14ac:dyDescent="0.25">
      <c r="A260" s="212">
        <f>'B) D RI'!A261</f>
        <v>5852</v>
      </c>
      <c r="B260" s="213" t="str">
        <f>'B) D RI'!B261</f>
        <v>Bursinel</v>
      </c>
      <c r="C260" s="333">
        <f>'B) D RI'!S261</f>
        <v>63.5</v>
      </c>
      <c r="D260" s="214">
        <f>'B) D RI'!AR261</f>
        <v>477</v>
      </c>
      <c r="E260" s="219">
        <f>'D) Ecrêtage'!M259</f>
        <v>30316.650271285871</v>
      </c>
      <c r="F260" s="222">
        <f>'E) Fact soc'!G265</f>
        <v>719615.0239188245</v>
      </c>
      <c r="G260" s="222">
        <f>'H) Péréquation directe'!I270</f>
        <v>516303.00823804812</v>
      </c>
      <c r="H260" s="222">
        <f>'I) Dépenses thématiques'!O259</f>
        <v>-17807.853107055689</v>
      </c>
      <c r="I260" s="222">
        <f>'K) Plafonnement aide'!J259</f>
        <v>0</v>
      </c>
      <c r="J260" s="222">
        <f>'J) Plafonnement effort'!I259</f>
        <v>0</v>
      </c>
      <c r="K260" s="222">
        <f>'L) Plafonnement taux'!Q260</f>
        <v>0</v>
      </c>
      <c r="L260" s="307">
        <f t="shared" si="12"/>
        <v>1218110.1790498169</v>
      </c>
      <c r="M260" s="307">
        <f>'M) Police'!O260</f>
        <v>81080.76795698989</v>
      </c>
      <c r="N260" s="307">
        <f t="shared" si="14"/>
        <v>1299190.9470068067</v>
      </c>
      <c r="P260" s="380"/>
    </row>
    <row r="261" spans="1:16" s="215" customFormat="1" x14ac:dyDescent="0.25">
      <c r="A261" s="212">
        <f>'B) D RI'!A262</f>
        <v>5853</v>
      </c>
      <c r="B261" s="213" t="str">
        <f>'B) D RI'!B262</f>
        <v>Bursins</v>
      </c>
      <c r="C261" s="333">
        <f>'B) D RI'!S262</f>
        <v>71</v>
      </c>
      <c r="D261" s="214">
        <f>'B) D RI'!AR262</f>
        <v>772</v>
      </c>
      <c r="E261" s="219">
        <f>'D) Ecrêtage'!M260</f>
        <v>37118.734366197183</v>
      </c>
      <c r="F261" s="222">
        <f>'E) Fact soc'!G266</f>
        <v>725937.544674312</v>
      </c>
      <c r="G261" s="222">
        <f>'H) Péréquation directe'!I271</f>
        <v>613536.30741378409</v>
      </c>
      <c r="H261" s="222">
        <f>'I) Dépenses thématiques'!O260</f>
        <v>-1623.0818391309281</v>
      </c>
      <c r="I261" s="222">
        <f>'K) Plafonnement aide'!J260</f>
        <v>0</v>
      </c>
      <c r="J261" s="222">
        <f>'J) Plafonnement effort'!I260</f>
        <v>0</v>
      </c>
      <c r="K261" s="222">
        <f>'L) Plafonnement taux'!Q261</f>
        <v>0</v>
      </c>
      <c r="L261" s="307">
        <f t="shared" si="12"/>
        <v>1337850.7702489651</v>
      </c>
      <c r="M261" s="307">
        <f>'M) Police'!O261</f>
        <v>115186.33749149571</v>
      </c>
      <c r="N261" s="307">
        <f t="shared" si="14"/>
        <v>1453037.1077404609</v>
      </c>
      <c r="P261" s="380"/>
    </row>
    <row r="262" spans="1:16" s="215" customFormat="1" x14ac:dyDescent="0.25">
      <c r="A262" s="212">
        <f>'B) D RI'!A263</f>
        <v>5854</v>
      </c>
      <c r="B262" s="213" t="str">
        <f>'B) D RI'!B263</f>
        <v>Burtigny</v>
      </c>
      <c r="C262" s="333">
        <f>'B) D RI'!S263</f>
        <v>80</v>
      </c>
      <c r="D262" s="214">
        <f>'B) D RI'!AR263</f>
        <v>352</v>
      </c>
      <c r="E262" s="219">
        <f>'D) Ecrêtage'!M261</f>
        <v>10244.164041666669</v>
      </c>
      <c r="F262" s="222">
        <f>'E) Fact soc'!G267</f>
        <v>170139.90895594915</v>
      </c>
      <c r="G262" s="222">
        <f>'H) Péréquation directe'!I272</f>
        <v>21294.706686377031</v>
      </c>
      <c r="H262" s="222">
        <f>'I) Dépenses thématiques'!O261</f>
        <v>-24549.234860706027</v>
      </c>
      <c r="I262" s="222">
        <f>'K) Plafonnement aide'!J261</f>
        <v>0</v>
      </c>
      <c r="J262" s="222">
        <f>'J) Plafonnement effort'!I261</f>
        <v>0</v>
      </c>
      <c r="K262" s="222">
        <f>'L) Plafonnement taux'!Q262</f>
        <v>0</v>
      </c>
      <c r="L262" s="307">
        <f t="shared" si="12"/>
        <v>166885.38078162016</v>
      </c>
      <c r="M262" s="307">
        <f>'M) Police'!O262</f>
        <v>32681.815710241703</v>
      </c>
      <c r="N262" s="307">
        <f t="shared" si="14"/>
        <v>199567.19649186186</v>
      </c>
      <c r="P262" s="380"/>
    </row>
    <row r="263" spans="1:16" s="215" customFormat="1" x14ac:dyDescent="0.25">
      <c r="A263" s="212">
        <f>'B) D RI'!A264</f>
        <v>5855</v>
      </c>
      <c r="B263" s="213" t="str">
        <f>'B) D RI'!B264</f>
        <v>Dully</v>
      </c>
      <c r="C263" s="333">
        <f>'B) D RI'!S264</f>
        <v>49</v>
      </c>
      <c r="D263" s="214">
        <f>'B) D RI'!AR264</f>
        <v>636</v>
      </c>
      <c r="E263" s="219">
        <f>'D) Ecrêtage'!M262</f>
        <v>56253.958979149436</v>
      </c>
      <c r="F263" s="222">
        <f>'E) Fact soc'!G268</f>
        <v>2016908.7754379725</v>
      </c>
      <c r="G263" s="222">
        <f>'H) Péréquation directe'!I273</f>
        <v>982683.29557653971</v>
      </c>
      <c r="H263" s="222">
        <f>'I) Dépenses thématiques'!O262</f>
        <v>0</v>
      </c>
      <c r="I263" s="222">
        <f>'K) Plafonnement aide'!J262</f>
        <v>0</v>
      </c>
      <c r="J263" s="222">
        <f>'J) Plafonnement effort'!I262</f>
        <v>0</v>
      </c>
      <c r="K263" s="222">
        <f>'L) Plafonnement taux'!Q263</f>
        <v>0</v>
      </c>
      <c r="L263" s="307">
        <f t="shared" si="12"/>
        <v>2999592.0710145123</v>
      </c>
      <c r="M263" s="307">
        <f>'M) Police'!O263</f>
        <v>129361.29064704881</v>
      </c>
      <c r="N263" s="307">
        <f t="shared" si="14"/>
        <v>3128953.3616615613</v>
      </c>
      <c r="P263" s="380"/>
    </row>
    <row r="264" spans="1:16" s="215" customFormat="1" x14ac:dyDescent="0.25">
      <c r="A264" s="212">
        <f>'B) D RI'!A265</f>
        <v>5856</v>
      </c>
      <c r="B264" s="213" t="str">
        <f>'B) D RI'!B265</f>
        <v>Essertines-sur-Rolle</v>
      </c>
      <c r="C264" s="333">
        <f>'B) D RI'!S265</f>
        <v>68</v>
      </c>
      <c r="D264" s="214">
        <f>'B) D RI'!AR265</f>
        <v>700</v>
      </c>
      <c r="E264" s="219">
        <f>'D) Ecrêtage'!M263</f>
        <v>28766.256402714938</v>
      </c>
      <c r="F264" s="222">
        <f>'E) Fact soc'!G269</f>
        <v>465521.53463067469</v>
      </c>
      <c r="G264" s="222">
        <f>'H) Péréquation directe'!I274</f>
        <v>426829.56054405577</v>
      </c>
      <c r="H264" s="222">
        <f>'I) Dépenses thématiques'!O263</f>
        <v>-57448.153497253261</v>
      </c>
      <c r="I264" s="222">
        <f>'K) Plafonnement aide'!J263</f>
        <v>0</v>
      </c>
      <c r="J264" s="222">
        <f>'J) Plafonnement effort'!I263</f>
        <v>0</v>
      </c>
      <c r="K264" s="222">
        <f>'L) Plafonnement taux'!Q264</f>
        <v>0</v>
      </c>
      <c r="L264" s="307">
        <f t="shared" si="12"/>
        <v>834902.94167747721</v>
      </c>
      <c r="M264" s="307">
        <f>'M) Police'!O264</f>
        <v>91164.220186661551</v>
      </c>
      <c r="N264" s="307">
        <f t="shared" si="14"/>
        <v>926067.16186413879</v>
      </c>
      <c r="P264" s="380"/>
    </row>
    <row r="265" spans="1:16" s="215" customFormat="1" x14ac:dyDescent="0.25">
      <c r="A265" s="212">
        <f>'B) D RI'!A266</f>
        <v>5857</v>
      </c>
      <c r="B265" s="213" t="str">
        <f>'B) D RI'!B266</f>
        <v>Gilly</v>
      </c>
      <c r="C265" s="333">
        <f>'B) D RI'!S266</f>
        <v>66</v>
      </c>
      <c r="D265" s="214">
        <f>'B) D RI'!AR266</f>
        <v>1131</v>
      </c>
      <c r="E265" s="219">
        <f>'D) Ecrêtage'!M264</f>
        <v>55694.918787878785</v>
      </c>
      <c r="F265" s="222">
        <f>'E) Fact soc'!G270</f>
        <v>1215268.5056396956</v>
      </c>
      <c r="G265" s="222">
        <f>'H) Péréquation directe'!I275</f>
        <v>890869.37230024731</v>
      </c>
      <c r="H265" s="222">
        <f>'I) Dépenses thématiques'!O264</f>
        <v>0</v>
      </c>
      <c r="I265" s="222">
        <f>'K) Plafonnement aide'!J264</f>
        <v>0</v>
      </c>
      <c r="J265" s="222">
        <f>'J) Plafonnement effort'!I264</f>
        <v>0</v>
      </c>
      <c r="K265" s="222">
        <f>'L) Plafonnement taux'!Q265</f>
        <v>0</v>
      </c>
      <c r="L265" s="307">
        <f t="shared" si="12"/>
        <v>2106137.8779399428</v>
      </c>
      <c r="M265" s="307">
        <f>'M) Police'!O265</f>
        <v>170516.32670576146</v>
      </c>
      <c r="N265" s="307">
        <f t="shared" si="14"/>
        <v>2276654.204645704</v>
      </c>
      <c r="P265" s="380"/>
    </row>
    <row r="266" spans="1:16" s="215" customFormat="1" x14ac:dyDescent="0.25">
      <c r="A266" s="212">
        <f>'B) D RI'!A267</f>
        <v>5858</v>
      </c>
      <c r="B266" s="213" t="str">
        <f>'B) D RI'!B267</f>
        <v>Luins</v>
      </c>
      <c r="C266" s="333">
        <f>'B) D RI'!S267</f>
        <v>60</v>
      </c>
      <c r="D266" s="214">
        <f>'B) D RI'!AR267</f>
        <v>633</v>
      </c>
      <c r="E266" s="219">
        <f>'D) Ecrêtage'!M265</f>
        <v>33594.571611111111</v>
      </c>
      <c r="F266" s="222">
        <f>'E) Fact soc'!G271</f>
        <v>551402.88407283893</v>
      </c>
      <c r="G266" s="222">
        <f>'H) Péréquation directe'!I276</f>
        <v>561789.65265463036</v>
      </c>
      <c r="H266" s="222">
        <f>'I) Dépenses thématiques'!O265</f>
        <v>0</v>
      </c>
      <c r="I266" s="222">
        <f>'K) Plafonnement aide'!J265</f>
        <v>0</v>
      </c>
      <c r="J266" s="222">
        <f>'J) Plafonnement effort'!I265</f>
        <v>0</v>
      </c>
      <c r="K266" s="222">
        <f>'L) Plafonnement taux'!Q266</f>
        <v>0</v>
      </c>
      <c r="L266" s="307">
        <f t="shared" ref="L266:L315" si="15">F266+G266+H266+I266+J266+K266</f>
        <v>1113192.5367274694</v>
      </c>
      <c r="M266" s="307">
        <f>'M) Police'!O266</f>
        <v>98687.857226805994</v>
      </c>
      <c r="N266" s="307">
        <f t="shared" si="14"/>
        <v>1211880.3939542754</v>
      </c>
      <c r="P266" s="380"/>
    </row>
    <row r="267" spans="1:16" s="215" customFormat="1" x14ac:dyDescent="0.25">
      <c r="A267" s="212">
        <f>'B) D RI'!A268</f>
        <v>5859</v>
      </c>
      <c r="B267" s="213" t="str">
        <f>'B) D RI'!B268</f>
        <v>Mont-sur-Rolle</v>
      </c>
      <c r="C267" s="333">
        <f>'B) D RI'!S268</f>
        <v>63</v>
      </c>
      <c r="D267" s="214">
        <f>'B) D RI'!AR268</f>
        <v>2594</v>
      </c>
      <c r="E267" s="219">
        <f>'D) Ecrêtage'!M266</f>
        <v>146179.99827943172</v>
      </c>
      <c r="F267" s="222">
        <f>'E) Fact soc'!G272</f>
        <v>2695754.6348074907</v>
      </c>
      <c r="G267" s="222">
        <f>'H) Péréquation directe'!I277</f>
        <v>2065899.1819168939</v>
      </c>
      <c r="H267" s="222">
        <f>'I) Dépenses thématiques'!O266</f>
        <v>0</v>
      </c>
      <c r="I267" s="222">
        <f>'K) Plafonnement aide'!J266</f>
        <v>0</v>
      </c>
      <c r="J267" s="222">
        <f>'J) Plafonnement effort'!I266</f>
        <v>0</v>
      </c>
      <c r="K267" s="222">
        <f>'L) Plafonnement taux'!Q267</f>
        <v>0</v>
      </c>
      <c r="L267" s="307">
        <f t="shared" si="15"/>
        <v>4761653.8167243842</v>
      </c>
      <c r="M267" s="307">
        <f>'M) Police'!O267</f>
        <v>415843.60083507549</v>
      </c>
      <c r="N267" s="307">
        <f t="shared" si="14"/>
        <v>5177497.4175594598</v>
      </c>
      <c r="P267" s="380"/>
    </row>
    <row r="268" spans="1:16" s="215" customFormat="1" x14ac:dyDescent="0.25">
      <c r="A268" s="212">
        <f>'B) D RI'!A269</f>
        <v>5860</v>
      </c>
      <c r="B268" s="213" t="str">
        <f>'B) D RI'!B269</f>
        <v>Perroy</v>
      </c>
      <c r="C268" s="333">
        <f>'B) D RI'!S269</f>
        <v>60</v>
      </c>
      <c r="D268" s="214">
        <f>'B) D RI'!AR269</f>
        <v>1464</v>
      </c>
      <c r="E268" s="219">
        <f>'D) Ecrêtage'!M267</f>
        <v>86272.578588259305</v>
      </c>
      <c r="F268" s="222">
        <f>'E) Fact soc'!G273</f>
        <v>1900239.5185544812</v>
      </c>
      <c r="G268" s="222">
        <f>'H) Péréquation directe'!I278</f>
        <v>1343866.657784583</v>
      </c>
      <c r="H268" s="222">
        <f>'I) Dépenses thématiques'!O267</f>
        <v>0</v>
      </c>
      <c r="I268" s="222">
        <f>'K) Plafonnement aide'!J267</f>
        <v>0</v>
      </c>
      <c r="J268" s="222">
        <f>'J) Plafonnement effort'!I267</f>
        <v>0</v>
      </c>
      <c r="K268" s="222">
        <f>'L) Plafonnement taux'!Q268</f>
        <v>0</v>
      </c>
      <c r="L268" s="307">
        <f t="shared" si="15"/>
        <v>3244106.1763390643</v>
      </c>
      <c r="M268" s="307">
        <f>'M) Police'!O268</f>
        <v>239756.79189362252</v>
      </c>
      <c r="N268" s="307">
        <f t="shared" si="14"/>
        <v>3483862.9682326866</v>
      </c>
      <c r="P268" s="380"/>
    </row>
    <row r="269" spans="1:16" s="215" customFormat="1" x14ac:dyDescent="0.25">
      <c r="A269" s="212">
        <f>'B) D RI'!A270</f>
        <v>5861</v>
      </c>
      <c r="B269" s="213" t="str">
        <f>'B) D RI'!B270</f>
        <v>Rolle</v>
      </c>
      <c r="C269" s="333">
        <f>'B) D RI'!S270</f>
        <v>59.5</v>
      </c>
      <c r="D269" s="214">
        <f>'B) D RI'!AR270</f>
        <v>6047</v>
      </c>
      <c r="E269" s="219">
        <f>'D) Ecrêtage'!M268</f>
        <v>488902.60055099864</v>
      </c>
      <c r="F269" s="222">
        <f>'E) Fact soc'!G274</f>
        <v>14422371.823142283</v>
      </c>
      <c r="G269" s="222">
        <f>'H) Péréquation directe'!I279</f>
        <v>6683905.4999477826</v>
      </c>
      <c r="H269" s="222">
        <f>'I) Dépenses thématiques'!O268</f>
        <v>-88732.787898162889</v>
      </c>
      <c r="I269" s="222">
        <f>'K) Plafonnement aide'!J268</f>
        <v>0</v>
      </c>
      <c r="J269" s="222">
        <f>'J) Plafonnement effort'!I268</f>
        <v>0</v>
      </c>
      <c r="K269" s="222">
        <f>'L) Plafonnement taux'!Q269</f>
        <v>0</v>
      </c>
      <c r="L269" s="307">
        <f t="shared" si="15"/>
        <v>21017544.535191901</v>
      </c>
      <c r="M269" s="307">
        <f>'M) Police'!O269</f>
        <v>1168259.9017410786</v>
      </c>
      <c r="N269" s="307">
        <f t="shared" si="14"/>
        <v>22185804.436932981</v>
      </c>
      <c r="P269" s="380"/>
    </row>
    <row r="270" spans="1:16" s="215" customFormat="1" x14ac:dyDescent="0.25">
      <c r="A270" s="212">
        <f>'B) D RI'!A271</f>
        <v>5862</v>
      </c>
      <c r="B270" s="213" t="str">
        <f>'B) D RI'!B271</f>
        <v>Tartegnin</v>
      </c>
      <c r="C270" s="333">
        <f>'B) D RI'!S271</f>
        <v>84</v>
      </c>
      <c r="D270" s="214">
        <f>'B) D RI'!AR271</f>
        <v>230</v>
      </c>
      <c r="E270" s="219">
        <f>'D) Ecrêtage'!M269</f>
        <v>9990.8663492063497</v>
      </c>
      <c r="F270" s="222">
        <f>'E) Fact soc'!G275</f>
        <v>169809.61784825468</v>
      </c>
      <c r="G270" s="222">
        <f>'H) Péréquation directe'!I280</f>
        <v>158723.671672747</v>
      </c>
      <c r="H270" s="222">
        <f>'I) Dépenses thématiques'!O269</f>
        <v>0</v>
      </c>
      <c r="I270" s="222">
        <f>'K) Plafonnement aide'!J269</f>
        <v>0</v>
      </c>
      <c r="J270" s="222">
        <f>'J) Plafonnement effort'!I269</f>
        <v>0</v>
      </c>
      <c r="K270" s="222">
        <f>'L) Plafonnement taux'!Q270</f>
        <v>0</v>
      </c>
      <c r="L270" s="307">
        <f t="shared" si="15"/>
        <v>328533.28952100169</v>
      </c>
      <c r="M270" s="307">
        <f>'M) Police'!O270</f>
        <v>32326.541310830409</v>
      </c>
      <c r="N270" s="307">
        <f t="shared" si="14"/>
        <v>360859.83083183208</v>
      </c>
      <c r="P270" s="380"/>
    </row>
    <row r="271" spans="1:16" s="215" customFormat="1" x14ac:dyDescent="0.25">
      <c r="A271" s="212">
        <f>'B) D RI'!A272</f>
        <v>5863</v>
      </c>
      <c r="B271" s="213" t="str">
        <f>'B) D RI'!B272</f>
        <v>Vinzel</v>
      </c>
      <c r="C271" s="333">
        <f>'B) D RI'!S272</f>
        <v>70</v>
      </c>
      <c r="D271" s="214">
        <f>'B) D RI'!AR272</f>
        <v>349</v>
      </c>
      <c r="E271" s="219">
        <f>'D) Ecrêtage'!M270</f>
        <v>23987.326029124335</v>
      </c>
      <c r="F271" s="222">
        <f>'E) Fact soc'!G276</f>
        <v>579822.98056570045</v>
      </c>
      <c r="G271" s="222">
        <f>'H) Péréquation directe'!I281</f>
        <v>411325.33411595691</v>
      </c>
      <c r="H271" s="222">
        <f>'I) Dépenses thématiques'!O270</f>
        <v>0</v>
      </c>
      <c r="I271" s="222">
        <f>'K) Plafonnement aide'!J270</f>
        <v>0</v>
      </c>
      <c r="J271" s="222">
        <f>'J) Plafonnement effort'!I270</f>
        <v>0</v>
      </c>
      <c r="K271" s="222">
        <f>'L) Plafonnement taux'!Q271</f>
        <v>0</v>
      </c>
      <c r="L271" s="307">
        <f t="shared" si="15"/>
        <v>991148.31468165736</v>
      </c>
      <c r="M271" s="307">
        <f>'M) Police'!O271</f>
        <v>61747.687319530996</v>
      </c>
      <c r="N271" s="307">
        <f t="shared" si="14"/>
        <v>1052896.0020011885</v>
      </c>
      <c r="P271" s="380"/>
    </row>
    <row r="272" spans="1:16" s="215" customFormat="1" x14ac:dyDescent="0.25">
      <c r="A272" s="212">
        <f>'B) D RI'!A273</f>
        <v>5871</v>
      </c>
      <c r="B272" s="213" t="str">
        <f>'B) D RI'!B273</f>
        <v>L'Abbaye</v>
      </c>
      <c r="C272" s="333">
        <f>'B) D RI'!S273</f>
        <v>77.11</v>
      </c>
      <c r="D272" s="214">
        <f>'B) D RI'!AR273</f>
        <v>1423</v>
      </c>
      <c r="E272" s="219">
        <f>'D) Ecrêtage'!M271</f>
        <v>49270.614706263776</v>
      </c>
      <c r="F272" s="222">
        <f>'E) Fact soc'!G277</f>
        <v>1021715.5931318658</v>
      </c>
      <c r="G272" s="222">
        <f>'H) Péréquation directe'!I282</f>
        <v>351744.46638536477</v>
      </c>
      <c r="H272" s="222">
        <f>'I) Dépenses thématiques'!O271</f>
        <v>-308734.26415599888</v>
      </c>
      <c r="I272" s="222">
        <f>'K) Plafonnement aide'!J271</f>
        <v>0</v>
      </c>
      <c r="J272" s="222">
        <f>'J) Plafonnement effort'!I271</f>
        <v>0</v>
      </c>
      <c r="K272" s="222">
        <f>'L) Plafonnement taux'!Q272</f>
        <v>0</v>
      </c>
      <c r="L272" s="307">
        <f t="shared" si="15"/>
        <v>1064725.7953612318</v>
      </c>
      <c r="M272" s="307">
        <f>'M) Police'!O272</f>
        <v>158711.86424097535</v>
      </c>
      <c r="N272" s="307">
        <f t="shared" si="14"/>
        <v>1223437.6596022071</v>
      </c>
      <c r="P272" s="380"/>
    </row>
    <row r="273" spans="1:16" s="215" customFormat="1" x14ac:dyDescent="0.25">
      <c r="A273" s="212">
        <f>'B) D RI'!A274</f>
        <v>5872</v>
      </c>
      <c r="B273" s="213" t="str">
        <f>'B) D RI'!B274</f>
        <v>Le Chenit</v>
      </c>
      <c r="C273" s="333">
        <f>'B) D RI'!S274</f>
        <v>69.739999999999995</v>
      </c>
      <c r="D273" s="214">
        <f>'B) D RI'!AR274</f>
        <v>4614</v>
      </c>
      <c r="E273" s="219">
        <f>'D) Ecrêtage'!M272</f>
        <v>298295.92842205171</v>
      </c>
      <c r="F273" s="222">
        <f>'E) Fact soc'!G278</f>
        <v>7742738.7646780843</v>
      </c>
      <c r="G273" s="222">
        <f>'H) Péréquation directe'!I283</f>
        <v>3953864.5011400725</v>
      </c>
      <c r="H273" s="222">
        <f>'I) Dépenses thématiques'!O272</f>
        <v>-1279064.1222539577</v>
      </c>
      <c r="I273" s="222">
        <f>'K) Plafonnement aide'!J272</f>
        <v>0</v>
      </c>
      <c r="J273" s="222">
        <f>'J) Plafonnement effort'!I272</f>
        <v>0</v>
      </c>
      <c r="K273" s="222">
        <f>'L) Plafonnement taux'!Q273</f>
        <v>0</v>
      </c>
      <c r="L273" s="307">
        <f t="shared" si="15"/>
        <v>10417539.143564198</v>
      </c>
      <c r="M273" s="307">
        <f>'M) Police'!O273</f>
        <v>791062.50762480777</v>
      </c>
      <c r="N273" s="307">
        <f t="shared" si="14"/>
        <v>11208601.651189007</v>
      </c>
      <c r="P273" s="380"/>
    </row>
    <row r="274" spans="1:16" s="215" customFormat="1" x14ac:dyDescent="0.25">
      <c r="A274" s="212">
        <f>'B) D RI'!A275</f>
        <v>5873</v>
      </c>
      <c r="B274" s="213" t="str">
        <f>'B) D RI'!B275</f>
        <v>Le Lieu</v>
      </c>
      <c r="C274" s="333">
        <f>'B) D RI'!S275</f>
        <v>65</v>
      </c>
      <c r="D274" s="214">
        <f>'B) D RI'!AR275</f>
        <v>859</v>
      </c>
      <c r="E274" s="219">
        <f>'D) Ecrêtage'!M273</f>
        <v>35906.558461538458</v>
      </c>
      <c r="F274" s="222">
        <f>'E) Fact soc'!G279</f>
        <v>899214.06752455817</v>
      </c>
      <c r="G274" s="222">
        <f>'H) Péréquation directe'!I284</f>
        <v>549320.32994214131</v>
      </c>
      <c r="H274" s="222">
        <f>'I) Dépenses thématiques'!O273</f>
        <v>-751095.52012592228</v>
      </c>
      <c r="I274" s="222">
        <f>'K) Plafonnement aide'!J273</f>
        <v>0</v>
      </c>
      <c r="J274" s="222">
        <f>'J) Plafonnement effort'!I273</f>
        <v>0</v>
      </c>
      <c r="K274" s="222">
        <f>'L) Plafonnement taux'!Q274</f>
        <v>0</v>
      </c>
      <c r="L274" s="307">
        <f t="shared" si="15"/>
        <v>697438.87734077731</v>
      </c>
      <c r="M274" s="307">
        <f>'M) Police'!O274</f>
        <v>113297.44083346875</v>
      </c>
      <c r="N274" s="307">
        <f t="shared" si="14"/>
        <v>810736.318174246</v>
      </c>
      <c r="P274" s="380"/>
    </row>
    <row r="275" spans="1:16" s="215" customFormat="1" x14ac:dyDescent="0.25">
      <c r="A275" s="212">
        <f>'B) D RI'!A276</f>
        <v>5881</v>
      </c>
      <c r="B275" s="213" t="str">
        <f>'B) D RI'!B276</f>
        <v>Blonay</v>
      </c>
      <c r="C275" s="333">
        <f>'B) D RI'!S276</f>
        <v>70</v>
      </c>
      <c r="D275" s="214">
        <f>'B) D RI'!AR276</f>
        <v>6132</v>
      </c>
      <c r="E275" s="219">
        <f>'D) Ecrêtage'!M274</f>
        <v>346571.01644929632</v>
      </c>
      <c r="F275" s="222">
        <f>'E) Fact soc'!G280</f>
        <v>6752946.9340828806</v>
      </c>
      <c r="G275" s="222">
        <f>'H) Péréquation directe'!I285</f>
        <v>3987772.0803576764</v>
      </c>
      <c r="H275" s="222">
        <f>'I) Dépenses thématiques'!O274</f>
        <v>-791021.42576679797</v>
      </c>
      <c r="I275" s="222">
        <f>'K) Plafonnement aide'!J274</f>
        <v>0</v>
      </c>
      <c r="J275" s="222">
        <f>'J) Plafonnement effort'!I274</f>
        <v>0</v>
      </c>
      <c r="K275" s="222">
        <f>'L) Plafonnement taux'!Q275</f>
        <v>0</v>
      </c>
      <c r="L275" s="307">
        <f t="shared" si="15"/>
        <v>9949697.5886737593</v>
      </c>
      <c r="M275" s="307">
        <f>'M) Police'!O275</f>
        <v>465259.8581291372</v>
      </c>
      <c r="N275" s="307">
        <f t="shared" si="14"/>
        <v>10414957.446802896</v>
      </c>
      <c r="P275" s="380"/>
    </row>
    <row r="276" spans="1:16" s="215" customFormat="1" x14ac:dyDescent="0.25">
      <c r="A276" s="212">
        <f>'B) D RI'!A277</f>
        <v>5882</v>
      </c>
      <c r="B276" s="213" t="str">
        <f>'B) D RI'!B277</f>
        <v>Chardonne</v>
      </c>
      <c r="C276" s="333">
        <f>'B) D RI'!S277</f>
        <v>66</v>
      </c>
      <c r="D276" s="214">
        <f>'B) D RI'!AR277</f>
        <v>2889</v>
      </c>
      <c r="E276" s="219">
        <f>'D) Ecrêtage'!M275</f>
        <v>161622.89090586835</v>
      </c>
      <c r="F276" s="222">
        <f>'E) Fact soc'!G281</f>
        <v>3362905.8311888771</v>
      </c>
      <c r="G276" s="222">
        <f>'H) Péréquation directe'!I286</f>
        <v>2250738.9933456173</v>
      </c>
      <c r="H276" s="222">
        <f>'I) Dépenses thématiques'!O275</f>
        <v>-296053.30225427379</v>
      </c>
      <c r="I276" s="222">
        <f>'K) Plafonnement aide'!J275</f>
        <v>0</v>
      </c>
      <c r="J276" s="222">
        <f>'J) Plafonnement effort'!I275</f>
        <v>0</v>
      </c>
      <c r="K276" s="222">
        <f>'L) Plafonnement taux'!Q276</f>
        <v>0</v>
      </c>
      <c r="L276" s="307">
        <f t="shared" si="15"/>
        <v>5317591.5222802209</v>
      </c>
      <c r="M276" s="307">
        <f>'M) Police'!O276</f>
        <v>216973.26009454884</v>
      </c>
      <c r="N276" s="307">
        <f t="shared" si="14"/>
        <v>5534564.7823747694</v>
      </c>
      <c r="P276" s="380"/>
    </row>
    <row r="277" spans="1:16" s="215" customFormat="1" x14ac:dyDescent="0.25">
      <c r="A277" s="212">
        <f>'B) D RI'!A278</f>
        <v>5883</v>
      </c>
      <c r="B277" s="213" t="str">
        <f>'B) D RI'!B278</f>
        <v>Corseaux</v>
      </c>
      <c r="C277" s="333">
        <f>'B) D RI'!S278</f>
        <v>64</v>
      </c>
      <c r="D277" s="214">
        <f>'B) D RI'!AR278</f>
        <v>2172</v>
      </c>
      <c r="E277" s="219">
        <f>'D) Ecrêtage'!M276</f>
        <v>138337.12769454491</v>
      </c>
      <c r="F277" s="222">
        <f>'E) Fact soc'!G282</f>
        <v>3308667.3333433392</v>
      </c>
      <c r="G277" s="222">
        <f>'H) Péréquation directe'!I287</f>
        <v>2066330.7036244911</v>
      </c>
      <c r="H277" s="222">
        <f>'I) Dépenses thématiques'!O276</f>
        <v>0</v>
      </c>
      <c r="I277" s="222">
        <f>'K) Plafonnement aide'!J276</f>
        <v>0</v>
      </c>
      <c r="J277" s="222">
        <f>'J) Plafonnement effort'!I276</f>
        <v>0</v>
      </c>
      <c r="K277" s="222">
        <f>'L) Plafonnement taux'!Q277</f>
        <v>0</v>
      </c>
      <c r="L277" s="307">
        <f t="shared" si="15"/>
        <v>5374998.0369678307</v>
      </c>
      <c r="M277" s="307">
        <f>'M) Police'!O277</f>
        <v>185712.9112081207</v>
      </c>
      <c r="N277" s="307">
        <f t="shared" si="14"/>
        <v>5560710.9481759518</v>
      </c>
      <c r="P277" s="380"/>
    </row>
    <row r="278" spans="1:16" s="215" customFormat="1" x14ac:dyDescent="0.25">
      <c r="A278" s="212">
        <f>'B) D RI'!A279</f>
        <v>5884</v>
      </c>
      <c r="B278" s="213" t="str">
        <f>'B) D RI'!B279</f>
        <v>Corsier-sur-Vevey</v>
      </c>
      <c r="C278" s="333">
        <f>'B) D RI'!S279</f>
        <v>66</v>
      </c>
      <c r="D278" s="214">
        <f>'B) D RI'!AR279</f>
        <v>3427</v>
      </c>
      <c r="E278" s="219">
        <f>'D) Ecrêtage'!M277</f>
        <v>132379.93277777778</v>
      </c>
      <c r="F278" s="222">
        <f>'E) Fact soc'!G283</f>
        <v>2397892.6701575411</v>
      </c>
      <c r="G278" s="222">
        <f>'H) Péréquation directe'!I288</f>
        <v>1133044.3917612378</v>
      </c>
      <c r="H278" s="222">
        <f>'I) Dépenses thématiques'!O277</f>
        <v>-683628.17755965772</v>
      </c>
      <c r="I278" s="222">
        <f>'K) Plafonnement aide'!J277</f>
        <v>0</v>
      </c>
      <c r="J278" s="222">
        <f>'J) Plafonnement effort'!I277</f>
        <v>0</v>
      </c>
      <c r="K278" s="222">
        <f>'L) Plafonnement taux'!Q278</f>
        <v>0</v>
      </c>
      <c r="L278" s="307">
        <f t="shared" si="15"/>
        <v>2847308.8843591213</v>
      </c>
      <c r="M278" s="307">
        <f>'M) Police'!O278</f>
        <v>177715.57868384081</v>
      </c>
      <c r="N278" s="307">
        <f t="shared" si="14"/>
        <v>3025024.4630429624</v>
      </c>
      <c r="P278" s="380"/>
    </row>
    <row r="279" spans="1:16" s="215" customFormat="1" x14ac:dyDescent="0.25">
      <c r="A279" s="212">
        <f>'B) D RI'!A280</f>
        <v>5885</v>
      </c>
      <c r="B279" s="213" t="str">
        <f>'B) D RI'!B280</f>
        <v>Jongny</v>
      </c>
      <c r="C279" s="333">
        <f>'B) D RI'!S280</f>
        <v>69</v>
      </c>
      <c r="D279" s="214">
        <f>'B) D RI'!AR280</f>
        <v>1493</v>
      </c>
      <c r="E279" s="219">
        <f>'D) Ecrêtage'!M278</f>
        <v>122286.47437647045</v>
      </c>
      <c r="F279" s="222">
        <f>'E) Fact soc'!G284</f>
        <v>3763976.242696329</v>
      </c>
      <c r="G279" s="222">
        <f>'H) Péréquation directe'!I289</f>
        <v>2003241.7792394238</v>
      </c>
      <c r="H279" s="222">
        <f>'I) Dépenses thématiques'!O278</f>
        <v>0</v>
      </c>
      <c r="I279" s="222">
        <f>'K) Plafonnement aide'!J278</f>
        <v>0</v>
      </c>
      <c r="J279" s="222">
        <f>'J) Plafonnement effort'!I278</f>
        <v>0</v>
      </c>
      <c r="K279" s="222">
        <f>'L) Plafonnement taux'!Q279</f>
        <v>0</v>
      </c>
      <c r="L279" s="307">
        <f t="shared" si="15"/>
        <v>5767218.0219357526</v>
      </c>
      <c r="M279" s="307">
        <f>'M) Police'!O279</f>
        <v>164165.45244438469</v>
      </c>
      <c r="N279" s="307">
        <f t="shared" si="14"/>
        <v>5931383.4743801374</v>
      </c>
      <c r="P279" s="380"/>
    </row>
    <row r="280" spans="1:16" s="215" customFormat="1" x14ac:dyDescent="0.25">
      <c r="A280" s="212">
        <f>'B) D RI'!A281</f>
        <v>5886</v>
      </c>
      <c r="B280" s="213" t="str">
        <f>'B) D RI'!B281</f>
        <v>Montreux</v>
      </c>
      <c r="C280" s="333">
        <f>'B) D RI'!S281</f>
        <v>65</v>
      </c>
      <c r="D280" s="214">
        <f>'B) D RI'!AR281</f>
        <v>26283</v>
      </c>
      <c r="E280" s="219">
        <f>'D) Ecrêtage'!M279</f>
        <v>1113145.3400000003</v>
      </c>
      <c r="F280" s="222">
        <f>'E) Fact soc'!G285</f>
        <v>24219736.620690692</v>
      </c>
      <c r="G280" s="222">
        <f>'H) Péréquation directe'!I290</f>
        <v>-1457039.6699081957</v>
      </c>
      <c r="H280" s="222">
        <f>'I) Dépenses thématiques'!O279</f>
        <v>-4559737.9534897292</v>
      </c>
      <c r="I280" s="222">
        <f>'K) Plafonnement aide'!J279</f>
        <v>0</v>
      </c>
      <c r="J280" s="222">
        <f>'J) Plafonnement effort'!I279</f>
        <v>0</v>
      </c>
      <c r="K280" s="222">
        <f>'L) Plafonnement taux'!Q280</f>
        <v>0</v>
      </c>
      <c r="L280" s="307">
        <f t="shared" si="15"/>
        <v>18202958.997292768</v>
      </c>
      <c r="M280" s="307">
        <f>'M) Police'!O280</f>
        <v>1494359.9388995066</v>
      </c>
      <c r="N280" s="307">
        <f t="shared" si="14"/>
        <v>19697318.936192274</v>
      </c>
      <c r="P280" s="380"/>
    </row>
    <row r="281" spans="1:16" s="215" customFormat="1" x14ac:dyDescent="0.25">
      <c r="A281" s="212">
        <f>'B) D RI'!A282</f>
        <v>5888</v>
      </c>
      <c r="B281" s="213" t="str">
        <f>'B) D RI'!B282</f>
        <v>Saint-Légier-La Chiésaz</v>
      </c>
      <c r="C281" s="333">
        <f>'B) D RI'!S282</f>
        <v>66</v>
      </c>
      <c r="D281" s="214">
        <f>'B) D RI'!AR282</f>
        <v>5071</v>
      </c>
      <c r="E281" s="219">
        <f>'D) Ecrêtage'!M280</f>
        <v>304726.92463337898</v>
      </c>
      <c r="F281" s="222">
        <f>'E) Fact soc'!G286</f>
        <v>6283471.154677582</v>
      </c>
      <c r="G281" s="222">
        <f>'H) Péréquation directe'!I291</f>
        <v>3840173.4932399839</v>
      </c>
      <c r="H281" s="222">
        <f>'I) Dépenses thématiques'!O280</f>
        <v>-1736610.2837108055</v>
      </c>
      <c r="I281" s="222">
        <f>'K) Plafonnement aide'!J280</f>
        <v>0</v>
      </c>
      <c r="J281" s="222">
        <f>'J) Plafonnement effort'!I280</f>
        <v>0</v>
      </c>
      <c r="K281" s="222">
        <f>'L) Plafonnement taux'!Q281</f>
        <v>0</v>
      </c>
      <c r="L281" s="307">
        <f t="shared" si="15"/>
        <v>8387034.3642067593</v>
      </c>
      <c r="M281" s="307">
        <f>'M) Police'!O281</f>
        <v>409085.58129181108</v>
      </c>
      <c r="N281" s="307">
        <f t="shared" si="14"/>
        <v>8796119.9454985708</v>
      </c>
      <c r="P281" s="380"/>
    </row>
    <row r="282" spans="1:16" s="215" customFormat="1" x14ac:dyDescent="0.25">
      <c r="A282" s="212">
        <f>'B) D RI'!A283</f>
        <v>5889</v>
      </c>
      <c r="B282" s="213" t="str">
        <f>'B) D RI'!B283</f>
        <v>La Tour-de-Peilz</v>
      </c>
      <c r="C282" s="333">
        <f>'B) D RI'!S283</f>
        <v>64</v>
      </c>
      <c r="D282" s="214">
        <f>'B) D RI'!AR283</f>
        <v>11421</v>
      </c>
      <c r="E282" s="219">
        <f>'D) Ecrêtage'!M281</f>
        <v>590141.45856770838</v>
      </c>
      <c r="F282" s="222">
        <f>'E) Fact soc'!G287</f>
        <v>10241335.868968729</v>
      </c>
      <c r="G282" s="222">
        <f>'H) Péréquation directe'!I292</f>
        <v>4774601.8210934866</v>
      </c>
      <c r="H282" s="222">
        <f>'I) Dépenses thématiques'!O281</f>
        <v>0</v>
      </c>
      <c r="I282" s="222">
        <f>'K) Plafonnement aide'!J281</f>
        <v>0</v>
      </c>
      <c r="J282" s="222">
        <f>'J) Plafonnement effort'!I281</f>
        <v>0</v>
      </c>
      <c r="K282" s="222">
        <f>'L) Plafonnement taux'!Q282</f>
        <v>0</v>
      </c>
      <c r="L282" s="307">
        <f t="shared" si="15"/>
        <v>15015937.690062216</v>
      </c>
      <c r="M282" s="307">
        <f>'M) Police'!O282</f>
        <v>792244.93179597391</v>
      </c>
      <c r="N282" s="307">
        <f t="shared" si="14"/>
        <v>15808182.621858189</v>
      </c>
      <c r="P282" s="380"/>
    </row>
    <row r="283" spans="1:16" s="215" customFormat="1" x14ac:dyDescent="0.25">
      <c r="A283" s="212">
        <f>'B) D RI'!A284</f>
        <v>5890</v>
      </c>
      <c r="B283" s="213" t="str">
        <f>'B) D RI'!B284</f>
        <v>Vevey</v>
      </c>
      <c r="C283" s="333">
        <f>'B) D RI'!S284</f>
        <v>73</v>
      </c>
      <c r="D283" s="214">
        <f>'B) D RI'!AR284</f>
        <v>19217</v>
      </c>
      <c r="E283" s="219">
        <f>'D) Ecrêtage'!M282</f>
        <v>922155.6933561645</v>
      </c>
      <c r="F283" s="222">
        <f>'E) Fact soc'!G288</f>
        <v>16659803.696335582</v>
      </c>
      <c r="G283" s="222">
        <f>'H) Péréquation directe'!I293</f>
        <v>3105730.1907020882</v>
      </c>
      <c r="H283" s="222">
        <f>'I) Dépenses thématiques'!O282</f>
        <v>-950666.94649811112</v>
      </c>
      <c r="I283" s="222">
        <f>'K) Plafonnement aide'!J282</f>
        <v>0</v>
      </c>
      <c r="J283" s="222">
        <f>'J) Plafonnement effort'!I282</f>
        <v>0</v>
      </c>
      <c r="K283" s="222">
        <f>'L) Plafonnement taux'!Q283</f>
        <v>0</v>
      </c>
      <c r="L283" s="307">
        <f t="shared" si="15"/>
        <v>18814866.940539561</v>
      </c>
      <c r="M283" s="307">
        <f>'M) Police'!O283</f>
        <v>1237962.8032935481</v>
      </c>
      <c r="N283" s="307">
        <f t="shared" si="14"/>
        <v>20052829.74383311</v>
      </c>
      <c r="P283" s="380"/>
    </row>
    <row r="284" spans="1:16" s="215" customFormat="1" x14ac:dyDescent="0.25">
      <c r="A284" s="212">
        <f>'B) D RI'!A285</f>
        <v>5891</v>
      </c>
      <c r="B284" s="213" t="str">
        <f>'B) D RI'!B285</f>
        <v>Veytaux</v>
      </c>
      <c r="C284" s="333">
        <f>'B) D RI'!S285</f>
        <v>69</v>
      </c>
      <c r="D284" s="214">
        <f>'B) D RI'!AR285</f>
        <v>854</v>
      </c>
      <c r="E284" s="219">
        <f>'D) Ecrêtage'!M283</f>
        <v>37259.444879227056</v>
      </c>
      <c r="F284" s="222">
        <f>'E) Fact soc'!G289</f>
        <v>691099.89007926383</v>
      </c>
      <c r="G284" s="222">
        <f>'H) Péréquation directe'!I294</f>
        <v>600553.62626310624</v>
      </c>
      <c r="H284" s="222">
        <f>'I) Dépenses thématiques'!O283</f>
        <v>-330732.9935913168</v>
      </c>
      <c r="I284" s="222">
        <f>'K) Plafonnement aide'!J283</f>
        <v>0</v>
      </c>
      <c r="J284" s="222">
        <f>'J) Plafonnement effort'!I283</f>
        <v>0</v>
      </c>
      <c r="K284" s="222">
        <f>'L) Plafonnement taux'!Q284</f>
        <v>0</v>
      </c>
      <c r="L284" s="307">
        <f t="shared" si="15"/>
        <v>960920.52275105333</v>
      </c>
      <c r="M284" s="307">
        <f>'M) Police'!O284</f>
        <v>50019.543515450787</v>
      </c>
      <c r="N284" s="307">
        <f t="shared" si="14"/>
        <v>1010940.0662665041</v>
      </c>
      <c r="P284" s="380"/>
    </row>
    <row r="285" spans="1:16" s="215" customFormat="1" x14ac:dyDescent="0.25">
      <c r="A285" s="212">
        <f>'B) D RI'!A286</f>
        <v>5902</v>
      </c>
      <c r="B285" s="213" t="str">
        <f>'B) D RI'!B286</f>
        <v>Belmont-sur-Yverdon</v>
      </c>
      <c r="C285" s="333">
        <f>'B) D RI'!S286</f>
        <v>76</v>
      </c>
      <c r="D285" s="214">
        <f>'B) D RI'!AR286</f>
        <v>369</v>
      </c>
      <c r="E285" s="219">
        <f>'D) Ecrêtage'!M284</f>
        <v>8642.2247368421067</v>
      </c>
      <c r="F285" s="222">
        <f>'E) Fact soc'!G290</f>
        <v>190830.72362434235</v>
      </c>
      <c r="G285" s="222">
        <f>'H) Péréquation directe'!I295</f>
        <v>-51082.515052656468</v>
      </c>
      <c r="H285" s="222">
        <f>'I) Dépenses thématiques'!O284</f>
        <v>-156145.80361650937</v>
      </c>
      <c r="I285" s="222">
        <f>'K) Plafonnement aide'!J284</f>
        <v>0</v>
      </c>
      <c r="J285" s="222">
        <f>'J) Plafonnement effort'!I284</f>
        <v>0</v>
      </c>
      <c r="K285" s="222">
        <f>'L) Plafonnement taux'!Q285</f>
        <v>0</v>
      </c>
      <c r="L285" s="307">
        <f t="shared" si="15"/>
        <v>-16397.59504482348</v>
      </c>
      <c r="M285" s="307">
        <f>'M) Police'!O285</f>
        <v>27605.638379802695</v>
      </c>
      <c r="N285" s="307">
        <f t="shared" si="14"/>
        <v>11208.043334979215</v>
      </c>
      <c r="P285" s="380"/>
    </row>
    <row r="286" spans="1:16" s="215" customFormat="1" x14ac:dyDescent="0.25">
      <c r="A286" s="212">
        <f>'B) D RI'!A287</f>
        <v>5903</v>
      </c>
      <c r="B286" s="213" t="str">
        <f>'B) D RI'!B287</f>
        <v>Bioley-Magnoux</v>
      </c>
      <c r="C286" s="333">
        <f>'B) D RI'!S287</f>
        <v>74</v>
      </c>
      <c r="D286" s="214">
        <f>'B) D RI'!AR287</f>
        <v>201</v>
      </c>
      <c r="E286" s="219">
        <f>'D) Ecrêtage'!M285</f>
        <v>6046.5271621621623</v>
      </c>
      <c r="F286" s="222">
        <f>'E) Fact soc'!G291</f>
        <v>139357.60802374769</v>
      </c>
      <c r="G286" s="222">
        <f>'H) Péréquation directe'!I296</f>
        <v>31176.297892260292</v>
      </c>
      <c r="H286" s="222">
        <f>'I) Dépenses thématiques'!O285</f>
        <v>-164187.93138268695</v>
      </c>
      <c r="I286" s="222">
        <f>'K) Plafonnement aide'!J285</f>
        <v>0</v>
      </c>
      <c r="J286" s="222">
        <f>'J) Plafonnement effort'!I285</f>
        <v>0</v>
      </c>
      <c r="K286" s="222">
        <f>'L) Plafonnement taux'!Q286</f>
        <v>0</v>
      </c>
      <c r="L286" s="307">
        <f t="shared" si="15"/>
        <v>6345.9745333210449</v>
      </c>
      <c r="M286" s="307">
        <f>'M) Police'!O286</f>
        <v>19403.73128306296</v>
      </c>
      <c r="N286" s="307">
        <f t="shared" si="14"/>
        <v>25749.705816384005</v>
      </c>
      <c r="P286" s="380"/>
    </row>
    <row r="287" spans="1:16" s="215" customFormat="1" x14ac:dyDescent="0.25">
      <c r="A287" s="212">
        <f>'B) D RI'!A288</f>
        <v>5904</v>
      </c>
      <c r="B287" s="213" t="str">
        <f>'B) D RI'!B288</f>
        <v>Chamblon</v>
      </c>
      <c r="C287" s="333">
        <f>'B) D RI'!S288</f>
        <v>66</v>
      </c>
      <c r="D287" s="214">
        <f>'B) D RI'!AR288</f>
        <v>568</v>
      </c>
      <c r="E287" s="219">
        <f>'D) Ecrêtage'!M286</f>
        <v>20170.434545454544</v>
      </c>
      <c r="F287" s="222">
        <f>'E) Fact soc'!G292</f>
        <v>388790.22587649943</v>
      </c>
      <c r="G287" s="222">
        <f>'H) Péréquation directe'!I297</f>
        <v>234275.44662547149</v>
      </c>
      <c r="H287" s="222">
        <f>'I) Dépenses thématiques'!O286</f>
        <v>0</v>
      </c>
      <c r="I287" s="222">
        <f>'K) Plafonnement aide'!J286</f>
        <v>0</v>
      </c>
      <c r="J287" s="222">
        <f>'J) Plafonnement effort'!I286</f>
        <v>0</v>
      </c>
      <c r="K287" s="222">
        <f>'L) Plafonnement taux'!Q287</f>
        <v>0</v>
      </c>
      <c r="L287" s="307">
        <f t="shared" si="15"/>
        <v>623065.6725019709</v>
      </c>
      <c r="M287" s="307">
        <f>'M) Police'!O287</f>
        <v>27078.125606600428</v>
      </c>
      <c r="N287" s="307">
        <f t="shared" si="14"/>
        <v>650143.79810857133</v>
      </c>
      <c r="P287" s="380"/>
    </row>
    <row r="288" spans="1:16" s="215" customFormat="1" x14ac:dyDescent="0.25">
      <c r="A288" s="212">
        <f>'B) D RI'!A289</f>
        <v>5905</v>
      </c>
      <c r="B288" s="213" t="str">
        <f>'B) D RI'!B289</f>
        <v>Champvent</v>
      </c>
      <c r="C288" s="333">
        <f>'B) D RI'!S289</f>
        <v>71</v>
      </c>
      <c r="D288" s="214">
        <f>'B) D RI'!AR289</f>
        <v>617</v>
      </c>
      <c r="E288" s="219">
        <f>'D) Ecrêtage'!M287</f>
        <v>18220.765633802814</v>
      </c>
      <c r="F288" s="222">
        <f>'E) Fact soc'!G293</f>
        <v>330811.46450766723</v>
      </c>
      <c r="G288" s="222">
        <f>'H) Péréquation directe'!I298</f>
        <v>97518.497352579638</v>
      </c>
      <c r="H288" s="222">
        <f>'I) Dépenses thématiques'!O287</f>
        <v>-90781.446406232193</v>
      </c>
      <c r="I288" s="222">
        <f>'K) Plafonnement aide'!J287</f>
        <v>0</v>
      </c>
      <c r="J288" s="222">
        <f>'J) Plafonnement effort'!I287</f>
        <v>0</v>
      </c>
      <c r="K288" s="222">
        <f>'L) Plafonnement taux'!Q288</f>
        <v>0</v>
      </c>
      <c r="L288" s="307">
        <f t="shared" si="15"/>
        <v>337548.51545401465</v>
      </c>
      <c r="M288" s="307">
        <f>'M) Police'!O288</f>
        <v>58483.157145480072</v>
      </c>
      <c r="N288" s="307">
        <f t="shared" si="14"/>
        <v>396031.67259949469</v>
      </c>
      <c r="P288" s="380"/>
    </row>
    <row r="289" spans="1:16" s="215" customFormat="1" x14ac:dyDescent="0.25">
      <c r="A289" s="212">
        <f>'B) D RI'!A290</f>
        <v>5907</v>
      </c>
      <c r="B289" s="213" t="str">
        <f>'B) D RI'!B290</f>
        <v>Chavannes-le-Chêne</v>
      </c>
      <c r="C289" s="333">
        <f>'B) D RI'!S290</f>
        <v>78</v>
      </c>
      <c r="D289" s="214">
        <f>'B) D RI'!AR290</f>
        <v>278</v>
      </c>
      <c r="E289" s="219">
        <f>'D) Ecrêtage'!M288</f>
        <v>6951.74782051282</v>
      </c>
      <c r="F289" s="222">
        <f>'E) Fact soc'!G294</f>
        <v>128147.69426044248</v>
      </c>
      <c r="G289" s="222">
        <f>'H) Péréquation directe'!I299</f>
        <v>-26665.229217247164</v>
      </c>
      <c r="H289" s="222">
        <f>'I) Dépenses thématiques'!O288</f>
        <v>-88815.421795126327</v>
      </c>
      <c r="I289" s="222">
        <f>'K) Plafonnement aide'!J288</f>
        <v>0</v>
      </c>
      <c r="J289" s="222">
        <f>'J) Plafonnement effort'!I288</f>
        <v>0</v>
      </c>
      <c r="K289" s="222">
        <f>'L) Plafonnement taux'!Q289</f>
        <v>0</v>
      </c>
      <c r="L289" s="307">
        <f t="shared" si="15"/>
        <v>12667.043248068992</v>
      </c>
      <c r="M289" s="307">
        <f>'M) Police'!O289</f>
        <v>22275.863824178228</v>
      </c>
      <c r="N289" s="307">
        <f t="shared" si="14"/>
        <v>34942.907072247224</v>
      </c>
      <c r="P289" s="380"/>
    </row>
    <row r="290" spans="1:16" s="215" customFormat="1" x14ac:dyDescent="0.25">
      <c r="A290" s="212">
        <f>'B) D RI'!A291</f>
        <v>5908</v>
      </c>
      <c r="B290" s="213" t="str">
        <f>'B) D RI'!B291</f>
        <v>Chêne-Pâquier</v>
      </c>
      <c r="C290" s="333">
        <f>'B) D RI'!S291</f>
        <v>79</v>
      </c>
      <c r="D290" s="214">
        <f>'B) D RI'!AR291</f>
        <v>125</v>
      </c>
      <c r="E290" s="219">
        <f>'D) Ecrêtage'!M289</f>
        <v>2899.0017721518989</v>
      </c>
      <c r="F290" s="222">
        <f>'E) Fact soc'!G295</f>
        <v>51957.450934555243</v>
      </c>
      <c r="G290" s="222">
        <f>'H) Péréquation directe'!I300</f>
        <v>-23322.766431794946</v>
      </c>
      <c r="H290" s="222">
        <f>'I) Dépenses thématiques'!O289</f>
        <v>-30251.82739992268</v>
      </c>
      <c r="I290" s="222">
        <f>'K) Plafonnement aide'!J289</f>
        <v>0</v>
      </c>
      <c r="J290" s="222">
        <f>'J) Plafonnement effort'!I289</f>
        <v>0</v>
      </c>
      <c r="K290" s="222">
        <f>'L) Plafonnement taux'!Q290</f>
        <v>0</v>
      </c>
      <c r="L290" s="307">
        <f t="shared" si="15"/>
        <v>-1617.1428971623827</v>
      </c>
      <c r="M290" s="307">
        <f>'M) Police'!O290</f>
        <v>9294.891241364563</v>
      </c>
      <c r="N290" s="307">
        <f t="shared" si="14"/>
        <v>7677.7483442021803</v>
      </c>
      <c r="P290" s="380"/>
    </row>
    <row r="291" spans="1:16" s="215" customFormat="1" x14ac:dyDescent="0.25">
      <c r="A291" s="212">
        <f>'B) D RI'!A292</f>
        <v>5909</v>
      </c>
      <c r="B291" s="213" t="str">
        <f>'B) D RI'!B292</f>
        <v>Cheseaux-Noréaz</v>
      </c>
      <c r="C291" s="333">
        <f>'B) D RI'!S292</f>
        <v>70</v>
      </c>
      <c r="D291" s="214">
        <f>'B) D RI'!AR292</f>
        <v>664</v>
      </c>
      <c r="E291" s="219">
        <f>'D) Ecrêtage'!M290</f>
        <v>22661.846714285719</v>
      </c>
      <c r="F291" s="222">
        <f>'E) Fact soc'!G296</f>
        <v>406380.73136600503</v>
      </c>
      <c r="G291" s="222">
        <f>'H) Péréquation directe'!I301</f>
        <v>226607.95982559968</v>
      </c>
      <c r="H291" s="222">
        <f>'I) Dépenses thématiques'!O290</f>
        <v>-129919.77512273943</v>
      </c>
      <c r="I291" s="222">
        <f>'K) Plafonnement aide'!J290</f>
        <v>0</v>
      </c>
      <c r="J291" s="222">
        <f>'J) Plafonnement effort'!I290</f>
        <v>0</v>
      </c>
      <c r="K291" s="222">
        <f>'L) Plafonnement taux'!Q291</f>
        <v>0</v>
      </c>
      <c r="L291" s="307">
        <f t="shared" si="15"/>
        <v>503068.91606886528</v>
      </c>
      <c r="M291" s="307">
        <f>'M) Police'!O291</f>
        <v>30422.76210877367</v>
      </c>
      <c r="N291" s="307">
        <f t="shared" si="14"/>
        <v>533491.67817763891</v>
      </c>
      <c r="P291" s="380"/>
    </row>
    <row r="292" spans="1:16" s="215" customFormat="1" x14ac:dyDescent="0.25">
      <c r="A292" s="212">
        <f>'B) D RI'!A293</f>
        <v>5910</v>
      </c>
      <c r="B292" s="213" t="str">
        <f>'B) D RI'!B293</f>
        <v>Cronay</v>
      </c>
      <c r="C292" s="333">
        <f>'B) D RI'!S293</f>
        <v>81</v>
      </c>
      <c r="D292" s="214">
        <f>'B) D RI'!AR293</f>
        <v>364</v>
      </c>
      <c r="E292" s="219">
        <f>'D) Ecrêtage'!M291</f>
        <v>10409.753209876544</v>
      </c>
      <c r="F292" s="222">
        <f>'E) Fact soc'!G297</f>
        <v>213177.19716723659</v>
      </c>
      <c r="G292" s="222">
        <f>'H) Péréquation directe'!I302</f>
        <v>10322.846865957981</v>
      </c>
      <c r="H292" s="222">
        <f>'I) Dépenses thématiques'!O291</f>
        <v>-98378.973336592899</v>
      </c>
      <c r="I292" s="222">
        <f>'K) Plafonnement aide'!J291</f>
        <v>0</v>
      </c>
      <c r="J292" s="222">
        <f>'J) Plafonnement effort'!I291</f>
        <v>0</v>
      </c>
      <c r="K292" s="222">
        <f>'L) Plafonnement taux'!Q292</f>
        <v>0</v>
      </c>
      <c r="L292" s="307">
        <f t="shared" si="15"/>
        <v>125121.07069660167</v>
      </c>
      <c r="M292" s="307">
        <f>'M) Police'!O292</f>
        <v>33583.63044916057</v>
      </c>
      <c r="N292" s="307">
        <f t="shared" si="14"/>
        <v>158704.70114576223</v>
      </c>
      <c r="P292" s="380"/>
    </row>
    <row r="293" spans="1:16" s="215" customFormat="1" x14ac:dyDescent="0.25">
      <c r="A293" s="212">
        <f>'B) D RI'!A294</f>
        <v>5911</v>
      </c>
      <c r="B293" s="213" t="str">
        <f>'B) D RI'!B294</f>
        <v>Cuarny</v>
      </c>
      <c r="C293" s="333">
        <f>'B) D RI'!S294</f>
        <v>81</v>
      </c>
      <c r="D293" s="214">
        <f>'B) D RI'!AR294</f>
        <v>216</v>
      </c>
      <c r="E293" s="219">
        <f>'D) Ecrêtage'!M292</f>
        <v>6783.6280246913584</v>
      </c>
      <c r="F293" s="222">
        <f>'E) Fact soc'!G298</f>
        <v>105657.94440990532</v>
      </c>
      <c r="G293" s="222">
        <f>'H) Péréquation directe'!I303</f>
        <v>33218.652007955738</v>
      </c>
      <c r="H293" s="222">
        <f>'I) Dépenses thématiques'!O292</f>
        <v>-6169.4075323707566</v>
      </c>
      <c r="I293" s="222">
        <f>'K) Plafonnement aide'!J292</f>
        <v>0</v>
      </c>
      <c r="J293" s="222">
        <f>'J) Plafonnement effort'!I292</f>
        <v>0</v>
      </c>
      <c r="K293" s="222">
        <f>'L) Plafonnement taux'!Q293</f>
        <v>0</v>
      </c>
      <c r="L293" s="307">
        <f t="shared" si="15"/>
        <v>132707.18888549029</v>
      </c>
      <c r="M293" s="307">
        <f>'M) Police'!O293</f>
        <v>22047.914947464793</v>
      </c>
      <c r="N293" s="307">
        <f t="shared" si="14"/>
        <v>154755.10383295509</v>
      </c>
      <c r="P293" s="380"/>
    </row>
    <row r="294" spans="1:16" s="215" customFormat="1" x14ac:dyDescent="0.25">
      <c r="A294" s="212">
        <f>'B) D RI'!A295</f>
        <v>5912</v>
      </c>
      <c r="B294" s="213" t="str">
        <f>'B) D RI'!B295</f>
        <v>Démoret</v>
      </c>
      <c r="C294" s="333">
        <f>'B) D RI'!S295</f>
        <v>81</v>
      </c>
      <c r="D294" s="214">
        <f>'B) D RI'!AR295</f>
        <v>123</v>
      </c>
      <c r="E294" s="219">
        <f>'D) Ecrêtage'!M293</f>
        <v>3146.6025925925924</v>
      </c>
      <c r="F294" s="222">
        <f>'E) Fact soc'!G299</f>
        <v>99041.721153174556</v>
      </c>
      <c r="G294" s="222">
        <f>'H) Péréquation directe'!I304</f>
        <v>-13086.218425508705</v>
      </c>
      <c r="H294" s="222">
        <f>'I) Dépenses thématiques'!O293</f>
        <v>-27300.170976637302</v>
      </c>
      <c r="I294" s="222">
        <f>'K) Plafonnement aide'!J293</f>
        <v>0</v>
      </c>
      <c r="J294" s="222">
        <f>'J) Plafonnement effort'!I293</f>
        <v>0</v>
      </c>
      <c r="K294" s="222">
        <f>'L) Plafonnement taux'!Q294</f>
        <v>-5014.0666879042747</v>
      </c>
      <c r="L294" s="307">
        <f t="shared" si="15"/>
        <v>53641.265063124272</v>
      </c>
      <c r="M294" s="307">
        <f>'M) Police'!O294</f>
        <v>10134.234875236983</v>
      </c>
      <c r="N294" s="307">
        <f t="shared" si="14"/>
        <v>63775.499938361259</v>
      </c>
      <c r="P294" s="380"/>
    </row>
    <row r="295" spans="1:16" s="215" customFormat="1" x14ac:dyDescent="0.25">
      <c r="A295" s="212">
        <f>'B) D RI'!A296</f>
        <v>5913</v>
      </c>
      <c r="B295" s="213" t="str">
        <f>'B) D RI'!B296</f>
        <v>Donneloye</v>
      </c>
      <c r="C295" s="333">
        <f>'B) D RI'!S296</f>
        <v>73</v>
      </c>
      <c r="D295" s="214">
        <f>'B) D RI'!AR296</f>
        <v>765</v>
      </c>
      <c r="E295" s="219">
        <f>'D) Ecrêtage'!M294</f>
        <v>23116.238767123283</v>
      </c>
      <c r="F295" s="222">
        <f>'E) Fact soc'!G300</f>
        <v>422534.05479061027</v>
      </c>
      <c r="G295" s="222">
        <f>'H) Péréquation directe'!I305</f>
        <v>129031.47261787299</v>
      </c>
      <c r="H295" s="222">
        <f>'I) Dépenses thématiques'!O294</f>
        <v>-27173.983603643483</v>
      </c>
      <c r="I295" s="222">
        <f>'K) Plafonnement aide'!J294</f>
        <v>0</v>
      </c>
      <c r="J295" s="222">
        <f>'J) Plafonnement effort'!I294</f>
        <v>0</v>
      </c>
      <c r="K295" s="222">
        <f>'L) Plafonnement taux'!Q295</f>
        <v>0</v>
      </c>
      <c r="L295" s="307">
        <f t="shared" si="15"/>
        <v>524391.54380483972</v>
      </c>
      <c r="M295" s="307">
        <f>'M) Police'!O295</f>
        <v>74684.952442065784</v>
      </c>
      <c r="N295" s="307">
        <f t="shared" si="14"/>
        <v>599076.49624690553</v>
      </c>
      <c r="P295" s="380"/>
    </row>
    <row r="296" spans="1:16" s="215" customFormat="1" x14ac:dyDescent="0.25">
      <c r="A296" s="212">
        <f>'B) D RI'!A297</f>
        <v>5914</v>
      </c>
      <c r="B296" s="213" t="str">
        <f>'B) D RI'!B297</f>
        <v>Ependes</v>
      </c>
      <c r="C296" s="333">
        <f>'B) D RI'!S297</f>
        <v>75</v>
      </c>
      <c r="D296" s="214">
        <f>'B) D RI'!AR297</f>
        <v>345</v>
      </c>
      <c r="E296" s="219">
        <f>'D) Ecrêtage'!M295</f>
        <v>8750.2923999999985</v>
      </c>
      <c r="F296" s="222">
        <f>'E) Fact soc'!G301</f>
        <v>144111.80625584919</v>
      </c>
      <c r="G296" s="222">
        <f>'H) Péréquation directe'!I306</f>
        <v>-16030.968168425956</v>
      </c>
      <c r="H296" s="222">
        <f>'I) Dépenses thématiques'!O295</f>
        <v>-29807.603582629523</v>
      </c>
      <c r="I296" s="222">
        <f>'K) Plafonnement aide'!J295</f>
        <v>0</v>
      </c>
      <c r="J296" s="222">
        <f>'J) Plafonnement effort'!I295</f>
        <v>0</v>
      </c>
      <c r="K296" s="222">
        <f>'L) Plafonnement taux'!Q296</f>
        <v>0</v>
      </c>
      <c r="L296" s="307">
        <f t="shared" si="15"/>
        <v>98273.234504793712</v>
      </c>
      <c r="M296" s="307">
        <f>'M) Police'!O296</f>
        <v>11746.971348967612</v>
      </c>
      <c r="N296" s="307">
        <f t="shared" si="14"/>
        <v>110020.20585376132</v>
      </c>
      <c r="P296" s="380"/>
    </row>
    <row r="297" spans="1:16" s="215" customFormat="1" x14ac:dyDescent="0.25">
      <c r="A297" s="212">
        <f>'B) D RI'!A298</f>
        <v>5919</v>
      </c>
      <c r="B297" s="213" t="str">
        <f>'B) D RI'!B298</f>
        <v>Mathod</v>
      </c>
      <c r="C297" s="333">
        <f>'B) D RI'!S298</f>
        <v>74</v>
      </c>
      <c r="D297" s="214">
        <f>'B) D RI'!AR298</f>
        <v>581</v>
      </c>
      <c r="E297" s="219">
        <f>'D) Ecrêtage'!M296</f>
        <v>16260.723851351351</v>
      </c>
      <c r="F297" s="222">
        <f>'E) Fact soc'!G302</f>
        <v>258624.95987134543</v>
      </c>
      <c r="G297" s="222">
        <f>'H) Péréquation directe'!I307</f>
        <v>40992.713743613334</v>
      </c>
      <c r="H297" s="222">
        <f>'I) Dépenses thématiques'!O296</f>
        <v>-76277.665899439366</v>
      </c>
      <c r="I297" s="222">
        <f>'K) Plafonnement aide'!J296</f>
        <v>0</v>
      </c>
      <c r="J297" s="222">
        <f>'J) Plafonnement effort'!I296</f>
        <v>0</v>
      </c>
      <c r="K297" s="222">
        <f>'L) Plafonnement taux'!Q297</f>
        <v>0</v>
      </c>
      <c r="L297" s="307">
        <f t="shared" si="15"/>
        <v>223340.0077155194</v>
      </c>
      <c r="M297" s="307">
        <f>'M) Police'!O297</f>
        <v>21829.471343757454</v>
      </c>
      <c r="N297" s="307">
        <f t="shared" si="14"/>
        <v>245169.47905927687</v>
      </c>
      <c r="P297" s="380"/>
    </row>
    <row r="298" spans="1:16" s="215" customFormat="1" x14ac:dyDescent="0.25">
      <c r="A298" s="212">
        <f>'B) D RI'!A299</f>
        <v>5921</v>
      </c>
      <c r="B298" s="213" t="str">
        <f>'B) D RI'!B299</f>
        <v>Molondin</v>
      </c>
      <c r="C298" s="333">
        <f>'B) D RI'!S299</f>
        <v>81</v>
      </c>
      <c r="D298" s="214">
        <f>'B) D RI'!AR299</f>
        <v>224</v>
      </c>
      <c r="E298" s="219">
        <f>'D) Ecrêtage'!M297</f>
        <v>4932.1140740740739</v>
      </c>
      <c r="F298" s="222">
        <f>'E) Fact soc'!G303</f>
        <v>108780.37627750231</v>
      </c>
      <c r="G298" s="222">
        <f>'H) Péréquation directe'!I308</f>
        <v>-59497.207377469967</v>
      </c>
      <c r="H298" s="222">
        <f>'I) Dépenses thématiques'!O297</f>
        <v>-55242.188198138829</v>
      </c>
      <c r="I298" s="222">
        <f>'K) Plafonnement aide'!J297</f>
        <v>0</v>
      </c>
      <c r="J298" s="222">
        <f>'J) Plafonnement effort'!I297</f>
        <v>0</v>
      </c>
      <c r="K298" s="222">
        <f>'L) Plafonnement taux'!Q298</f>
        <v>0</v>
      </c>
      <c r="L298" s="307">
        <f t="shared" si="15"/>
        <v>-5959.0192981064902</v>
      </c>
      <c r="M298" s="307">
        <f>'M) Police'!O298</f>
        <v>15810.151500667293</v>
      </c>
      <c r="N298" s="307">
        <f t="shared" si="14"/>
        <v>9851.1322025608024</v>
      </c>
      <c r="P298" s="380"/>
    </row>
    <row r="299" spans="1:16" s="215" customFormat="1" x14ac:dyDescent="0.25">
      <c r="A299" s="212">
        <f>'B) D RI'!A300</f>
        <v>5922</v>
      </c>
      <c r="B299" s="213" t="str">
        <f>'B) D RI'!B300</f>
        <v>Montagny-près-Yverdon</v>
      </c>
      <c r="C299" s="333">
        <f>'B) D RI'!S300</f>
        <v>61</v>
      </c>
      <c r="D299" s="214">
        <f>'B) D RI'!AR300</f>
        <v>713</v>
      </c>
      <c r="E299" s="219">
        <f>'D) Ecrêtage'!M298</f>
        <v>50302.260950596246</v>
      </c>
      <c r="F299" s="222">
        <f>'E) Fact soc'!G304</f>
        <v>1252799.7224090502</v>
      </c>
      <c r="G299" s="222">
        <f>'H) Péréquation directe'!I309</f>
        <v>864431.14048057667</v>
      </c>
      <c r="H299" s="222">
        <f>'I) Dépenses thématiques'!O298</f>
        <v>-61381.124935347136</v>
      </c>
      <c r="I299" s="222">
        <f>'K) Plafonnement aide'!J298</f>
        <v>0</v>
      </c>
      <c r="J299" s="222">
        <f>'J) Plafonnement effort'!I298</f>
        <v>0</v>
      </c>
      <c r="K299" s="222">
        <f>'L) Plafonnement taux'!Q299</f>
        <v>0</v>
      </c>
      <c r="L299" s="307">
        <f t="shared" si="15"/>
        <v>2055849.7379542799</v>
      </c>
      <c r="M299" s="307">
        <f>'M) Police'!O299</f>
        <v>127889.97529009491</v>
      </c>
      <c r="N299" s="307">
        <f t="shared" si="14"/>
        <v>2183739.7132443748</v>
      </c>
      <c r="P299" s="380"/>
    </row>
    <row r="300" spans="1:16" s="215" customFormat="1" x14ac:dyDescent="0.25">
      <c r="A300" s="212">
        <f>'B) D RI'!A301</f>
        <v>5923</v>
      </c>
      <c r="B300" s="213" t="str">
        <f>'B) D RI'!B301</f>
        <v>Oppens</v>
      </c>
      <c r="C300" s="333">
        <f>'B) D RI'!S301</f>
        <v>81</v>
      </c>
      <c r="D300" s="214">
        <f>'B) D RI'!AR301</f>
        <v>182</v>
      </c>
      <c r="E300" s="219">
        <f>'D) Ecrêtage'!M299</f>
        <v>4902.1274074074072</v>
      </c>
      <c r="F300" s="222">
        <f>'E) Fact soc'!G305</f>
        <v>103186.21932670099</v>
      </c>
      <c r="G300" s="222">
        <f>'H) Péréquation directe'!I310</f>
        <v>-8364.6747540661454</v>
      </c>
      <c r="H300" s="222">
        <f>'I) Dépenses thématiques'!O299</f>
        <v>-34110.7674767754</v>
      </c>
      <c r="I300" s="222">
        <f>'K) Plafonnement aide'!J299</f>
        <v>0</v>
      </c>
      <c r="J300" s="222">
        <f>'J) Plafonnement effort'!I299</f>
        <v>0</v>
      </c>
      <c r="K300" s="222">
        <f>'L) Plafonnement taux'!Q300</f>
        <v>0</v>
      </c>
      <c r="L300" s="307">
        <f t="shared" si="15"/>
        <v>60710.777095859441</v>
      </c>
      <c r="M300" s="307">
        <f>'M) Police'!O300</f>
        <v>15843.417144113195</v>
      </c>
      <c r="N300" s="307">
        <f t="shared" si="14"/>
        <v>76554.194239972639</v>
      </c>
      <c r="P300" s="380"/>
    </row>
    <row r="301" spans="1:16" s="215" customFormat="1" x14ac:dyDescent="0.25">
      <c r="A301" s="212">
        <f>'B) D RI'!A302</f>
        <v>5924</v>
      </c>
      <c r="B301" s="213" t="str">
        <f>'B) D RI'!B302</f>
        <v>Orges</v>
      </c>
      <c r="C301" s="333">
        <f>'B) D RI'!S302</f>
        <v>74</v>
      </c>
      <c r="D301" s="214">
        <f>'B) D RI'!AR302</f>
        <v>275</v>
      </c>
      <c r="E301" s="219">
        <f>'D) Ecrêtage'!M300</f>
        <v>9002.8555405405405</v>
      </c>
      <c r="F301" s="222">
        <f>'E) Fact soc'!G306</f>
        <v>184509.99383812957</v>
      </c>
      <c r="G301" s="222">
        <f>'H) Péréquation directe'!I311</f>
        <v>72129.034929890826</v>
      </c>
      <c r="H301" s="222">
        <f>'I) Dépenses thématiques'!O300</f>
        <v>0</v>
      </c>
      <c r="I301" s="222">
        <f>'K) Plafonnement aide'!J300</f>
        <v>0</v>
      </c>
      <c r="J301" s="222">
        <f>'J) Plafonnement effort'!I300</f>
        <v>0</v>
      </c>
      <c r="K301" s="222">
        <f>'L) Plafonnement taux'!Q301</f>
        <v>0</v>
      </c>
      <c r="L301" s="307">
        <f t="shared" si="15"/>
        <v>256639.02876802039</v>
      </c>
      <c r="M301" s="307">
        <f>'M) Police'!O301</f>
        <v>28976.866923970774</v>
      </c>
      <c r="N301" s="307">
        <f t="shared" si="14"/>
        <v>285615.89569199114</v>
      </c>
      <c r="P301" s="380"/>
    </row>
    <row r="302" spans="1:16" s="215" customFormat="1" x14ac:dyDescent="0.25">
      <c r="A302" s="212">
        <f>'B) D RI'!A303</f>
        <v>5925</v>
      </c>
      <c r="B302" s="213" t="str">
        <f>'B) D RI'!B303</f>
        <v>Orzens</v>
      </c>
      <c r="C302" s="333">
        <f>'B) D RI'!S303</f>
        <v>79</v>
      </c>
      <c r="D302" s="214">
        <f>'B) D RI'!AR303</f>
        <v>211</v>
      </c>
      <c r="E302" s="219">
        <f>'D) Ecrêtage'!M301</f>
        <v>5053.7527848101263</v>
      </c>
      <c r="F302" s="222">
        <f>'E) Fact soc'!G307</f>
        <v>82629.187159283989</v>
      </c>
      <c r="G302" s="222">
        <f>'H) Péréquation directe'!I312</f>
        <v>-32413.692818824173</v>
      </c>
      <c r="H302" s="222">
        <f>'I) Dépenses thématiques'!O301</f>
        <v>-10667.43901707284</v>
      </c>
      <c r="I302" s="222">
        <f>'K) Plafonnement aide'!J301</f>
        <v>0</v>
      </c>
      <c r="J302" s="222">
        <f>'J) Plafonnement effort'!I301</f>
        <v>0</v>
      </c>
      <c r="K302" s="222">
        <f>'L) Plafonnement taux'!Q302</f>
        <v>0</v>
      </c>
      <c r="L302" s="307">
        <f t="shared" si="15"/>
        <v>39548.055323386972</v>
      </c>
      <c r="M302" s="307">
        <f>'M) Police'!O302</f>
        <v>16196.3343221903</v>
      </c>
      <c r="N302" s="307">
        <f t="shared" si="14"/>
        <v>55744.38964557727</v>
      </c>
      <c r="P302" s="380"/>
    </row>
    <row r="303" spans="1:16" s="215" customFormat="1" x14ac:dyDescent="0.25">
      <c r="A303" s="212">
        <f>'B) D RI'!A304</f>
        <v>5926</v>
      </c>
      <c r="B303" s="213" t="str">
        <f>'B) D RI'!B304</f>
        <v>Pomy</v>
      </c>
      <c r="C303" s="333">
        <f>'B) D RI'!S304</f>
        <v>71</v>
      </c>
      <c r="D303" s="214">
        <f>'B) D RI'!AR304</f>
        <v>730</v>
      </c>
      <c r="E303" s="219">
        <f>'D) Ecrêtage'!M302</f>
        <v>21029.126197183101</v>
      </c>
      <c r="F303" s="222">
        <f>'E) Fact soc'!G308</f>
        <v>377155.21418822976</v>
      </c>
      <c r="G303" s="222">
        <f>'H) Péréquation directe'!I313</f>
        <v>94954.252954900672</v>
      </c>
      <c r="H303" s="222">
        <f>'I) Dépenses thématiques'!O302</f>
        <v>-278383.17177962902</v>
      </c>
      <c r="I303" s="222">
        <f>'K) Plafonnement aide'!J302</f>
        <v>0</v>
      </c>
      <c r="J303" s="222">
        <f>'J) Plafonnement effort'!I302</f>
        <v>0</v>
      </c>
      <c r="K303" s="222">
        <f>'L) Plafonnement taux'!Q303</f>
        <v>0</v>
      </c>
      <c r="L303" s="307">
        <f t="shared" si="15"/>
        <v>193726.29536350141</v>
      </c>
      <c r="M303" s="307">
        <f>'M) Police'!O303</f>
        <v>28230.890082271326</v>
      </c>
      <c r="N303" s="307">
        <f t="shared" si="14"/>
        <v>221957.18544577275</v>
      </c>
      <c r="P303" s="380"/>
    </row>
    <row r="304" spans="1:16" s="215" customFormat="1" x14ac:dyDescent="0.25">
      <c r="A304" s="212">
        <f>'B) D RI'!A305</f>
        <v>5928</v>
      </c>
      <c r="B304" s="213" t="str">
        <f>'B) D RI'!B305</f>
        <v>Rovray</v>
      </c>
      <c r="C304" s="333">
        <f>'B) D RI'!S305</f>
        <v>75</v>
      </c>
      <c r="D304" s="214">
        <f>'B) D RI'!AR305</f>
        <v>176</v>
      </c>
      <c r="E304" s="219">
        <f>'D) Ecrêtage'!M303</f>
        <v>4897.1457333333328</v>
      </c>
      <c r="F304" s="222">
        <f>'E) Fact soc'!G309</f>
        <v>89784.616502948542</v>
      </c>
      <c r="G304" s="222">
        <f>'H) Péréquation directe'!I314</f>
        <v>9565.0085782616516</v>
      </c>
      <c r="H304" s="222">
        <f>'I) Dépenses thématiques'!O303</f>
        <v>-6518.7327985280372</v>
      </c>
      <c r="I304" s="222">
        <f>'K) Plafonnement aide'!J303</f>
        <v>0</v>
      </c>
      <c r="J304" s="222">
        <f>'J) Plafonnement effort'!I303</f>
        <v>0</v>
      </c>
      <c r="K304" s="222">
        <f>'L) Plafonnement taux'!Q304</f>
        <v>0</v>
      </c>
      <c r="L304" s="307">
        <f t="shared" si="15"/>
        <v>92830.892282682151</v>
      </c>
      <c r="M304" s="307">
        <f>'M) Police'!O304</f>
        <v>15849.135844928409</v>
      </c>
      <c r="N304" s="307">
        <f t="shared" si="14"/>
        <v>108680.02812761057</v>
      </c>
      <c r="P304" s="380"/>
    </row>
    <row r="305" spans="1:16" s="215" customFormat="1" x14ac:dyDescent="0.25">
      <c r="A305" s="212">
        <f>'B) D RI'!A306</f>
        <v>5929</v>
      </c>
      <c r="B305" s="213" t="str">
        <f>'B) D RI'!B306</f>
        <v>Suchy</v>
      </c>
      <c r="C305" s="333">
        <f>'B) D RI'!S306</f>
        <v>68</v>
      </c>
      <c r="D305" s="214">
        <f>'B) D RI'!AR306</f>
        <v>542</v>
      </c>
      <c r="E305" s="219">
        <f>'D) Ecrêtage'!M304</f>
        <v>16083.913284313729</v>
      </c>
      <c r="F305" s="222">
        <f>'E) Fact soc'!G310</f>
        <v>267860.27544907515</v>
      </c>
      <c r="G305" s="222">
        <f>'H) Péréquation directe'!I315</f>
        <v>101634.57246343332</v>
      </c>
      <c r="H305" s="222">
        <f>'I) Dépenses thématiques'!O304</f>
        <v>-15637.264198945053</v>
      </c>
      <c r="I305" s="222">
        <f>'K) Plafonnement aide'!J304</f>
        <v>0</v>
      </c>
      <c r="J305" s="222">
        <f>'J) Plafonnement effort'!I304</f>
        <v>0</v>
      </c>
      <c r="K305" s="222">
        <f>'L) Plafonnement taux'!Q305</f>
        <v>0</v>
      </c>
      <c r="L305" s="307">
        <f t="shared" si="15"/>
        <v>353857.58371356339</v>
      </c>
      <c r="M305" s="307">
        <f>'M) Police'!O305</f>
        <v>21592.109142559962</v>
      </c>
      <c r="N305" s="307">
        <f t="shared" si="14"/>
        <v>375449.69285612338</v>
      </c>
      <c r="P305" s="380"/>
    </row>
    <row r="306" spans="1:16" s="215" customFormat="1" x14ac:dyDescent="0.25">
      <c r="A306" s="212">
        <f>'B) D RI'!A307</f>
        <v>5930</v>
      </c>
      <c r="B306" s="213" t="str">
        <f>'B) D RI'!B307</f>
        <v>Suscévaz</v>
      </c>
      <c r="C306" s="333">
        <f>'B) D RI'!S307</f>
        <v>66</v>
      </c>
      <c r="D306" s="214">
        <f>'B) D RI'!AR307</f>
        <v>199</v>
      </c>
      <c r="E306" s="219">
        <f>'D) Ecrêtage'!M305</f>
        <v>5208.083787878787</v>
      </c>
      <c r="F306" s="222">
        <f>'E) Fact soc'!G311</f>
        <v>85577.163382249681</v>
      </c>
      <c r="G306" s="222">
        <f>'H) Péréquation directe'!I316</f>
        <v>15335.080139786558</v>
      </c>
      <c r="H306" s="222">
        <f>'I) Dépenses thématiques'!O305</f>
        <v>0</v>
      </c>
      <c r="I306" s="222">
        <f>'K) Plafonnement aide'!J305</f>
        <v>0</v>
      </c>
      <c r="J306" s="222">
        <f>'J) Plafonnement effort'!I305</f>
        <v>0</v>
      </c>
      <c r="K306" s="222">
        <f>'L) Plafonnement taux'!Q306</f>
        <v>0</v>
      </c>
      <c r="L306" s="307">
        <f t="shared" si="15"/>
        <v>100912.24352203624</v>
      </c>
      <c r="M306" s="307">
        <f>'M) Police'!O306</f>
        <v>6991.676191213317</v>
      </c>
      <c r="N306" s="307">
        <f t="shared" si="14"/>
        <v>107903.91971324956</v>
      </c>
      <c r="P306" s="380"/>
    </row>
    <row r="307" spans="1:16" s="215" customFormat="1" x14ac:dyDescent="0.25">
      <c r="A307" s="212">
        <f>'B) D RI'!A308</f>
        <v>5931</v>
      </c>
      <c r="B307" s="213" t="str">
        <f>'B) D RI'!B308</f>
        <v>Treycovagnes</v>
      </c>
      <c r="C307" s="333">
        <f>'B) D RI'!S308</f>
        <v>77</v>
      </c>
      <c r="D307" s="214">
        <f>'B) D RI'!AR308</f>
        <v>462</v>
      </c>
      <c r="E307" s="219">
        <f>'D) Ecrêtage'!M306</f>
        <v>13922.074155844155</v>
      </c>
      <c r="F307" s="222">
        <f>'E) Fact soc'!G312</f>
        <v>257709.02502001394</v>
      </c>
      <c r="G307" s="222">
        <f>'H) Péréquation directe'!I317</f>
        <v>61015.303133369336</v>
      </c>
      <c r="H307" s="222">
        <f>'I) Dépenses thématiques'!O306</f>
        <v>0</v>
      </c>
      <c r="I307" s="222">
        <f>'K) Plafonnement aide'!J306</f>
        <v>0</v>
      </c>
      <c r="J307" s="222">
        <f>'J) Plafonnement effort'!I306</f>
        <v>0</v>
      </c>
      <c r="K307" s="222">
        <f>'L) Plafonnement taux'!Q307</f>
        <v>-1630.4269537881116</v>
      </c>
      <c r="L307" s="307">
        <f t="shared" si="15"/>
        <v>317093.90119959519</v>
      </c>
      <c r="M307" s="307">
        <f>'M) Police'!O307</f>
        <v>18689.913291000856</v>
      </c>
      <c r="N307" s="307">
        <f t="shared" si="14"/>
        <v>335783.81449059607</v>
      </c>
      <c r="P307" s="380"/>
    </row>
    <row r="308" spans="1:16" s="215" customFormat="1" x14ac:dyDescent="0.25">
      <c r="A308" s="212">
        <f>'B) D RI'!A309</f>
        <v>5932</v>
      </c>
      <c r="B308" s="213" t="str">
        <f>'B) D RI'!B309</f>
        <v>Ursins</v>
      </c>
      <c r="C308" s="333">
        <f>'B) D RI'!S309</f>
        <v>78</v>
      </c>
      <c r="D308" s="214">
        <f>'B) D RI'!AR309</f>
        <v>207</v>
      </c>
      <c r="E308" s="219">
        <f>'D) Ecrêtage'!M307</f>
        <v>5429.3069230769233</v>
      </c>
      <c r="F308" s="222">
        <f>'E) Fact soc'!G313</f>
        <v>84567.584155109813</v>
      </c>
      <c r="G308" s="222">
        <f>'H) Péréquation directe'!I318</f>
        <v>-9031.2701260052854</v>
      </c>
      <c r="H308" s="222">
        <f>'I) Dépenses thématiques'!O307</f>
        <v>-17133.16117129934</v>
      </c>
      <c r="I308" s="222">
        <f>'K) Plafonnement aide'!J307</f>
        <v>0</v>
      </c>
      <c r="J308" s="222">
        <f>'J) Plafonnement effort'!I307</f>
        <v>0</v>
      </c>
      <c r="K308" s="222">
        <f>'L) Plafonnement taux'!Q308</f>
        <v>0</v>
      </c>
      <c r="L308" s="307">
        <f t="shared" si="15"/>
        <v>58403.152857805188</v>
      </c>
      <c r="M308" s="307">
        <f>'M) Police'!O308</f>
        <v>17405.128454105336</v>
      </c>
      <c r="N308" s="307">
        <f t="shared" si="14"/>
        <v>75808.281311910527</v>
      </c>
      <c r="P308" s="380"/>
    </row>
    <row r="309" spans="1:16" s="215" customFormat="1" x14ac:dyDescent="0.25">
      <c r="A309" s="212">
        <f>'B) D RI'!A310</f>
        <v>5933</v>
      </c>
      <c r="B309" s="213" t="str">
        <f>'B) D RI'!B310</f>
        <v>Valeyres-sous-Montagny</v>
      </c>
      <c r="C309" s="333">
        <f>'B) D RI'!S310</f>
        <v>72</v>
      </c>
      <c r="D309" s="214">
        <f>'B) D RI'!AR310</f>
        <v>661</v>
      </c>
      <c r="E309" s="219">
        <f>'D) Ecrêtage'!M308</f>
        <v>17165.971111111114</v>
      </c>
      <c r="F309" s="222">
        <f>'E) Fact soc'!G314</f>
        <v>318519.05908067926</v>
      </c>
      <c r="G309" s="222">
        <f>'H) Péréquation directe'!I319</f>
        <v>6711.8545704468852</v>
      </c>
      <c r="H309" s="222">
        <f>'I) Dépenses thématiques'!O308</f>
        <v>-164070.14652209388</v>
      </c>
      <c r="I309" s="222">
        <f>'K) Plafonnement aide'!J308</f>
        <v>0</v>
      </c>
      <c r="J309" s="222">
        <f>'J) Plafonnement effort'!I308</f>
        <v>0</v>
      </c>
      <c r="K309" s="222">
        <f>'L) Plafonnement taux'!Q309</f>
        <v>0</v>
      </c>
      <c r="L309" s="307">
        <f t="shared" si="15"/>
        <v>161160.76712903226</v>
      </c>
      <c r="M309" s="307">
        <f>'M) Police'!O309</f>
        <v>54621.448202855099</v>
      </c>
      <c r="N309" s="307">
        <f t="shared" si="14"/>
        <v>215782.21533188736</v>
      </c>
      <c r="P309" s="380"/>
    </row>
    <row r="310" spans="1:16" s="215" customFormat="1" x14ac:dyDescent="0.25">
      <c r="A310" s="212">
        <f>'B) D RI'!A311</f>
        <v>5934</v>
      </c>
      <c r="B310" s="213" t="str">
        <f>'B) D RI'!B311</f>
        <v>Valeyres-sous-Ursins</v>
      </c>
      <c r="C310" s="333">
        <f>'B) D RI'!S311</f>
        <v>79</v>
      </c>
      <c r="D310" s="214">
        <f>'B) D RI'!AR311</f>
        <v>245</v>
      </c>
      <c r="E310" s="219">
        <f>'D) Ecrêtage'!M309</f>
        <v>6602.430506329114</v>
      </c>
      <c r="F310" s="222">
        <f>'E) Fact soc'!G315</f>
        <v>124439.42991626558</v>
      </c>
      <c r="G310" s="222">
        <f>'H) Péréquation directe'!I320</f>
        <v>-5763.1340427808027</v>
      </c>
      <c r="H310" s="222">
        <f>'I) Dépenses thématiques'!O309</f>
        <v>-6731.0984096200082</v>
      </c>
      <c r="I310" s="222">
        <f>'K) Plafonnement aide'!J309</f>
        <v>0</v>
      </c>
      <c r="J310" s="222">
        <f>'J) Plafonnement effort'!I309</f>
        <v>0</v>
      </c>
      <c r="K310" s="222">
        <f>'L) Plafonnement taux'!Q310</f>
        <v>0</v>
      </c>
      <c r="L310" s="307">
        <f t="shared" si="15"/>
        <v>111945.19746386477</v>
      </c>
      <c r="M310" s="307">
        <f>'M) Police'!O310</f>
        <v>21396.904272121916</v>
      </c>
      <c r="N310" s="307">
        <f t="shared" si="14"/>
        <v>133342.10173598668</v>
      </c>
      <c r="P310" s="380"/>
    </row>
    <row r="311" spans="1:16" s="215" customFormat="1" x14ac:dyDescent="0.25">
      <c r="A311" s="212">
        <f>'B) D RI'!A312</f>
        <v>5935</v>
      </c>
      <c r="B311" s="213" t="str">
        <f>'B) D RI'!B312</f>
        <v>Villars-Epeney</v>
      </c>
      <c r="C311" s="333">
        <f>'B) D RI'!S312</f>
        <v>60</v>
      </c>
      <c r="D311" s="214">
        <f>'B) D RI'!AR312</f>
        <v>90</v>
      </c>
      <c r="E311" s="219">
        <f>'D) Ecrêtage'!M310</f>
        <v>6088.5334683902975</v>
      </c>
      <c r="F311" s="222">
        <f>'E) Fact soc'!G316</f>
        <v>131295.59559428346</v>
      </c>
      <c r="G311" s="222">
        <f>'H) Péréquation directe'!I321</f>
        <v>104263.64781422596</v>
      </c>
      <c r="H311" s="222">
        <f>'I) Dépenses thématiques'!O310</f>
        <v>-44184.429790755152</v>
      </c>
      <c r="I311" s="222">
        <f>'K) Plafonnement aide'!J310</f>
        <v>0</v>
      </c>
      <c r="J311" s="222">
        <f>'J) Plafonnement effort'!I310</f>
        <v>0</v>
      </c>
      <c r="K311" s="222">
        <f>'L) Plafonnement taux'!Q311</f>
        <v>0</v>
      </c>
      <c r="L311" s="307">
        <f t="shared" si="15"/>
        <v>191374.81361775426</v>
      </c>
      <c r="M311" s="307">
        <f>'M) Police'!O311</f>
        <v>15792.837100731293</v>
      </c>
      <c r="N311" s="307">
        <f t="shared" si="14"/>
        <v>207167.65071848556</v>
      </c>
      <c r="P311" s="380"/>
    </row>
    <row r="312" spans="1:16" s="215" customFormat="1" x14ac:dyDescent="0.25">
      <c r="A312" s="212">
        <f>'B) D RI'!A313</f>
        <v>5937</v>
      </c>
      <c r="B312" s="213" t="str">
        <f>'B) D RI'!B313</f>
        <v>Vugelles-La Mothe</v>
      </c>
      <c r="C312" s="333">
        <f>'B) D RI'!S313</f>
        <v>70</v>
      </c>
      <c r="D312" s="214">
        <f>'B) D RI'!AR313</f>
        <v>135</v>
      </c>
      <c r="E312" s="219">
        <f>'D) Ecrêtage'!M311</f>
        <v>2128.9780612244899</v>
      </c>
      <c r="F312" s="222">
        <f>'E) Fact soc'!G317</f>
        <v>33051.244947691215</v>
      </c>
      <c r="G312" s="222">
        <f>'H) Péréquation directe'!I322</f>
        <v>-48289.717369470934</v>
      </c>
      <c r="H312" s="222">
        <f>'I) Dépenses thématiques'!O311</f>
        <v>-42532.814006393251</v>
      </c>
      <c r="I312" s="222">
        <f>'K) Plafonnement aide'!J311</f>
        <v>1400.1150238205421</v>
      </c>
      <c r="J312" s="222">
        <f>'J) Plafonnement effort'!I311</f>
        <v>0</v>
      </c>
      <c r="K312" s="222">
        <f>'L) Plafonnement taux'!Q312</f>
        <v>0</v>
      </c>
      <c r="L312" s="307">
        <f t="shared" si="15"/>
        <v>-56371.171404352426</v>
      </c>
      <c r="M312" s="307">
        <f>'M) Police'!O312</f>
        <v>6700.5309811320931</v>
      </c>
      <c r="N312" s="307">
        <f t="shared" si="14"/>
        <v>-49670.640423220335</v>
      </c>
      <c r="P312" s="380"/>
    </row>
    <row r="313" spans="1:16" s="215" customFormat="1" x14ac:dyDescent="0.25">
      <c r="A313" s="212">
        <f>'B) D RI'!A314</f>
        <v>5938</v>
      </c>
      <c r="B313" s="213" t="str">
        <f>'B) D RI'!B314</f>
        <v>Yverdon-les-Bains</v>
      </c>
      <c r="C313" s="333">
        <f>'B) D RI'!S314</f>
        <v>76.5</v>
      </c>
      <c r="D313" s="214">
        <f>'B) D RI'!AR314</f>
        <v>29308</v>
      </c>
      <c r="E313" s="219">
        <f>'D) Ecrêtage'!M312</f>
        <v>771340.02758169943</v>
      </c>
      <c r="F313" s="222">
        <f>'E) Fact soc'!G318</f>
        <v>14896940.598414524</v>
      </c>
      <c r="G313" s="222">
        <f>'H) Péréquation directe'!I323</f>
        <v>-22308812.389816836</v>
      </c>
      <c r="H313" s="222">
        <f>'I) Dépenses thématiques'!O312</f>
        <v>-6902132.6651401706</v>
      </c>
      <c r="I313" s="222">
        <f>'K) Plafonnement aide'!J312</f>
        <v>2398161.6121212649</v>
      </c>
      <c r="J313" s="222">
        <f>'J) Plafonnement effort'!I312</f>
        <v>0</v>
      </c>
      <c r="K313" s="222">
        <f>'L) Plafonnement taux'!Q313</f>
        <v>0</v>
      </c>
      <c r="L313" s="307">
        <f t="shared" si="15"/>
        <v>-11915842.844421217</v>
      </c>
      <c r="M313" s="307">
        <f>'M) Police'!O313</f>
        <v>1035497.8771125537</v>
      </c>
      <c r="N313" s="307">
        <f t="shared" si="14"/>
        <v>-10880344.967308663</v>
      </c>
      <c r="P313" s="380"/>
    </row>
    <row r="314" spans="1:16" s="215" customFormat="1" x14ac:dyDescent="0.25">
      <c r="A314" s="216">
        <f>'B) D RI'!A315</f>
        <v>5939</v>
      </c>
      <c r="B314" s="213" t="str">
        <f>'B) D RI'!B315</f>
        <v>Yvonand</v>
      </c>
      <c r="C314" s="333">
        <f>'B) D RI'!S315</f>
        <v>73</v>
      </c>
      <c r="D314" s="214">
        <f>'B) D RI'!AR315</f>
        <v>3152</v>
      </c>
      <c r="E314" s="219">
        <f>'D) Ecrêtage'!M313</f>
        <v>88221.551917808203</v>
      </c>
      <c r="F314" s="222">
        <f>'E) Fact soc'!G319</f>
        <v>1648573.5463647828</v>
      </c>
      <c r="G314" s="222">
        <f>'H) Péréquation directe'!I324</f>
        <v>-302895.23052037531</v>
      </c>
      <c r="H314" s="222">
        <f>'I) Dépenses thématiques'!O313</f>
        <v>-229193.17663617013</v>
      </c>
      <c r="I314" s="222">
        <f>'K) Plafonnement aide'!J313</f>
        <v>0</v>
      </c>
      <c r="J314" s="222">
        <f>'J) Plafonnement effort'!I313</f>
        <v>0</v>
      </c>
      <c r="K314" s="222">
        <f>'L) Plafonnement taux'!Q314</f>
        <v>0</v>
      </c>
      <c r="L314" s="307">
        <f t="shared" si="15"/>
        <v>1116485.1392082374</v>
      </c>
      <c r="M314" s="309">
        <f>'M) Police'!O314</f>
        <v>281958.15234920592</v>
      </c>
      <c r="N314" s="309">
        <f t="shared" si="14"/>
        <v>1398443.2915574433</v>
      </c>
      <c r="P314" s="380"/>
    </row>
    <row r="315" spans="1:16" x14ac:dyDescent="0.25">
      <c r="B315" s="34">
        <f>COUNTA(B6:B314)</f>
        <v>309</v>
      </c>
      <c r="C315" s="334"/>
      <c r="D315" s="220">
        <f>SUM(D6:D314)</f>
        <v>767496</v>
      </c>
      <c r="E315" s="220">
        <f>SUM(E6:E314)</f>
        <v>33840443.986265205</v>
      </c>
      <c r="F315" s="199">
        <f>'E) Fact soc'!G320</f>
        <v>735072899.99999976</v>
      </c>
      <c r="G315" s="199">
        <f>'H) Péréquation directe'!I325</f>
        <v>132668185.94506025</v>
      </c>
      <c r="H315" s="199">
        <f>'I) Dépenses thématiques'!O314</f>
        <v>-135361775.94506088</v>
      </c>
      <c r="I315" s="199">
        <f>'K) Plafonnement aide'!J314</f>
        <v>3161346.8053568602</v>
      </c>
      <c r="J315" s="199">
        <f>'J) Plafonnement effort'!I314</f>
        <v>0</v>
      </c>
      <c r="K315" s="199">
        <f>'L) Plafonnement taux'!Q315</f>
        <v>-17756.864338403269</v>
      </c>
      <c r="L315" s="308">
        <f t="shared" si="15"/>
        <v>735522899.94101763</v>
      </c>
      <c r="M315" s="308">
        <f>SUM(M6:M314)</f>
        <v>65930099.4467889</v>
      </c>
      <c r="N315" s="308">
        <f>SUM(N6:N314)</f>
        <v>801452999.38780713</v>
      </c>
    </row>
    <row r="316" spans="1:16" x14ac:dyDescent="0.25">
      <c r="D316" s="18"/>
      <c r="E316" s="18"/>
      <c r="L316" s="8"/>
      <c r="M316" s="8"/>
      <c r="N316" s="8"/>
    </row>
    <row r="317" spans="1:16" x14ac:dyDescent="0.25">
      <c r="H317" s="217"/>
      <c r="I317" s="217"/>
      <c r="J317" s="217"/>
      <c r="K317" s="217"/>
      <c r="L317" s="8"/>
      <c r="M317" s="8"/>
      <c r="N317" s="8"/>
    </row>
  </sheetData>
  <sheetProtection password="CBF3" sheet="1" objects="1" scenarios="1"/>
  <mergeCells count="16">
    <mergeCell ref="O4:O5"/>
    <mergeCell ref="M4:M5"/>
    <mergeCell ref="N4:N5"/>
    <mergeCell ref="A1:E1"/>
    <mergeCell ref="L4:L5"/>
    <mergeCell ref="K4:K5"/>
    <mergeCell ref="J4:J5"/>
    <mergeCell ref="I4:I5"/>
    <mergeCell ref="H4:H5"/>
    <mergeCell ref="G4:G5"/>
    <mergeCell ref="F4:F5"/>
    <mergeCell ref="E4:E5"/>
    <mergeCell ref="D4:D5"/>
    <mergeCell ref="C4:C5"/>
    <mergeCell ref="B4:B5"/>
    <mergeCell ref="A4:A5"/>
  </mergeCells>
  <phoneticPr fontId="0" type="noConversion"/>
  <printOptions horizontalCentered="1" verticalCentered="1"/>
  <pageMargins left="0.19685039370078741" right="0.19685039370078741" top="0" bottom="0" header="0.51181102362204722" footer="0.51181102362204722"/>
  <pageSetup paperSize="9" fitToHeight="7" orientation="landscape" horizontalDpi="1200" verticalDpi="1200" r:id="rId1"/>
  <headerFooter alignWithMargins="0">
    <oddFooter>&amp;LSCL - Division finances communales&amp;C-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  <pageSetUpPr fitToPage="1"/>
  </sheetPr>
  <dimension ref="B1:F56"/>
  <sheetViews>
    <sheetView tabSelected="1" workbookViewId="0">
      <selection activeCell="C3" sqref="C3:E3"/>
    </sheetView>
  </sheetViews>
  <sheetFormatPr baseColWidth="10" defaultColWidth="10.875" defaultRowHeight="15" x14ac:dyDescent="0.25"/>
  <cols>
    <col min="1" max="1" width="3.375" style="223" customWidth="1"/>
    <col min="2" max="2" width="17.125" style="223" customWidth="1"/>
    <col min="3" max="4" width="12.75" style="223" customWidth="1"/>
    <col min="5" max="6" width="12.75" style="275" customWidth="1"/>
    <col min="7" max="16384" width="10.875" style="223"/>
  </cols>
  <sheetData>
    <row r="1" spans="2:6" ht="31.5" x14ac:dyDescent="0.5">
      <c r="B1" s="265" t="s">
        <v>540</v>
      </c>
    </row>
    <row r="3" spans="2:6" s="276" customFormat="1" ht="26.25" x14ac:dyDescent="0.4">
      <c r="B3" s="279"/>
      <c r="C3" s="398"/>
      <c r="D3" s="398"/>
      <c r="E3" s="398"/>
      <c r="F3" s="277"/>
    </row>
    <row r="6" spans="2:6" ht="18.75" x14ac:dyDescent="0.3">
      <c r="B6" s="397" t="str">
        <f>CONCATENATE("Péréquation, ",Paramètres!B5)</f>
        <v>Péréquation, Acomptes 2017</v>
      </c>
      <c r="C6" s="397"/>
      <c r="D6" s="397"/>
      <c r="E6" s="397"/>
      <c r="F6" s="397"/>
    </row>
    <row r="7" spans="2:6" s="325" customFormat="1" ht="18.75" x14ac:dyDescent="0.3">
      <c r="B7" s="397">
        <f>C3</f>
        <v>0</v>
      </c>
      <c r="C7" s="397"/>
      <c r="D7" s="397"/>
      <c r="E7" s="397"/>
      <c r="F7" s="397"/>
    </row>
    <row r="8" spans="2:6" s="325" customFormat="1" ht="12.75" x14ac:dyDescent="0.2">
      <c r="B8" s="332" t="e">
        <f>CONCATENATE("Population : ",VLOOKUP($B$7,'A) Base RI'!$B$7:$AN$315,39,FALSE))</f>
        <v>#N/A</v>
      </c>
      <c r="C8" s="323"/>
      <c r="D8" s="323"/>
      <c r="E8" s="324"/>
      <c r="F8" s="331" t="e">
        <f>CONCATENATE("N° OFS : ",VLOOKUP($B$7,Paramètres!$A$69:$B$377,2,FALSE))</f>
        <v>#N/A</v>
      </c>
    </row>
    <row r="9" spans="2:6" s="325" customFormat="1" ht="12.75" x14ac:dyDescent="0.2">
      <c r="B9" s="332" t="e">
        <f>CONCATENATE("Taux : ",VLOOKUP($B$7,'A) Base RI'!$B$7:$AN$315,38,FALSE))</f>
        <v>#N/A</v>
      </c>
      <c r="C9" s="323"/>
      <c r="D9" s="323"/>
      <c r="E9" s="324"/>
      <c r="F9" s="323"/>
    </row>
    <row r="10" spans="2:6" s="325" customFormat="1" ht="12.75" x14ac:dyDescent="0.2">
      <c r="B10" s="323"/>
      <c r="C10" s="323"/>
      <c r="D10" s="323"/>
      <c r="E10" s="324"/>
      <c r="F10" s="323"/>
    </row>
    <row r="11" spans="2:6" ht="18" x14ac:dyDescent="0.35">
      <c r="B11" s="314" t="s">
        <v>573</v>
      </c>
      <c r="C11" s="135"/>
      <c r="D11" s="135"/>
      <c r="E11" s="278"/>
      <c r="F11" s="278"/>
    </row>
    <row r="12" spans="2:6" s="325" customFormat="1" ht="12.75" x14ac:dyDescent="0.2">
      <c r="B12" s="323"/>
      <c r="C12" s="323"/>
      <c r="D12" s="323"/>
      <c r="E12" s="324"/>
      <c r="F12" s="324"/>
    </row>
    <row r="13" spans="2:6" s="325" customFormat="1" ht="12.75" x14ac:dyDescent="0.2">
      <c r="B13" s="330" t="s">
        <v>484</v>
      </c>
      <c r="C13" s="323"/>
      <c r="D13" s="323"/>
      <c r="E13" s="324"/>
      <c r="F13" s="324"/>
    </row>
    <row r="14" spans="2:6" s="325" customFormat="1" ht="12.75" x14ac:dyDescent="0.2">
      <c r="B14" s="323" t="s">
        <v>528</v>
      </c>
      <c r="C14" s="323"/>
      <c r="D14" s="323"/>
      <c r="E14" s="326" t="e">
        <f>VLOOKUP($C$3,'C) Prél. conj.'!$B$3:$E$391,2,FALSE)*0.5</f>
        <v>#N/A</v>
      </c>
      <c r="F14" s="324"/>
    </row>
    <row r="15" spans="2:6" s="325" customFormat="1" ht="12.75" x14ac:dyDescent="0.2">
      <c r="B15" s="323" t="s">
        <v>222</v>
      </c>
      <c r="C15" s="323"/>
      <c r="D15" s="323"/>
      <c r="E15" s="326" t="e">
        <f>VLOOKUP($C$3,'C) Prél. conj.'!$B$3:$E$391,3,FALSE)*0.3</f>
        <v>#N/A</v>
      </c>
      <c r="F15" s="324" t="e">
        <f>E14+E15</f>
        <v>#N/A</v>
      </c>
    </row>
    <row r="16" spans="2:6" s="325" customFormat="1" ht="12.75" x14ac:dyDescent="0.2">
      <c r="B16" s="323"/>
      <c r="C16" s="323"/>
      <c r="D16" s="323"/>
      <c r="E16" s="324"/>
      <c r="F16" s="324"/>
    </row>
    <row r="17" spans="2:6" s="325" customFormat="1" ht="12.75" x14ac:dyDescent="0.2">
      <c r="B17" s="330" t="s">
        <v>526</v>
      </c>
      <c r="C17" s="323"/>
      <c r="D17" s="323"/>
      <c r="E17" s="324"/>
      <c r="F17" s="324"/>
    </row>
    <row r="18" spans="2:6" s="325" customFormat="1" ht="12.75" x14ac:dyDescent="0.2">
      <c r="B18" s="323" t="s">
        <v>530</v>
      </c>
      <c r="C18" s="323"/>
      <c r="D18" s="327" t="e">
        <f>VLOOKUP($C$3,'D) Ecrêtage'!$B$3:$L$391,10,FALSE)</f>
        <v>#N/A</v>
      </c>
      <c r="E18" s="324"/>
      <c r="F18" s="324" t="e">
        <f>VLOOKUP($C$3,'D) Ecrêtage'!$B$3:$L$391,11,FALSE)</f>
        <v>#N/A</v>
      </c>
    </row>
    <row r="19" spans="2:6" s="325" customFormat="1" ht="12.75" x14ac:dyDescent="0.2">
      <c r="B19" s="323"/>
      <c r="C19" s="323"/>
      <c r="D19" s="323"/>
      <c r="E19" s="324"/>
      <c r="F19" s="324"/>
    </row>
    <row r="20" spans="2:6" s="325" customFormat="1" ht="12.75" x14ac:dyDescent="0.2">
      <c r="B20" s="330" t="s">
        <v>529</v>
      </c>
      <c r="C20" s="323"/>
      <c r="D20" s="323"/>
      <c r="E20" s="324"/>
      <c r="F20" s="324"/>
    </row>
    <row r="21" spans="2:6" s="325" customFormat="1" ht="12.75" x14ac:dyDescent="0.2">
      <c r="B21" s="323" t="str">
        <f>CONCATENATE("Nombre de points écrêtés à répartir ",ROUND('E) Fact soc'!D7,2))</f>
        <v>Nombre de points écrêtés à répartir 15.52</v>
      </c>
      <c r="C21" s="323"/>
      <c r="D21" s="323"/>
      <c r="E21" s="324"/>
      <c r="F21" s="324"/>
    </row>
    <row r="22" spans="2:6" s="325" customFormat="1" ht="12.75" x14ac:dyDescent="0.2">
      <c r="B22" s="323" t="s">
        <v>539</v>
      </c>
      <c r="C22" s="323"/>
      <c r="D22" s="323"/>
      <c r="E22" s="324"/>
      <c r="F22" s="324" t="e">
        <f>VLOOKUP($C$3,'E) Fact soc'!$B$9:$G$391,5,FALSE)</f>
        <v>#N/A</v>
      </c>
    </row>
    <row r="23" spans="2:6" s="325" customFormat="1" ht="12.75" x14ac:dyDescent="0.2">
      <c r="B23" s="323"/>
      <c r="C23" s="323"/>
      <c r="D23" s="323"/>
      <c r="E23" s="324"/>
      <c r="F23" s="328"/>
    </row>
    <row r="24" spans="2:6" s="325" customFormat="1" ht="12.75" x14ac:dyDescent="0.2">
      <c r="B24" s="330" t="s">
        <v>531</v>
      </c>
      <c r="C24" s="323"/>
      <c r="D24" s="323"/>
      <c r="E24" s="324"/>
      <c r="F24" s="329" t="e">
        <f>F15+F18+F22</f>
        <v>#N/A</v>
      </c>
    </row>
    <row r="25" spans="2:6" s="325" customFormat="1" ht="12.75" x14ac:dyDescent="0.2">
      <c r="B25" s="323"/>
      <c r="C25" s="323"/>
      <c r="D25" s="323"/>
      <c r="E25" s="324"/>
      <c r="F25" s="324"/>
    </row>
    <row r="26" spans="2:6" ht="18" x14ac:dyDescent="0.35">
      <c r="B26" s="314" t="s">
        <v>574</v>
      </c>
      <c r="C26" s="135"/>
      <c r="D26" s="135"/>
      <c r="E26" s="278"/>
      <c r="F26" s="278"/>
    </row>
    <row r="27" spans="2:6" s="325" customFormat="1" ht="12.75" x14ac:dyDescent="0.2">
      <c r="B27" s="323"/>
      <c r="C27" s="323"/>
      <c r="D27" s="323"/>
      <c r="E27" s="324"/>
      <c r="F27" s="324"/>
    </row>
    <row r="28" spans="2:6" s="325" customFormat="1" ht="12.75" x14ac:dyDescent="0.2">
      <c r="B28" s="330" t="s">
        <v>338</v>
      </c>
      <c r="C28" s="323"/>
      <c r="D28" s="323"/>
      <c r="E28" s="324"/>
      <c r="F28" s="324" t="e">
        <f>-VLOOKUP($C$3,'F) Population'!$B$8:$K$391,10,FALSE)</f>
        <v>#N/A</v>
      </c>
    </row>
    <row r="29" spans="2:6" s="325" customFormat="1" ht="12.75" x14ac:dyDescent="0.2">
      <c r="B29" s="323"/>
      <c r="C29" s="323"/>
      <c r="D29" s="323"/>
      <c r="E29" s="324"/>
      <c r="F29" s="324"/>
    </row>
    <row r="30" spans="2:6" s="325" customFormat="1" ht="12.75" x14ac:dyDescent="0.2">
      <c r="B30" s="330" t="s">
        <v>532</v>
      </c>
      <c r="C30" s="323"/>
      <c r="D30" s="323"/>
      <c r="E30" s="324"/>
      <c r="F30" s="324" t="e">
        <f>-VLOOKUP($C$3,'G) Solidarité'!$B$5:$I$391,8,FALSE)</f>
        <v>#N/A</v>
      </c>
    </row>
    <row r="31" spans="2:6" s="325" customFormat="1" ht="12.75" x14ac:dyDescent="0.2">
      <c r="B31" s="323"/>
      <c r="C31" s="323"/>
      <c r="D31" s="323"/>
      <c r="E31" s="324"/>
      <c r="F31" s="324"/>
    </row>
    <row r="32" spans="2:6" s="325" customFormat="1" ht="12.75" x14ac:dyDescent="0.2">
      <c r="B32" s="330" t="s">
        <v>167</v>
      </c>
      <c r="C32" s="323"/>
      <c r="D32" s="323"/>
      <c r="E32" s="324"/>
      <c r="F32" s="324"/>
    </row>
    <row r="33" spans="2:6" s="325" customFormat="1" ht="12.75" x14ac:dyDescent="0.2">
      <c r="B33" s="323" t="s">
        <v>533</v>
      </c>
      <c r="C33" s="323"/>
      <c r="D33" s="323"/>
      <c r="E33" s="326" t="e">
        <f>VLOOKUP($C$3,'I) Dépenses thématiques'!$B$5:$O$391,9,FALSE)</f>
        <v>#N/A</v>
      </c>
      <c r="F33" s="324"/>
    </row>
    <row r="34" spans="2:6" s="325" customFormat="1" ht="12.75" x14ac:dyDescent="0.2">
      <c r="B34" s="323" t="s">
        <v>243</v>
      </c>
      <c r="C34" s="323"/>
      <c r="D34" s="323"/>
      <c r="E34" s="326" t="e">
        <f>VLOOKUP($C$3,'I) Dépenses thématiques'!$B$5:$O$391,13,FALSE)</f>
        <v>#N/A</v>
      </c>
      <c r="F34" s="324" t="e">
        <f>E33+E34</f>
        <v>#N/A</v>
      </c>
    </row>
    <row r="35" spans="2:6" s="325" customFormat="1" ht="12.75" x14ac:dyDescent="0.2">
      <c r="B35" s="323"/>
      <c r="C35" s="323"/>
      <c r="D35" s="323"/>
      <c r="E35" s="324"/>
      <c r="F35" s="324"/>
    </row>
    <row r="36" spans="2:6" s="325" customFormat="1" ht="12.75" x14ac:dyDescent="0.2">
      <c r="B36" s="330" t="s">
        <v>534</v>
      </c>
      <c r="C36" s="323"/>
      <c r="D36" s="323"/>
      <c r="E36" s="324"/>
      <c r="F36" s="324"/>
    </row>
    <row r="37" spans="2:6" s="325" customFormat="1" ht="12.75" x14ac:dyDescent="0.2">
      <c r="B37" s="323" t="s">
        <v>535</v>
      </c>
      <c r="C37" s="323"/>
      <c r="D37" s="323"/>
      <c r="E37" s="326" t="e">
        <f>VLOOKUP($C$3,'J) Plafonnement effort'!$B$5:$I$391,8,FALSE)</f>
        <v>#N/A</v>
      </c>
      <c r="F37" s="324"/>
    </row>
    <row r="38" spans="2:6" s="325" customFormat="1" ht="12.75" x14ac:dyDescent="0.2">
      <c r="B38" s="323" t="s">
        <v>536</v>
      </c>
      <c r="C38" s="323"/>
      <c r="D38" s="323"/>
      <c r="E38" s="326" t="e">
        <f>VLOOKUP($C$3,'K) Plafonnement aide'!$B$5:$J$391,9,FALSE)</f>
        <v>#N/A</v>
      </c>
      <c r="F38" s="324"/>
    </row>
    <row r="39" spans="2:6" s="325" customFormat="1" ht="12.75" x14ac:dyDescent="0.2">
      <c r="B39" s="323" t="s">
        <v>537</v>
      </c>
      <c r="C39" s="323"/>
      <c r="D39" s="323"/>
      <c r="E39" s="326" t="e">
        <f>VLOOKUP($C$3,'L) Plafonnement taux'!$B$6:$Q$391,16,FALSE)</f>
        <v>#N/A</v>
      </c>
      <c r="F39" s="324" t="e">
        <f>SUM(E37:E39)</f>
        <v>#N/A</v>
      </c>
    </row>
    <row r="40" spans="2:6" s="325" customFormat="1" ht="12.75" x14ac:dyDescent="0.2">
      <c r="B40" s="323"/>
      <c r="C40" s="323"/>
      <c r="D40" s="323"/>
      <c r="E40" s="324"/>
      <c r="F40" s="324"/>
    </row>
    <row r="41" spans="2:6" s="325" customFormat="1" ht="12.75" x14ac:dyDescent="0.2">
      <c r="B41" s="330" t="s">
        <v>117</v>
      </c>
      <c r="C41" s="323"/>
      <c r="D41" s="323"/>
      <c r="E41" s="324"/>
      <c r="F41" s="324" t="e">
        <f>VLOOKUP($C$3,'H) Péréquation directe'!$B$16:$I$391,4,FALSE)</f>
        <v>#N/A</v>
      </c>
    </row>
    <row r="42" spans="2:6" s="325" customFormat="1" ht="12.75" x14ac:dyDescent="0.2">
      <c r="B42" s="323"/>
      <c r="C42" s="323"/>
      <c r="D42" s="323"/>
      <c r="E42" s="324"/>
      <c r="F42" s="328"/>
    </row>
    <row r="43" spans="2:6" s="325" customFormat="1" ht="12.75" x14ac:dyDescent="0.2">
      <c r="B43" s="330" t="s">
        <v>538</v>
      </c>
      <c r="C43" s="323"/>
      <c r="D43" s="323"/>
      <c r="E43" s="324"/>
      <c r="F43" s="329" t="e">
        <f>F28+F30+F34+F39+F41</f>
        <v>#N/A</v>
      </c>
    </row>
    <row r="44" spans="2:6" s="325" customFormat="1" ht="12.75" x14ac:dyDescent="0.2">
      <c r="B44" s="323"/>
      <c r="C44" s="323"/>
      <c r="D44" s="323"/>
      <c r="E44" s="324"/>
      <c r="F44" s="324"/>
    </row>
    <row r="45" spans="2:6" ht="18" x14ac:dyDescent="0.35">
      <c r="B45" s="314" t="s">
        <v>575</v>
      </c>
      <c r="C45" s="135"/>
      <c r="D45" s="135"/>
      <c r="E45" s="278"/>
      <c r="F45" s="278"/>
    </row>
    <row r="46" spans="2:6" s="325" customFormat="1" ht="12.75" x14ac:dyDescent="0.2">
      <c r="B46" s="323"/>
      <c r="C46" s="323"/>
      <c r="D46" s="323"/>
      <c r="E46" s="324"/>
      <c r="F46" s="324"/>
    </row>
    <row r="47" spans="2:6" s="325" customFormat="1" ht="12.75" x14ac:dyDescent="0.2">
      <c r="B47" s="323" t="s">
        <v>554</v>
      </c>
      <c r="C47" s="323"/>
      <c r="D47" s="323"/>
      <c r="E47" s="326" t="e">
        <f>VLOOKUP($C$3,'M) Police'!$B$6:$N$396,10,FALSE)</f>
        <v>#N/A</v>
      </c>
      <c r="F47" s="324"/>
    </row>
    <row r="48" spans="2:6" s="325" customFormat="1" ht="12.75" x14ac:dyDescent="0.2">
      <c r="B48" s="323" t="s">
        <v>555</v>
      </c>
      <c r="C48" s="323"/>
      <c r="D48" s="323"/>
      <c r="E48" s="326" t="e">
        <f>VLOOKUP($C$3,'M) Police'!$B$6:$N$396,13,FALSE)</f>
        <v>#N/A</v>
      </c>
      <c r="F48" s="324" t="e">
        <f>E47+E48</f>
        <v>#N/A</v>
      </c>
    </row>
    <row r="49" spans="2:6" s="325" customFormat="1" ht="12.75" x14ac:dyDescent="0.2">
      <c r="B49" s="323"/>
      <c r="C49" s="323"/>
      <c r="D49" s="323"/>
      <c r="E49" s="324"/>
      <c r="F49" s="328"/>
    </row>
    <row r="50" spans="2:6" s="325" customFormat="1" ht="12.75" x14ac:dyDescent="0.2">
      <c r="B50" s="330" t="s">
        <v>561</v>
      </c>
      <c r="C50" s="323"/>
      <c r="D50" s="323"/>
      <c r="E50" s="324"/>
      <c r="F50" s="329" t="e">
        <f>F48</f>
        <v>#N/A</v>
      </c>
    </row>
    <row r="51" spans="2:6" s="325" customFormat="1" ht="12.75" x14ac:dyDescent="0.2">
      <c r="B51" s="323"/>
      <c r="C51" s="323"/>
      <c r="D51" s="323"/>
      <c r="E51" s="324"/>
      <c r="F51" s="324"/>
    </row>
    <row r="52" spans="2:6" ht="18" x14ac:dyDescent="0.35">
      <c r="B52" s="314" t="s">
        <v>576</v>
      </c>
      <c r="C52" s="135"/>
      <c r="D52" s="135"/>
      <c r="E52" s="278"/>
      <c r="F52" s="278"/>
    </row>
    <row r="53" spans="2:6" s="325" customFormat="1" ht="12.75" x14ac:dyDescent="0.2">
      <c r="B53" s="323"/>
      <c r="C53" s="323"/>
      <c r="D53" s="323"/>
      <c r="E53" s="324"/>
      <c r="F53" s="324"/>
    </row>
    <row r="54" spans="2:6" s="325" customFormat="1" ht="12.75" x14ac:dyDescent="0.2">
      <c r="B54" s="323"/>
      <c r="C54" s="323"/>
      <c r="D54" s="323"/>
      <c r="E54" s="324"/>
      <c r="F54" s="324"/>
    </row>
    <row r="55" spans="2:6" s="325" customFormat="1" ht="12.75" x14ac:dyDescent="0.2">
      <c r="B55" s="330" t="s">
        <v>556</v>
      </c>
      <c r="C55" s="323"/>
      <c r="D55" s="323"/>
      <c r="E55" s="324"/>
      <c r="F55" s="329" t="e">
        <f>F24+F43+F50</f>
        <v>#N/A</v>
      </c>
    </row>
    <row r="56" spans="2:6" s="325" customFormat="1" ht="12.75" x14ac:dyDescent="0.2">
      <c r="B56" s="323"/>
      <c r="C56" s="323"/>
      <c r="D56" s="323"/>
      <c r="E56" s="324"/>
      <c r="F56" s="324"/>
    </row>
  </sheetData>
  <protectedRanges>
    <protectedRange sqref="C3:E3" name="Plage1"/>
  </protectedRanges>
  <mergeCells count="3">
    <mergeCell ref="B6:F6"/>
    <mergeCell ref="B7:F7"/>
    <mergeCell ref="C3:E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Paramètres!$A$69:$A$377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>
    <tabColor rgb="FF00B050"/>
  </sheetPr>
  <dimension ref="A1:AV321"/>
  <sheetViews>
    <sheetView zoomScaleNormal="100" workbookViewId="0">
      <pane ySplit="6" topLeftCell="A7" activePane="bottomLeft" state="frozen"/>
      <selection pane="bottomLeft" activeCell="B13" sqref="B13"/>
    </sheetView>
  </sheetViews>
  <sheetFormatPr baseColWidth="10" defaultColWidth="8.625" defaultRowHeight="15" x14ac:dyDescent="0.25"/>
  <cols>
    <col min="1" max="1" width="7.75" style="6" customWidth="1"/>
    <col min="2" max="2" width="20.25" style="18" bestFit="1" customWidth="1"/>
    <col min="3" max="3" width="12.125" style="8" bestFit="1" customWidth="1"/>
    <col min="4" max="4" width="11.625" style="8" bestFit="1" customWidth="1"/>
    <col min="5" max="5" width="8.75" style="8" bestFit="1" customWidth="1"/>
    <col min="6" max="6" width="7.75" style="8" bestFit="1" customWidth="1"/>
    <col min="7" max="7" width="11.75" style="8" bestFit="1" customWidth="1"/>
    <col min="8" max="8" width="11.125" style="8" bestFit="1" customWidth="1"/>
    <col min="9" max="9" width="13.875" style="8" customWidth="1"/>
    <col min="10" max="10" width="11.125" style="8" bestFit="1" customWidth="1"/>
    <col min="11" max="11" width="11.75" style="8" bestFit="1" customWidth="1"/>
    <col min="12" max="12" width="11.125" style="8" bestFit="1" customWidth="1"/>
    <col min="13" max="13" width="12" style="8" bestFit="1" customWidth="1"/>
    <col min="14" max="14" width="11.125" style="8" bestFit="1" customWidth="1"/>
    <col min="15" max="15" width="13.875" style="8" bestFit="1" customWidth="1"/>
    <col min="16" max="16" width="10.125" style="8" bestFit="1" customWidth="1"/>
    <col min="17" max="17" width="13.875" style="8" customWidth="1"/>
    <col min="18" max="18" width="10.125" style="8" bestFit="1" customWidth="1"/>
    <col min="19" max="19" width="9.5" style="8" bestFit="1" customWidth="1"/>
    <col min="20" max="20" width="11.75" style="8" bestFit="1" customWidth="1"/>
    <col min="21" max="21" width="8.75" style="8" bestFit="1" customWidth="1"/>
    <col min="22" max="22" width="10.125" style="8" bestFit="1" customWidth="1"/>
    <col min="23" max="23" width="8.75" style="8" bestFit="1" customWidth="1"/>
    <col min="24" max="24" width="12" style="8" bestFit="1" customWidth="1"/>
    <col min="25" max="25" width="10.125" style="8" bestFit="1" customWidth="1"/>
    <col min="26" max="26" width="9.5" style="8" bestFit="1" customWidth="1"/>
    <col min="27" max="27" width="11.75" style="8" bestFit="1" customWidth="1"/>
    <col min="28" max="28" width="20.625" style="8" bestFit="1" customWidth="1"/>
    <col min="29" max="29" width="11.125" style="8" bestFit="1" customWidth="1"/>
    <col min="30" max="30" width="10.125" style="8" bestFit="1" customWidth="1"/>
    <col min="31" max="32" width="8.75" style="8" bestFit="1" customWidth="1"/>
    <col min="33" max="33" width="11.75" style="8" bestFit="1" customWidth="1"/>
    <col min="34" max="34" width="10.125" style="8" bestFit="1" customWidth="1"/>
    <col min="35" max="35" width="11.75" style="8" bestFit="1" customWidth="1"/>
    <col min="36" max="37" width="10.875" style="8" customWidth="1"/>
    <col min="38" max="38" width="10.75" style="8" bestFit="1" customWidth="1"/>
    <col min="39" max="39" width="7.25" style="20" bestFit="1" customWidth="1"/>
    <col min="40" max="40" width="9.5" style="18" bestFit="1" customWidth="1"/>
    <col min="41" max="41" width="10.125" style="8" bestFit="1" customWidth="1"/>
    <col min="42" max="42" width="7.75" style="8" bestFit="1" customWidth="1"/>
    <col min="43" max="43" width="11.75" style="8" bestFit="1" customWidth="1"/>
    <col min="44" max="44" width="5.125" style="18" bestFit="1" customWidth="1"/>
    <col min="45" max="46" width="8.625" style="18"/>
    <col min="47" max="47" width="9.875" style="18" bestFit="1" customWidth="1"/>
    <col min="48" max="48" width="9" style="18" bestFit="1" customWidth="1"/>
    <col min="49" max="16384" width="8.625" style="18"/>
  </cols>
  <sheetData>
    <row r="1" spans="1:48" ht="21" x14ac:dyDescent="0.35">
      <c r="A1" s="35" t="s">
        <v>501</v>
      </c>
      <c r="B1" s="6"/>
      <c r="C1" s="7"/>
      <c r="D1" s="7"/>
      <c r="E1" s="7"/>
      <c r="F1" s="7"/>
      <c r="G1" s="7"/>
      <c r="H1" s="7"/>
      <c r="I1" s="7"/>
      <c r="J1" s="7"/>
      <c r="V1" s="10"/>
    </row>
    <row r="2" spans="1:48" ht="21" x14ac:dyDescent="0.35">
      <c r="A2" s="35" t="str">
        <f>Paramètres!B5</f>
        <v>Acomptes 2017</v>
      </c>
      <c r="C2" s="9"/>
      <c r="D2" s="9"/>
      <c r="E2" s="7"/>
      <c r="F2" s="7"/>
      <c r="G2" s="7"/>
      <c r="H2" s="7"/>
      <c r="I2" s="7"/>
      <c r="J2" s="7"/>
      <c r="V2" s="10"/>
    </row>
    <row r="3" spans="1:48" x14ac:dyDescent="0.25">
      <c r="A3" s="5"/>
      <c r="B3" s="6"/>
      <c r="C3" s="7"/>
      <c r="D3" s="7"/>
      <c r="E3" s="7"/>
      <c r="F3" s="7"/>
      <c r="G3" s="7"/>
      <c r="H3" s="7"/>
      <c r="I3" s="7"/>
      <c r="J3" s="7"/>
      <c r="L3" s="10"/>
    </row>
    <row r="4" spans="1:48" s="29" customFormat="1" ht="38.1" customHeight="1" x14ac:dyDescent="0.2">
      <c r="A4" s="408" t="s">
        <v>50</v>
      </c>
      <c r="B4" s="411" t="s">
        <v>579</v>
      </c>
      <c r="C4" s="401" t="s">
        <v>447</v>
      </c>
      <c r="D4" s="401" t="s">
        <v>448</v>
      </c>
      <c r="E4" s="401" t="s">
        <v>288</v>
      </c>
      <c r="F4" s="401" t="s">
        <v>289</v>
      </c>
      <c r="G4" s="401" t="s">
        <v>449</v>
      </c>
      <c r="H4" s="401" t="s">
        <v>450</v>
      </c>
      <c r="I4" s="401" t="s">
        <v>451</v>
      </c>
      <c r="J4" s="401" t="s">
        <v>417</v>
      </c>
      <c r="K4" s="401" t="s">
        <v>418</v>
      </c>
      <c r="L4" s="401" t="s">
        <v>419</v>
      </c>
      <c r="M4" s="401" t="s">
        <v>221</v>
      </c>
      <c r="N4" s="401" t="s">
        <v>222</v>
      </c>
      <c r="O4" s="401" t="s">
        <v>223</v>
      </c>
      <c r="P4" s="401" t="s">
        <v>224</v>
      </c>
      <c r="Q4" s="401" t="s">
        <v>452</v>
      </c>
      <c r="R4" s="401" t="s">
        <v>225</v>
      </c>
      <c r="S4" s="401" t="s">
        <v>453</v>
      </c>
      <c r="T4" s="401" t="s">
        <v>454</v>
      </c>
      <c r="U4" s="401" t="s">
        <v>120</v>
      </c>
      <c r="V4" s="401" t="s">
        <v>121</v>
      </c>
      <c r="W4" s="404" t="s">
        <v>122</v>
      </c>
      <c r="X4" s="401" t="s">
        <v>166</v>
      </c>
      <c r="Y4" s="417" t="s">
        <v>455</v>
      </c>
      <c r="Z4" s="401" t="s">
        <v>456</v>
      </c>
      <c r="AA4" s="401" t="s">
        <v>457</v>
      </c>
      <c r="AB4" s="401" t="s">
        <v>458</v>
      </c>
      <c r="AC4" s="401" t="s">
        <v>84</v>
      </c>
      <c r="AD4" s="401" t="s">
        <v>85</v>
      </c>
      <c r="AE4" s="401" t="s">
        <v>86</v>
      </c>
      <c r="AF4" s="401" t="s">
        <v>87</v>
      </c>
      <c r="AG4" s="401" t="s">
        <v>88</v>
      </c>
      <c r="AH4" s="401" t="s">
        <v>459</v>
      </c>
      <c r="AI4" s="401" t="s">
        <v>460</v>
      </c>
      <c r="AJ4" s="401" t="s">
        <v>461</v>
      </c>
      <c r="AK4" s="401" t="s">
        <v>462</v>
      </c>
      <c r="AL4" s="404" t="s">
        <v>89</v>
      </c>
      <c r="AM4" s="406" t="s">
        <v>90</v>
      </c>
      <c r="AN4" s="399" t="s">
        <v>500</v>
      </c>
      <c r="AO4" s="401" t="s">
        <v>275</v>
      </c>
      <c r="AP4" s="401" t="s">
        <v>276</v>
      </c>
      <c r="AQ4" s="401" t="s">
        <v>277</v>
      </c>
      <c r="AR4" s="414" t="s">
        <v>560</v>
      </c>
    </row>
    <row r="5" spans="1:48" s="29" customFormat="1" ht="38.1" customHeight="1" x14ac:dyDescent="0.2">
      <c r="A5" s="409"/>
      <c r="B5" s="412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2"/>
      <c r="R5" s="403"/>
      <c r="S5" s="402"/>
      <c r="T5" s="403"/>
      <c r="U5" s="403"/>
      <c r="V5" s="403"/>
      <c r="W5" s="405"/>
      <c r="X5" s="403"/>
      <c r="Y5" s="418"/>
      <c r="Z5" s="403"/>
      <c r="AA5" s="403"/>
      <c r="AB5" s="403"/>
      <c r="AC5" s="403"/>
      <c r="AD5" s="403"/>
      <c r="AE5" s="403"/>
      <c r="AF5" s="403"/>
      <c r="AG5" s="403"/>
      <c r="AH5" s="402"/>
      <c r="AI5" s="402"/>
      <c r="AJ5" s="402"/>
      <c r="AK5" s="402"/>
      <c r="AL5" s="405"/>
      <c r="AM5" s="407"/>
      <c r="AN5" s="400"/>
      <c r="AO5" s="402"/>
      <c r="AP5" s="402"/>
      <c r="AQ5" s="402"/>
      <c r="AR5" s="415"/>
    </row>
    <row r="6" spans="1:48" s="31" customFormat="1" x14ac:dyDescent="0.25">
      <c r="A6" s="410"/>
      <c r="B6" s="413"/>
      <c r="C6" s="27" t="s">
        <v>463</v>
      </c>
      <c r="D6" s="27" t="s">
        <v>464</v>
      </c>
      <c r="E6" s="27" t="s">
        <v>91</v>
      </c>
      <c r="F6" s="27" t="s">
        <v>92</v>
      </c>
      <c r="G6" s="27" t="s">
        <v>465</v>
      </c>
      <c r="H6" s="27" t="s">
        <v>466</v>
      </c>
      <c r="I6" s="27" t="s">
        <v>94</v>
      </c>
      <c r="J6" s="27" t="s">
        <v>95</v>
      </c>
      <c r="K6" s="27" t="s">
        <v>96</v>
      </c>
      <c r="L6" s="27" t="s">
        <v>97</v>
      </c>
      <c r="M6" s="27" t="s">
        <v>98</v>
      </c>
      <c r="N6" s="27" t="s">
        <v>99</v>
      </c>
      <c r="O6" s="27" t="s">
        <v>100</v>
      </c>
      <c r="P6" s="27" t="s">
        <v>101</v>
      </c>
      <c r="Q6" s="403"/>
      <c r="R6" s="27" t="s">
        <v>102</v>
      </c>
      <c r="S6" s="403"/>
      <c r="T6" s="27" t="s">
        <v>103</v>
      </c>
      <c r="U6" s="27" t="s">
        <v>104</v>
      </c>
      <c r="V6" s="27" t="s">
        <v>105</v>
      </c>
      <c r="W6" s="27" t="s">
        <v>106</v>
      </c>
      <c r="X6" s="27" t="s">
        <v>107</v>
      </c>
      <c r="Y6" s="27" t="s">
        <v>108</v>
      </c>
      <c r="Z6" s="27" t="s">
        <v>109</v>
      </c>
      <c r="AA6" s="27" t="s">
        <v>110</v>
      </c>
      <c r="AB6" s="27" t="s">
        <v>111</v>
      </c>
      <c r="AC6" s="27" t="s">
        <v>112</v>
      </c>
      <c r="AD6" s="27" t="s">
        <v>113</v>
      </c>
      <c r="AE6" s="27" t="s">
        <v>114</v>
      </c>
      <c r="AF6" s="27" t="s">
        <v>291</v>
      </c>
      <c r="AG6" s="27" t="s">
        <v>292</v>
      </c>
      <c r="AH6" s="403"/>
      <c r="AI6" s="403"/>
      <c r="AJ6" s="403"/>
      <c r="AK6" s="403"/>
      <c r="AL6" s="27" t="s">
        <v>293</v>
      </c>
      <c r="AM6" s="32">
        <f>Paramètres!B8</f>
        <v>2015</v>
      </c>
      <c r="AN6" s="33">
        <v>40907</v>
      </c>
      <c r="AO6" s="403"/>
      <c r="AP6" s="403"/>
      <c r="AQ6" s="403"/>
      <c r="AR6" s="416"/>
    </row>
    <row r="7" spans="1:48" x14ac:dyDescent="0.25">
      <c r="A7" s="12">
        <v>5401</v>
      </c>
      <c r="B7" s="13" t="s">
        <v>294</v>
      </c>
      <c r="C7" s="69">
        <v>11240673.210000001</v>
      </c>
      <c r="D7" s="69">
        <v>1457324.7</v>
      </c>
      <c r="E7" s="69"/>
      <c r="F7" s="69"/>
      <c r="G7" s="69">
        <v>2641213.5499999998</v>
      </c>
      <c r="H7" s="69">
        <v>180629.8</v>
      </c>
      <c r="I7" s="69">
        <v>-27502.85</v>
      </c>
      <c r="J7" s="69">
        <v>836253</v>
      </c>
      <c r="K7" s="69">
        <v>186509.5</v>
      </c>
      <c r="L7" s="69">
        <v>1831199.7</v>
      </c>
      <c r="M7" s="3">
        <f>SUM(C7:L7)</f>
        <v>18346300.610000003</v>
      </c>
      <c r="N7" s="69">
        <v>1028213.05</v>
      </c>
      <c r="O7" s="69">
        <v>290666.40000000002</v>
      </c>
      <c r="P7" s="69">
        <v>638931.6</v>
      </c>
      <c r="Q7" s="69">
        <v>99123.66</v>
      </c>
      <c r="R7" s="69">
        <v>159363.79999999999</v>
      </c>
      <c r="S7" s="69">
        <v>1681.25</v>
      </c>
      <c r="T7" s="69">
        <v>70033.649999999994</v>
      </c>
      <c r="U7" s="69">
        <v>37350</v>
      </c>
      <c r="V7" s="69"/>
      <c r="W7" s="69"/>
      <c r="X7" s="2">
        <f>SUM(M7:W7)</f>
        <v>20671664.020000003</v>
      </c>
      <c r="Y7" s="69">
        <v>381914.35</v>
      </c>
      <c r="Z7" s="69"/>
      <c r="AA7" s="69">
        <v>775571.75</v>
      </c>
      <c r="AB7" s="69"/>
      <c r="AC7" s="69">
        <v>1360216.85</v>
      </c>
      <c r="AD7" s="69">
        <v>306665.65000000002</v>
      </c>
      <c r="AE7" s="69"/>
      <c r="AF7" s="69">
        <v>1118.1500000000001</v>
      </c>
      <c r="AG7" s="69">
        <v>36797.25</v>
      </c>
      <c r="AH7" s="69">
        <v>373437.45</v>
      </c>
      <c r="AI7" s="69"/>
      <c r="AJ7" s="69"/>
      <c r="AK7" s="69">
        <v>212964.25</v>
      </c>
      <c r="AL7" s="48">
        <f>SUM(Y7:AK7)</f>
        <v>3448685.7</v>
      </c>
      <c r="AM7" s="22">
        <v>67.5</v>
      </c>
      <c r="AN7" s="69">
        <v>9757</v>
      </c>
      <c r="AO7" s="69">
        <v>-531955.15</v>
      </c>
      <c r="AP7" s="69"/>
      <c r="AQ7" s="69">
        <v>-1201.55</v>
      </c>
      <c r="AR7" s="44">
        <v>1.2</v>
      </c>
      <c r="AU7" s="46"/>
      <c r="AV7" s="46"/>
    </row>
    <row r="8" spans="1:48" x14ac:dyDescent="0.25">
      <c r="A8" s="12">
        <v>5402</v>
      </c>
      <c r="B8" s="13" t="s">
        <v>295</v>
      </c>
      <c r="C8" s="14">
        <v>8326857.9000000004</v>
      </c>
      <c r="D8" s="14">
        <v>997704.72</v>
      </c>
      <c r="E8" s="14"/>
      <c r="F8" s="14"/>
      <c r="G8" s="14">
        <v>1768321.05</v>
      </c>
      <c r="H8" s="14">
        <v>78972.55</v>
      </c>
      <c r="I8" s="14">
        <v>95185.75</v>
      </c>
      <c r="J8" s="14">
        <v>511249.4</v>
      </c>
      <c r="K8" s="14">
        <v>88061</v>
      </c>
      <c r="L8" s="14">
        <v>1090710.6499999999</v>
      </c>
      <c r="M8" s="3">
        <f t="shared" ref="M8:M71" si="0">SUM(C8:L8)</f>
        <v>12957063.020000003</v>
      </c>
      <c r="N8" s="14">
        <v>184714.75</v>
      </c>
      <c r="O8" s="14">
        <v>833825.1</v>
      </c>
      <c r="P8" s="14">
        <v>595457.80000000005</v>
      </c>
      <c r="Q8" s="14">
        <v>148637</v>
      </c>
      <c r="R8" s="14">
        <v>297991.05</v>
      </c>
      <c r="S8" s="14">
        <v>1356.25</v>
      </c>
      <c r="T8" s="14">
        <v>22375</v>
      </c>
      <c r="U8" s="14">
        <v>38050</v>
      </c>
      <c r="V8" s="14">
        <v>93979.15</v>
      </c>
      <c r="W8" s="14">
        <v>1766</v>
      </c>
      <c r="X8" s="2">
        <f t="shared" ref="X8:X71" si="1">SUM(M8:W8)</f>
        <v>15175215.120000005</v>
      </c>
      <c r="Y8" s="14">
        <v>41115.339999999997</v>
      </c>
      <c r="Z8" s="14">
        <v>162097.14000000001</v>
      </c>
      <c r="AA8" s="14">
        <v>1847085.15</v>
      </c>
      <c r="AB8" s="14"/>
      <c r="AC8" s="14">
        <v>925214.31</v>
      </c>
      <c r="AD8" s="14">
        <v>166822.14000000001</v>
      </c>
      <c r="AE8" s="14"/>
      <c r="AF8" s="14"/>
      <c r="AG8" s="14">
        <v>91272.7</v>
      </c>
      <c r="AH8" s="14">
        <v>242834.5</v>
      </c>
      <c r="AI8" s="14"/>
      <c r="AJ8" s="14"/>
      <c r="AK8" s="14"/>
      <c r="AL8" s="48">
        <f>SUM(Y8:AK8)</f>
        <v>3476441.2800000003</v>
      </c>
      <c r="AM8" s="22">
        <v>71</v>
      </c>
      <c r="AN8" s="14">
        <v>7236</v>
      </c>
      <c r="AO8" s="14">
        <v>-398918.89</v>
      </c>
      <c r="AP8" s="14"/>
      <c r="AQ8" s="14">
        <v>-384.93</v>
      </c>
      <c r="AR8" s="44">
        <v>1.25</v>
      </c>
      <c r="AU8" s="46"/>
      <c r="AV8" s="46"/>
    </row>
    <row r="9" spans="1:48" x14ac:dyDescent="0.25">
      <c r="A9" s="12">
        <v>5403</v>
      </c>
      <c r="B9" s="13" t="s">
        <v>140</v>
      </c>
      <c r="C9" s="14">
        <v>493842.89</v>
      </c>
      <c r="D9" s="14">
        <v>65359.21</v>
      </c>
      <c r="E9" s="14"/>
      <c r="F9" s="14"/>
      <c r="G9" s="14">
        <v>11064.55</v>
      </c>
      <c r="H9" s="14">
        <v>135.19999999999999</v>
      </c>
      <c r="I9" s="14"/>
      <c r="J9" s="14">
        <v>15318.17</v>
      </c>
      <c r="K9" s="14">
        <v>1545.5</v>
      </c>
      <c r="L9" s="14">
        <v>52317.55</v>
      </c>
      <c r="M9" s="3">
        <f t="shared" si="0"/>
        <v>639583.07000000007</v>
      </c>
      <c r="N9" s="14">
        <v>6667.2</v>
      </c>
      <c r="O9" s="14"/>
      <c r="P9" s="14">
        <v>15609.85</v>
      </c>
      <c r="Q9" s="14">
        <v>30299.040000000001</v>
      </c>
      <c r="R9" s="14">
        <v>10848.4</v>
      </c>
      <c r="S9" s="14">
        <v>43.75</v>
      </c>
      <c r="T9" s="14"/>
      <c r="U9" s="14">
        <v>4800</v>
      </c>
      <c r="V9" s="14"/>
      <c r="W9" s="14"/>
      <c r="X9" s="2">
        <f t="shared" si="1"/>
        <v>707851.31</v>
      </c>
      <c r="Y9" s="14">
        <v>139797</v>
      </c>
      <c r="Z9" s="14"/>
      <c r="AA9" s="14">
        <v>63573.4</v>
      </c>
      <c r="AB9" s="14"/>
      <c r="AC9" s="14">
        <v>33283.800000000003</v>
      </c>
      <c r="AD9" s="14"/>
      <c r="AE9" s="14">
        <v>142553</v>
      </c>
      <c r="AF9" s="14"/>
      <c r="AG9" s="14">
        <v>28349.75</v>
      </c>
      <c r="AH9" s="14"/>
      <c r="AI9" s="14"/>
      <c r="AJ9" s="14"/>
      <c r="AK9" s="14"/>
      <c r="AL9" s="48">
        <f t="shared" ref="AL9:AL71" si="2">SUM(Y9:AK9)</f>
        <v>407556.95</v>
      </c>
      <c r="AM9" s="22">
        <v>76</v>
      </c>
      <c r="AN9" s="14">
        <v>396</v>
      </c>
      <c r="AO9" s="14">
        <v>-40245.81</v>
      </c>
      <c r="AP9" s="14"/>
      <c r="AQ9" s="14">
        <v>-8.34</v>
      </c>
      <c r="AR9" s="44">
        <v>1</v>
      </c>
      <c r="AU9" s="46"/>
      <c r="AV9" s="46"/>
    </row>
    <row r="10" spans="1:48" x14ac:dyDescent="0.25">
      <c r="A10" s="12">
        <v>5404</v>
      </c>
      <c r="B10" s="13" t="s">
        <v>141</v>
      </c>
      <c r="C10" s="14">
        <v>537077.06999999995</v>
      </c>
      <c r="D10" s="14">
        <v>71769.78</v>
      </c>
      <c r="E10" s="14"/>
      <c r="F10" s="14"/>
      <c r="G10" s="14">
        <v>4034.25</v>
      </c>
      <c r="H10" s="14">
        <v>4704.8500000000004</v>
      </c>
      <c r="I10" s="14"/>
      <c r="J10" s="14">
        <v>11939.79</v>
      </c>
      <c r="K10" s="14">
        <v>389.5</v>
      </c>
      <c r="L10" s="14">
        <v>106344.6</v>
      </c>
      <c r="M10" s="3">
        <f t="shared" si="0"/>
        <v>736259.84</v>
      </c>
      <c r="N10" s="14">
        <v>11807.3</v>
      </c>
      <c r="O10" s="14">
        <v>24388.3</v>
      </c>
      <c r="P10" s="14">
        <v>44530</v>
      </c>
      <c r="Q10" s="14">
        <v>5538.33</v>
      </c>
      <c r="R10" s="14">
        <v>19160.2</v>
      </c>
      <c r="S10" s="14">
        <v>0</v>
      </c>
      <c r="T10" s="14"/>
      <c r="U10" s="14">
        <v>5800</v>
      </c>
      <c r="V10" s="14"/>
      <c r="W10" s="14"/>
      <c r="X10" s="2">
        <f t="shared" si="1"/>
        <v>847483.97</v>
      </c>
      <c r="Y10" s="14">
        <v>13682</v>
      </c>
      <c r="Z10" s="14">
        <v>1875</v>
      </c>
      <c r="AA10" s="14">
        <v>109974.75</v>
      </c>
      <c r="AB10" s="14"/>
      <c r="AC10" s="14">
        <v>32424.5</v>
      </c>
      <c r="AD10" s="14">
        <v>9121</v>
      </c>
      <c r="AE10" s="14">
        <v>1312.95</v>
      </c>
      <c r="AF10" s="14"/>
      <c r="AG10" s="14">
        <v>6091.2</v>
      </c>
      <c r="AH10" s="14">
        <v>11636.6</v>
      </c>
      <c r="AI10" s="14"/>
      <c r="AJ10" s="14"/>
      <c r="AK10" s="14"/>
      <c r="AL10" s="48">
        <f t="shared" si="2"/>
        <v>186118.00000000003</v>
      </c>
      <c r="AM10" s="22">
        <v>70</v>
      </c>
      <c r="AN10" s="14">
        <v>433</v>
      </c>
      <c r="AO10" s="14">
        <v>-8711.4599999999991</v>
      </c>
      <c r="AP10" s="14"/>
      <c r="AQ10" s="14">
        <v>-5.31</v>
      </c>
      <c r="AR10" s="44">
        <v>1.5</v>
      </c>
      <c r="AU10" s="46"/>
      <c r="AV10" s="46"/>
    </row>
    <row r="11" spans="1:48" x14ac:dyDescent="0.25">
      <c r="A11" s="12">
        <v>5405</v>
      </c>
      <c r="B11" s="13" t="s">
        <v>142</v>
      </c>
      <c r="C11" s="14">
        <v>3185727.49</v>
      </c>
      <c r="D11" s="14">
        <v>1187079.57</v>
      </c>
      <c r="E11" s="14"/>
      <c r="F11" s="14"/>
      <c r="G11" s="14">
        <v>44623.65</v>
      </c>
      <c r="H11" s="14">
        <v>5517.2</v>
      </c>
      <c r="I11" s="14">
        <v>212553.56</v>
      </c>
      <c r="J11" s="14">
        <v>122272.39</v>
      </c>
      <c r="K11" s="14">
        <v>13950</v>
      </c>
      <c r="L11" s="14">
        <v>717273</v>
      </c>
      <c r="M11" s="3">
        <f t="shared" si="0"/>
        <v>5488996.8600000003</v>
      </c>
      <c r="N11" s="14"/>
      <c r="O11" s="14">
        <v>95035</v>
      </c>
      <c r="P11" s="14">
        <v>349245</v>
      </c>
      <c r="Q11" s="14">
        <v>227424.25</v>
      </c>
      <c r="R11" s="14">
        <v>240426.45</v>
      </c>
      <c r="S11" s="14">
        <v>100</v>
      </c>
      <c r="T11" s="14">
        <v>5487</v>
      </c>
      <c r="U11" s="14">
        <v>9110</v>
      </c>
      <c r="V11" s="14">
        <v>942</v>
      </c>
      <c r="W11" s="14"/>
      <c r="X11" s="2">
        <f t="shared" si="1"/>
        <v>6416766.5600000005</v>
      </c>
      <c r="Y11" s="14">
        <v>49704.5</v>
      </c>
      <c r="Z11" s="14"/>
      <c r="AA11" s="14">
        <v>170093.6</v>
      </c>
      <c r="AB11" s="14"/>
      <c r="AC11" s="14">
        <v>405997.45</v>
      </c>
      <c r="AD11" s="14">
        <v>144147.29999999999</v>
      </c>
      <c r="AE11" s="14"/>
      <c r="AF11" s="14"/>
      <c r="AG11" s="14"/>
      <c r="AH11" s="14"/>
      <c r="AI11" s="14"/>
      <c r="AJ11" s="14"/>
      <c r="AK11" s="14"/>
      <c r="AL11" s="48">
        <f t="shared" si="2"/>
        <v>769942.85000000009</v>
      </c>
      <c r="AM11" s="22">
        <v>75</v>
      </c>
      <c r="AN11" s="14">
        <v>1265</v>
      </c>
      <c r="AO11" s="14">
        <v>-62900</v>
      </c>
      <c r="AP11" s="14"/>
      <c r="AQ11" s="14">
        <v>-244.57</v>
      </c>
      <c r="AR11" s="44">
        <v>1.5</v>
      </c>
      <c r="AU11" s="46"/>
      <c r="AV11" s="46"/>
    </row>
    <row r="12" spans="1:48" x14ac:dyDescent="0.25">
      <c r="A12" s="12">
        <v>5406</v>
      </c>
      <c r="B12" s="13" t="s">
        <v>143</v>
      </c>
      <c r="C12" s="14">
        <v>996597.21</v>
      </c>
      <c r="D12" s="14">
        <v>110411.84</v>
      </c>
      <c r="E12" s="14"/>
      <c r="F12" s="14"/>
      <c r="G12" s="14">
        <v>125063.2</v>
      </c>
      <c r="H12" s="14">
        <v>3310.05</v>
      </c>
      <c r="I12" s="14"/>
      <c r="J12" s="14">
        <v>53715.4</v>
      </c>
      <c r="K12" s="14">
        <v>3797</v>
      </c>
      <c r="L12" s="14">
        <v>171998.5</v>
      </c>
      <c r="M12" s="3">
        <f t="shared" si="0"/>
        <v>1464893.2</v>
      </c>
      <c r="N12" s="14"/>
      <c r="O12" s="14">
        <v>2376.5</v>
      </c>
      <c r="P12" s="14">
        <v>43542.8</v>
      </c>
      <c r="Q12" s="14">
        <v>3110.77</v>
      </c>
      <c r="R12" s="14">
        <v>38223.85</v>
      </c>
      <c r="S12" s="14">
        <v>156.25</v>
      </c>
      <c r="T12" s="14"/>
      <c r="U12" s="14">
        <v>6830</v>
      </c>
      <c r="V12" s="14">
        <v>208959</v>
      </c>
      <c r="W12" s="14"/>
      <c r="X12" s="2">
        <f t="shared" si="1"/>
        <v>1768092.37</v>
      </c>
      <c r="Y12" s="14">
        <v>17706.599999999999</v>
      </c>
      <c r="Z12" s="14"/>
      <c r="AA12" s="14">
        <v>246822.8</v>
      </c>
      <c r="AB12" s="14"/>
      <c r="AC12" s="14">
        <v>145184.95000000001</v>
      </c>
      <c r="AD12" s="14">
        <v>10280.65</v>
      </c>
      <c r="AE12" s="14">
        <v>3976.15</v>
      </c>
      <c r="AF12" s="14"/>
      <c r="AG12" s="14">
        <v>38785</v>
      </c>
      <c r="AH12" s="14">
        <v>63645.09</v>
      </c>
      <c r="AI12" s="14"/>
      <c r="AJ12" s="14"/>
      <c r="AK12" s="14"/>
      <c r="AL12" s="48">
        <f t="shared" si="2"/>
        <v>526401.24</v>
      </c>
      <c r="AM12" s="22">
        <v>71</v>
      </c>
      <c r="AN12" s="14">
        <v>907</v>
      </c>
      <c r="AO12" s="14">
        <v>-20255.080000000002</v>
      </c>
      <c r="AP12" s="14"/>
      <c r="AQ12" s="14">
        <v>-24.06</v>
      </c>
      <c r="AR12" s="44">
        <v>1.3</v>
      </c>
      <c r="AU12" s="46"/>
      <c r="AV12" s="46"/>
    </row>
    <row r="13" spans="1:48" x14ac:dyDescent="0.25">
      <c r="A13" s="12">
        <v>5407</v>
      </c>
      <c r="B13" s="13" t="s">
        <v>144</v>
      </c>
      <c r="C13" s="14">
        <v>3715897.25</v>
      </c>
      <c r="D13" s="14">
        <v>785665.05</v>
      </c>
      <c r="E13" s="14"/>
      <c r="F13" s="14"/>
      <c r="G13" s="14">
        <v>1692676.67</v>
      </c>
      <c r="H13" s="14">
        <v>91674.55</v>
      </c>
      <c r="I13" s="14">
        <v>98001.08</v>
      </c>
      <c r="J13" s="14">
        <v>923055.47</v>
      </c>
      <c r="K13" s="14">
        <v>26714</v>
      </c>
      <c r="L13" s="14">
        <v>1132877.55</v>
      </c>
      <c r="M13" s="3">
        <f t="shared" si="0"/>
        <v>8466561.6199999992</v>
      </c>
      <c r="N13" s="14">
        <v>27734</v>
      </c>
      <c r="O13" s="14">
        <v>56827.5</v>
      </c>
      <c r="P13" s="14">
        <v>361831.05</v>
      </c>
      <c r="Q13" s="14">
        <v>15048.95</v>
      </c>
      <c r="R13" s="14">
        <v>350162.75</v>
      </c>
      <c r="S13" s="14">
        <v>625</v>
      </c>
      <c r="T13" s="14"/>
      <c r="U13" s="14">
        <v>22150</v>
      </c>
      <c r="V13" s="14">
        <v>12625.6</v>
      </c>
      <c r="W13" s="14">
        <v>540</v>
      </c>
      <c r="X13" s="2">
        <f t="shared" si="1"/>
        <v>9314106.4699999988</v>
      </c>
      <c r="Y13" s="14">
        <v>362745.2</v>
      </c>
      <c r="Z13" s="14"/>
      <c r="AA13" s="14">
        <v>469808.25</v>
      </c>
      <c r="AB13" s="14"/>
      <c r="AC13" s="14">
        <v>508038.65</v>
      </c>
      <c r="AD13" s="14">
        <v>365553.15</v>
      </c>
      <c r="AE13" s="14"/>
      <c r="AF13" s="14"/>
      <c r="AG13" s="14"/>
      <c r="AH13" s="14"/>
      <c r="AI13" s="14">
        <v>61747.75</v>
      </c>
      <c r="AJ13" s="14"/>
      <c r="AK13" s="14"/>
      <c r="AL13" s="48">
        <f t="shared" si="2"/>
        <v>1767893</v>
      </c>
      <c r="AM13" s="22">
        <v>78</v>
      </c>
      <c r="AN13" s="14">
        <v>4148</v>
      </c>
      <c r="AO13" s="14">
        <v>-85383.679999999993</v>
      </c>
      <c r="AP13" s="14"/>
      <c r="AQ13" s="14">
        <v>-271.95</v>
      </c>
      <c r="AR13" s="44">
        <v>1.5</v>
      </c>
      <c r="AU13" s="46"/>
      <c r="AV13" s="46"/>
    </row>
    <row r="14" spans="1:48" x14ac:dyDescent="0.25">
      <c r="A14" s="12">
        <v>5408</v>
      </c>
      <c r="B14" s="13" t="s">
        <v>145</v>
      </c>
      <c r="C14" s="14">
        <v>1596409.12</v>
      </c>
      <c r="D14" s="14">
        <v>563470.81000000006</v>
      </c>
      <c r="E14" s="14"/>
      <c r="F14" s="14"/>
      <c r="G14" s="14">
        <v>375494.95</v>
      </c>
      <c r="H14" s="14">
        <v>7481.45</v>
      </c>
      <c r="I14" s="14"/>
      <c r="J14" s="14">
        <v>51833.27</v>
      </c>
      <c r="K14" s="14">
        <v>9338</v>
      </c>
      <c r="L14" s="14">
        <v>206020.3</v>
      </c>
      <c r="M14" s="3">
        <f t="shared" si="0"/>
        <v>2810047.9000000004</v>
      </c>
      <c r="N14" s="14">
        <v>71128.55</v>
      </c>
      <c r="O14" s="14"/>
      <c r="P14" s="14">
        <v>170666.15</v>
      </c>
      <c r="Q14" s="14">
        <v>9494.74</v>
      </c>
      <c r="R14" s="14">
        <v>72440.100000000006</v>
      </c>
      <c r="S14" s="14">
        <v>250</v>
      </c>
      <c r="T14" s="14"/>
      <c r="U14" s="14">
        <v>7250</v>
      </c>
      <c r="V14" s="14"/>
      <c r="W14" s="14"/>
      <c r="X14" s="2">
        <f t="shared" si="1"/>
        <v>3141277.4400000004</v>
      </c>
      <c r="Y14" s="14">
        <v>130251.6</v>
      </c>
      <c r="Z14" s="14"/>
      <c r="AA14" s="14">
        <v>67897.75</v>
      </c>
      <c r="AB14" s="14"/>
      <c r="AC14" s="14">
        <v>95586.95</v>
      </c>
      <c r="AD14" s="14">
        <v>93036.85</v>
      </c>
      <c r="AE14" s="14"/>
      <c r="AF14" s="14"/>
      <c r="AG14" s="14">
        <v>61188.5</v>
      </c>
      <c r="AH14" s="14"/>
      <c r="AI14" s="14"/>
      <c r="AJ14" s="14"/>
      <c r="AK14" s="14"/>
      <c r="AL14" s="48">
        <f t="shared" si="2"/>
        <v>447961.65</v>
      </c>
      <c r="AM14" s="22">
        <v>78.5</v>
      </c>
      <c r="AN14" s="14">
        <v>1029</v>
      </c>
      <c r="AO14" s="14">
        <v>-22116.87</v>
      </c>
      <c r="AP14" s="14"/>
      <c r="AQ14" s="14">
        <v>-1251.8399999999999</v>
      </c>
      <c r="AR14" s="44">
        <v>1.5</v>
      </c>
      <c r="AU14" s="46"/>
      <c r="AV14" s="46"/>
    </row>
    <row r="15" spans="1:48" x14ac:dyDescent="0.25">
      <c r="A15" s="12">
        <v>5409</v>
      </c>
      <c r="B15" s="13" t="s">
        <v>146</v>
      </c>
      <c r="C15" s="14">
        <v>14008991.800000001</v>
      </c>
      <c r="D15" s="14">
        <v>4320660.8</v>
      </c>
      <c r="E15" s="14"/>
      <c r="F15" s="14"/>
      <c r="G15" s="14">
        <v>1316114.5</v>
      </c>
      <c r="H15" s="14">
        <v>52590</v>
      </c>
      <c r="I15" s="14">
        <f>17167206.57-(14567206.57)/2</f>
        <v>9883603.2850000001</v>
      </c>
      <c r="J15" s="14">
        <v>702969.16</v>
      </c>
      <c r="K15" s="14">
        <v>107316.5</v>
      </c>
      <c r="L15" s="14">
        <v>3602565.5</v>
      </c>
      <c r="M15" s="3">
        <f t="shared" si="0"/>
        <v>33994811.545000002</v>
      </c>
      <c r="N15" s="14">
        <v>49965.8</v>
      </c>
      <c r="O15" s="14">
        <f>16169437.4-15769437.4</f>
        <v>400000</v>
      </c>
      <c r="P15" s="14">
        <v>1240857.3</v>
      </c>
      <c r="Q15" s="14">
        <v>102151.91</v>
      </c>
      <c r="R15" s="14">
        <v>1641376.3</v>
      </c>
      <c r="S15" s="14">
        <v>20688.75</v>
      </c>
      <c r="T15" s="14"/>
      <c r="U15" s="14">
        <v>43050</v>
      </c>
      <c r="V15" s="14"/>
      <c r="W15" s="14"/>
      <c r="X15" s="2">
        <f t="shared" si="1"/>
        <v>37492901.604999989</v>
      </c>
      <c r="Y15" s="14">
        <v>343761.25</v>
      </c>
      <c r="Z15" s="14">
        <v>22170</v>
      </c>
      <c r="AA15" s="14"/>
      <c r="AB15" s="14">
        <v>2364990.7999999998</v>
      </c>
      <c r="AC15" s="14">
        <v>1427342.17</v>
      </c>
      <c r="AD15" s="14">
        <v>619631.75</v>
      </c>
      <c r="AE15" s="14">
        <v>42412.1</v>
      </c>
      <c r="AF15" s="14"/>
      <c r="AG15" s="14">
        <v>2840740.54</v>
      </c>
      <c r="AH15" s="14"/>
      <c r="AI15" s="14"/>
      <c r="AJ15" s="14"/>
      <c r="AK15" s="14"/>
      <c r="AL15" s="48">
        <f t="shared" si="2"/>
        <v>7661048.6099999994</v>
      </c>
      <c r="AM15" s="22">
        <v>68</v>
      </c>
      <c r="AN15" s="14">
        <v>7419</v>
      </c>
      <c r="AO15" s="14">
        <v>-253263.89</v>
      </c>
      <c r="AP15" s="14"/>
      <c r="AQ15" s="14">
        <v>-7511.16</v>
      </c>
      <c r="AR15" s="44">
        <v>1.3</v>
      </c>
      <c r="AU15" s="46"/>
      <c r="AV15" s="46"/>
    </row>
    <row r="16" spans="1:48" x14ac:dyDescent="0.25">
      <c r="A16" s="12">
        <v>5410</v>
      </c>
      <c r="B16" s="13" t="s">
        <v>158</v>
      </c>
      <c r="C16" s="14">
        <v>1743008.7</v>
      </c>
      <c r="D16" s="14">
        <v>555829.02</v>
      </c>
      <c r="E16" s="14"/>
      <c r="F16" s="14"/>
      <c r="G16" s="14">
        <v>82858.25</v>
      </c>
      <c r="H16" s="14">
        <v>4189.3500000000004</v>
      </c>
      <c r="I16" s="14"/>
      <c r="J16" s="14">
        <v>81670.73</v>
      </c>
      <c r="K16" s="14">
        <v>4859</v>
      </c>
      <c r="L16" s="14">
        <v>503977.15</v>
      </c>
      <c r="M16" s="3">
        <f t="shared" si="0"/>
        <v>2976392.1999999997</v>
      </c>
      <c r="N16" s="14"/>
      <c r="O16" s="14">
        <v>114149.4</v>
      </c>
      <c r="P16" s="14">
        <v>91259.8</v>
      </c>
      <c r="Q16" s="14">
        <v>2828.42</v>
      </c>
      <c r="R16" s="14">
        <v>122100.6</v>
      </c>
      <c r="S16" s="14">
        <v>8406.25</v>
      </c>
      <c r="T16" s="14">
        <v>150</v>
      </c>
      <c r="U16" s="14">
        <v>18520</v>
      </c>
      <c r="V16" s="14">
        <v>3391.55</v>
      </c>
      <c r="W16" s="14"/>
      <c r="X16" s="2">
        <f t="shared" si="1"/>
        <v>3337198.2199999993</v>
      </c>
      <c r="Y16" s="14">
        <v>100957.15</v>
      </c>
      <c r="Z16" s="14"/>
      <c r="AA16" s="14">
        <v>443683.3</v>
      </c>
      <c r="AB16" s="14"/>
      <c r="AC16" s="14">
        <v>308610.98</v>
      </c>
      <c r="AD16" s="14">
        <v>39094.199999999997</v>
      </c>
      <c r="AE16" s="14"/>
      <c r="AF16" s="14"/>
      <c r="AG16" s="14">
        <v>297751.21000000002</v>
      </c>
      <c r="AH16" s="14">
        <v>62134.15</v>
      </c>
      <c r="AI16" s="14"/>
      <c r="AJ16" s="14">
        <v>35505.25</v>
      </c>
      <c r="AK16" s="14"/>
      <c r="AL16" s="48">
        <f t="shared" si="2"/>
        <v>1287736.2399999998</v>
      </c>
      <c r="AM16" s="22">
        <v>78.5</v>
      </c>
      <c r="AN16" s="14">
        <v>1119</v>
      </c>
      <c r="AO16" s="14">
        <v>-45257.27</v>
      </c>
      <c r="AP16" s="14"/>
      <c r="AQ16" s="14">
        <v>-86.41</v>
      </c>
      <c r="AR16" s="44">
        <v>1.5</v>
      </c>
      <c r="AU16" s="46"/>
      <c r="AV16" s="46"/>
    </row>
    <row r="17" spans="1:48" x14ac:dyDescent="0.25">
      <c r="A17" s="12">
        <v>5411</v>
      </c>
      <c r="B17" s="13" t="s">
        <v>159</v>
      </c>
      <c r="C17" s="14">
        <v>3081803.06</v>
      </c>
      <c r="D17" s="14">
        <v>1190650.8799999999</v>
      </c>
      <c r="E17" s="14"/>
      <c r="F17" s="14"/>
      <c r="G17" s="14">
        <v>143774</v>
      </c>
      <c r="H17" s="14">
        <v>5955.15</v>
      </c>
      <c r="I17" s="14">
        <v>141919.69</v>
      </c>
      <c r="J17" s="14">
        <v>152338.87</v>
      </c>
      <c r="K17" s="14">
        <v>22011.5</v>
      </c>
      <c r="L17" s="14">
        <v>1114705.8500000001</v>
      </c>
      <c r="M17" s="3">
        <f t="shared" si="0"/>
        <v>5853159</v>
      </c>
      <c r="N17" s="14">
        <v>4683.3</v>
      </c>
      <c r="O17" s="14">
        <v>33663.9</v>
      </c>
      <c r="P17" s="14">
        <v>259857.75</v>
      </c>
      <c r="Q17" s="14">
        <v>42592.22</v>
      </c>
      <c r="R17" s="14">
        <v>219085.3</v>
      </c>
      <c r="S17" s="14">
        <v>487.5</v>
      </c>
      <c r="T17" s="14">
        <v>1500</v>
      </c>
      <c r="U17" s="14">
        <v>8450</v>
      </c>
      <c r="V17" s="14"/>
      <c r="W17" s="14">
        <v>1676.65</v>
      </c>
      <c r="X17" s="2">
        <f t="shared" si="1"/>
        <v>6425155.6200000001</v>
      </c>
      <c r="Y17" s="14">
        <v>41202</v>
      </c>
      <c r="Z17" s="14"/>
      <c r="AA17" s="14">
        <v>365077.8</v>
      </c>
      <c r="AB17" s="14"/>
      <c r="AC17" s="14">
        <v>270447.8</v>
      </c>
      <c r="AD17" s="14">
        <v>96448</v>
      </c>
      <c r="AE17" s="14"/>
      <c r="AF17" s="14"/>
      <c r="AG17" s="14">
        <v>896544.65</v>
      </c>
      <c r="AH17" s="14">
        <v>99041.75</v>
      </c>
      <c r="AI17" s="14"/>
      <c r="AJ17" s="14"/>
      <c r="AK17" s="14">
        <v>28297.65</v>
      </c>
      <c r="AL17" s="48">
        <f t="shared" si="2"/>
        <v>1797059.65</v>
      </c>
      <c r="AM17" s="22">
        <v>76</v>
      </c>
      <c r="AN17" s="14">
        <v>1481</v>
      </c>
      <c r="AO17" s="14">
        <v>-65486.26</v>
      </c>
      <c r="AP17" s="14"/>
      <c r="AQ17" s="14">
        <v>-2640.09</v>
      </c>
      <c r="AR17" s="44">
        <v>1.5</v>
      </c>
      <c r="AU17" s="46"/>
      <c r="AV17" s="46"/>
    </row>
    <row r="18" spans="1:48" x14ac:dyDescent="0.25">
      <c r="A18" s="12">
        <v>5412</v>
      </c>
      <c r="B18" s="13" t="s">
        <v>160</v>
      </c>
      <c r="C18" s="14">
        <v>1150541.28</v>
      </c>
      <c r="D18" s="14">
        <v>130721.89</v>
      </c>
      <c r="E18" s="14"/>
      <c r="F18" s="14"/>
      <c r="G18" s="14">
        <v>237062.8</v>
      </c>
      <c r="H18" s="14">
        <v>6486.85</v>
      </c>
      <c r="I18" s="14">
        <v>21735.3</v>
      </c>
      <c r="J18" s="14">
        <v>101351.14</v>
      </c>
      <c r="K18" s="14">
        <v>15320.5</v>
      </c>
      <c r="L18" s="14">
        <v>178858.3</v>
      </c>
      <c r="M18" s="3">
        <f t="shared" si="0"/>
        <v>1842078.06</v>
      </c>
      <c r="N18" s="14">
        <v>92887.85</v>
      </c>
      <c r="O18" s="14"/>
      <c r="P18" s="14">
        <v>53190.45</v>
      </c>
      <c r="Q18" s="14">
        <v>14037.44</v>
      </c>
      <c r="R18" s="14">
        <v>75144.899999999994</v>
      </c>
      <c r="S18" s="14">
        <v>375</v>
      </c>
      <c r="T18" s="14">
        <v>60</v>
      </c>
      <c r="U18" s="14">
        <v>3900</v>
      </c>
      <c r="V18" s="14"/>
      <c r="W18" s="14"/>
      <c r="X18" s="2">
        <f t="shared" si="1"/>
        <v>2081673.7</v>
      </c>
      <c r="Y18" s="14">
        <v>772595.32</v>
      </c>
      <c r="Z18" s="14"/>
      <c r="AA18" s="14">
        <v>148729.53</v>
      </c>
      <c r="AB18" s="14"/>
      <c r="AC18" s="14">
        <v>97869.2</v>
      </c>
      <c r="AD18" s="14">
        <v>927114.29</v>
      </c>
      <c r="AE18" s="14"/>
      <c r="AF18" s="14"/>
      <c r="AG18" s="14">
        <v>643.5</v>
      </c>
      <c r="AH18" s="14">
        <v>46833.35</v>
      </c>
      <c r="AI18" s="14"/>
      <c r="AJ18" s="14"/>
      <c r="AK18" s="14"/>
      <c r="AL18" s="48">
        <f t="shared" si="2"/>
        <v>1993785.19</v>
      </c>
      <c r="AM18" s="22">
        <v>67.5</v>
      </c>
      <c r="AN18" s="14">
        <v>843</v>
      </c>
      <c r="AO18" s="14">
        <v>-67217.5</v>
      </c>
      <c r="AP18" s="14"/>
      <c r="AQ18" s="14">
        <v>-30.57</v>
      </c>
      <c r="AR18" s="44">
        <v>1</v>
      </c>
      <c r="AU18" s="46"/>
      <c r="AV18" s="46"/>
    </row>
    <row r="19" spans="1:48" x14ac:dyDescent="0.25">
      <c r="A19" s="12">
        <v>5413</v>
      </c>
      <c r="B19" s="13" t="s">
        <v>161</v>
      </c>
      <c r="C19" s="14">
        <v>1545506.56</v>
      </c>
      <c r="D19" s="14">
        <v>168616.94</v>
      </c>
      <c r="E19" s="14"/>
      <c r="F19" s="14"/>
      <c r="G19" s="14">
        <v>373711.1</v>
      </c>
      <c r="H19" s="14">
        <v>4087.3</v>
      </c>
      <c r="I19" s="14"/>
      <c r="J19" s="14">
        <v>110824.57</v>
      </c>
      <c r="K19" s="14">
        <v>15694.5</v>
      </c>
      <c r="L19" s="14">
        <v>212343.55</v>
      </c>
      <c r="M19" s="3">
        <f t="shared" si="0"/>
        <v>2430784.52</v>
      </c>
      <c r="N19" s="14">
        <v>208419.15</v>
      </c>
      <c r="O19" s="14">
        <v>12292.5</v>
      </c>
      <c r="P19" s="14">
        <v>112157.65</v>
      </c>
      <c r="Q19" s="14">
        <v>8373.2900000000009</v>
      </c>
      <c r="R19" s="14">
        <v>91841.7</v>
      </c>
      <c r="S19" s="14">
        <v>250</v>
      </c>
      <c r="T19" s="14"/>
      <c r="U19" s="14">
        <v>11100</v>
      </c>
      <c r="V19" s="14"/>
      <c r="W19" s="14"/>
      <c r="X19" s="2">
        <f t="shared" si="1"/>
        <v>2875218.81</v>
      </c>
      <c r="Y19" s="14"/>
      <c r="Z19" s="14"/>
      <c r="AA19" s="14">
        <v>146967.95000000001</v>
      </c>
      <c r="AB19" s="14"/>
      <c r="AC19" s="14">
        <v>190610.94</v>
      </c>
      <c r="AD19" s="14"/>
      <c r="AE19" s="14"/>
      <c r="AF19" s="14"/>
      <c r="AG19" s="14"/>
      <c r="AH19" s="14">
        <v>60847.9</v>
      </c>
      <c r="AI19" s="14">
        <v>17899.400000000001</v>
      </c>
      <c r="AJ19" s="14"/>
      <c r="AK19" s="14"/>
      <c r="AL19" s="48">
        <f t="shared" si="2"/>
        <v>416326.19000000006</v>
      </c>
      <c r="AM19" s="22">
        <v>68</v>
      </c>
      <c r="AN19" s="14">
        <v>1507</v>
      </c>
      <c r="AO19" s="14">
        <v>-68557.78</v>
      </c>
      <c r="AP19" s="14"/>
      <c r="AQ19" s="14">
        <v>-36.96</v>
      </c>
      <c r="AR19" s="44">
        <v>1</v>
      </c>
      <c r="AU19" s="46"/>
      <c r="AV19" s="46"/>
    </row>
    <row r="20" spans="1:48" x14ac:dyDescent="0.25">
      <c r="A20" s="12">
        <v>5414</v>
      </c>
      <c r="B20" s="13" t="s">
        <v>162</v>
      </c>
      <c r="C20" s="14">
        <v>7543729.4199999999</v>
      </c>
      <c r="D20" s="14">
        <v>882985.18</v>
      </c>
      <c r="E20" s="14"/>
      <c r="F20" s="14"/>
      <c r="G20" s="14">
        <v>1671663.95</v>
      </c>
      <c r="H20" s="14">
        <v>109662.45</v>
      </c>
      <c r="I20" s="14">
        <v>90368.1</v>
      </c>
      <c r="J20" s="14">
        <v>507884.35</v>
      </c>
      <c r="K20" s="14">
        <v>55146</v>
      </c>
      <c r="L20" s="14">
        <v>984238.5</v>
      </c>
      <c r="M20" s="3">
        <f t="shared" si="0"/>
        <v>11845677.949999997</v>
      </c>
      <c r="N20" s="14">
        <v>772343.75</v>
      </c>
      <c r="O20" s="14">
        <v>37804.9</v>
      </c>
      <c r="P20" s="14">
        <v>943115.05</v>
      </c>
      <c r="Q20" s="14">
        <v>62919.24</v>
      </c>
      <c r="R20" s="14">
        <v>403483.55</v>
      </c>
      <c r="S20" s="14">
        <v>850</v>
      </c>
      <c r="T20" s="14">
        <v>9105</v>
      </c>
      <c r="U20" s="14">
        <v>27715</v>
      </c>
      <c r="V20" s="14">
        <v>3421.2</v>
      </c>
      <c r="W20" s="14"/>
      <c r="X20" s="2">
        <f t="shared" si="1"/>
        <v>14106435.639999999</v>
      </c>
      <c r="Y20" s="14">
        <v>75759.350000000006</v>
      </c>
      <c r="Z20" s="14"/>
      <c r="AA20" s="14">
        <v>1074841.6000000001</v>
      </c>
      <c r="AB20" s="14"/>
      <c r="AC20" s="14">
        <v>865058.55</v>
      </c>
      <c r="AD20" s="14">
        <v>91217.15</v>
      </c>
      <c r="AE20" s="14"/>
      <c r="AF20" s="14"/>
      <c r="AG20" s="14">
        <v>82334</v>
      </c>
      <c r="AH20" s="14"/>
      <c r="AI20" s="14"/>
      <c r="AJ20" s="14"/>
      <c r="AK20" s="14"/>
      <c r="AL20" s="48">
        <f t="shared" si="2"/>
        <v>2189210.6500000004</v>
      </c>
      <c r="AM20" s="22">
        <v>69</v>
      </c>
      <c r="AN20" s="14">
        <v>5428</v>
      </c>
      <c r="AO20" s="14">
        <v>-314336.40999999997</v>
      </c>
      <c r="AP20" s="14"/>
      <c r="AQ20" s="14">
        <v>-1617.66</v>
      </c>
      <c r="AR20" s="44">
        <v>1</v>
      </c>
      <c r="AU20" s="46"/>
      <c r="AV20" s="46"/>
    </row>
    <row r="21" spans="1:48" x14ac:dyDescent="0.25">
      <c r="A21" s="12">
        <v>5415</v>
      </c>
      <c r="B21" s="13" t="s">
        <v>77</v>
      </c>
      <c r="C21" s="14">
        <v>2201932.19</v>
      </c>
      <c r="D21" s="14">
        <v>314619.37</v>
      </c>
      <c r="E21" s="14"/>
      <c r="F21" s="14"/>
      <c r="G21" s="14">
        <v>160593.35</v>
      </c>
      <c r="H21" s="14">
        <v>1291.3</v>
      </c>
      <c r="I21" s="14"/>
      <c r="J21" s="14">
        <v>60339.81</v>
      </c>
      <c r="K21" s="14">
        <v>8071.5</v>
      </c>
      <c r="L21" s="14">
        <v>310875</v>
      </c>
      <c r="M21" s="3">
        <f t="shared" si="0"/>
        <v>3057722.52</v>
      </c>
      <c r="N21" s="14">
        <v>38421.300000000003</v>
      </c>
      <c r="O21" s="14">
        <v>9303.7999999999993</v>
      </c>
      <c r="P21" s="14">
        <v>76988.149999999994</v>
      </c>
      <c r="Q21" s="14">
        <v>23438.63</v>
      </c>
      <c r="R21" s="14">
        <v>42763.75</v>
      </c>
      <c r="S21" s="14">
        <v>237.5</v>
      </c>
      <c r="T21" s="14"/>
      <c r="U21" s="14">
        <v>7950</v>
      </c>
      <c r="V21" s="14"/>
      <c r="W21" s="14"/>
      <c r="X21" s="2">
        <f t="shared" si="1"/>
        <v>3256825.6499999994</v>
      </c>
      <c r="Y21" s="14">
        <v>16415.7</v>
      </c>
      <c r="Z21" s="14"/>
      <c r="AA21" s="14">
        <v>130166.35</v>
      </c>
      <c r="AB21" s="14"/>
      <c r="AC21" s="14">
        <v>56476.85</v>
      </c>
      <c r="AD21" s="14">
        <v>26387.25</v>
      </c>
      <c r="AE21" s="14"/>
      <c r="AF21" s="14"/>
      <c r="AG21" s="14">
        <v>29359</v>
      </c>
      <c r="AH21" s="14">
        <v>19400</v>
      </c>
      <c r="AI21" s="14"/>
      <c r="AJ21" s="14"/>
      <c r="AK21" s="14">
        <v>19400</v>
      </c>
      <c r="AL21" s="48">
        <f t="shared" si="2"/>
        <v>297605.15000000002</v>
      </c>
      <c r="AM21" s="22">
        <v>68.5</v>
      </c>
      <c r="AN21" s="14">
        <v>1032</v>
      </c>
      <c r="AO21" s="14">
        <v>-28046.14</v>
      </c>
      <c r="AP21" s="14"/>
      <c r="AQ21" s="14">
        <v>-155.81</v>
      </c>
      <c r="AR21" s="44">
        <v>1.5</v>
      </c>
      <c r="AU21" s="46"/>
      <c r="AV21" s="46"/>
    </row>
    <row r="22" spans="1:48" x14ac:dyDescent="0.25">
      <c r="A22" s="12">
        <v>5421</v>
      </c>
      <c r="B22" s="13" t="s">
        <v>78</v>
      </c>
      <c r="C22" s="14">
        <v>2717740.38</v>
      </c>
      <c r="D22" s="14">
        <v>455574.03</v>
      </c>
      <c r="E22" s="14"/>
      <c r="F22" s="14"/>
      <c r="G22" s="14">
        <v>163050.79999999999</v>
      </c>
      <c r="H22" s="14">
        <v>73567.100000000006</v>
      </c>
      <c r="I22" s="14">
        <v>163459.46</v>
      </c>
      <c r="J22" s="14">
        <v>231686.48</v>
      </c>
      <c r="K22" s="14">
        <v>7957.5</v>
      </c>
      <c r="L22" s="14">
        <v>257587.05</v>
      </c>
      <c r="M22" s="3">
        <f t="shared" si="0"/>
        <v>4070622.8</v>
      </c>
      <c r="N22" s="14">
        <v>21306.2</v>
      </c>
      <c r="O22" s="14">
        <v>266539.5</v>
      </c>
      <c r="P22" s="14">
        <v>93963.6</v>
      </c>
      <c r="Q22" s="14">
        <v>13198.84</v>
      </c>
      <c r="R22" s="14">
        <v>232419.95</v>
      </c>
      <c r="S22" s="14">
        <v>281.25</v>
      </c>
      <c r="T22" s="14"/>
      <c r="U22" s="14">
        <v>8400</v>
      </c>
      <c r="V22" s="14"/>
      <c r="W22" s="14"/>
      <c r="X22" s="2">
        <f t="shared" si="1"/>
        <v>4706732.1399999997</v>
      </c>
      <c r="Y22" s="14">
        <v>39416</v>
      </c>
      <c r="Z22" s="14"/>
      <c r="AA22" s="14">
        <v>341863.2</v>
      </c>
      <c r="AB22" s="14"/>
      <c r="AC22" s="14">
        <v>143890.74</v>
      </c>
      <c r="AD22" s="14">
        <v>75296</v>
      </c>
      <c r="AE22" s="14"/>
      <c r="AF22" s="14"/>
      <c r="AG22" s="14"/>
      <c r="AH22" s="14"/>
      <c r="AI22" s="14"/>
      <c r="AJ22" s="14"/>
      <c r="AK22" s="14"/>
      <c r="AL22" s="48">
        <f t="shared" si="2"/>
        <v>600465.93999999994</v>
      </c>
      <c r="AM22" s="22">
        <v>71</v>
      </c>
      <c r="AN22" s="14">
        <v>1363</v>
      </c>
      <c r="AO22" s="14">
        <v>-7642.03</v>
      </c>
      <c r="AP22" s="14"/>
      <c r="AQ22" s="14">
        <v>-1369.52</v>
      </c>
      <c r="AR22" s="44">
        <v>1</v>
      </c>
      <c r="AU22" s="46"/>
      <c r="AV22" s="46"/>
    </row>
    <row r="23" spans="1:48" x14ac:dyDescent="0.25">
      <c r="A23" s="12">
        <v>5422</v>
      </c>
      <c r="B23" s="13" t="s">
        <v>79</v>
      </c>
      <c r="C23" s="14">
        <v>8696837.2799999993</v>
      </c>
      <c r="D23" s="14">
        <v>2109648.0499999998</v>
      </c>
      <c r="E23" s="14"/>
      <c r="F23" s="14"/>
      <c r="G23" s="14">
        <v>2950012.05</v>
      </c>
      <c r="H23" s="14">
        <v>99937.95</v>
      </c>
      <c r="I23" s="14">
        <v>290892.59999999998</v>
      </c>
      <c r="J23" s="14">
        <v>762070.33</v>
      </c>
      <c r="K23" s="14">
        <v>110832</v>
      </c>
      <c r="L23" s="14">
        <v>865588.33</v>
      </c>
      <c r="M23" s="3">
        <f t="shared" si="0"/>
        <v>15885818.589999998</v>
      </c>
      <c r="N23" s="14">
        <v>474225</v>
      </c>
      <c r="O23" s="14">
        <v>231155</v>
      </c>
      <c r="P23" s="14">
        <v>429140.55</v>
      </c>
      <c r="Q23" s="14">
        <v>8857.01</v>
      </c>
      <c r="R23" s="14">
        <v>492714.65</v>
      </c>
      <c r="S23" s="14"/>
      <c r="T23" s="14">
        <v>4300</v>
      </c>
      <c r="U23" s="14">
        <v>20200</v>
      </c>
      <c r="V23" s="14"/>
      <c r="W23" s="14"/>
      <c r="X23" s="2">
        <f t="shared" si="1"/>
        <v>17546410.799999997</v>
      </c>
      <c r="Y23" s="14">
        <v>214079.39</v>
      </c>
      <c r="Z23" s="14"/>
      <c r="AA23" s="14">
        <v>303572</v>
      </c>
      <c r="AB23" s="14"/>
      <c r="AC23" s="14">
        <v>242953.35</v>
      </c>
      <c r="AD23" s="14">
        <v>198405.18</v>
      </c>
      <c r="AE23" s="14"/>
      <c r="AF23" s="14"/>
      <c r="AG23" s="14"/>
      <c r="AH23" s="14">
        <v>206325.7</v>
      </c>
      <c r="AI23" s="14"/>
      <c r="AJ23" s="14"/>
      <c r="AK23" s="14"/>
      <c r="AL23" s="48">
        <f t="shared" si="2"/>
        <v>1165335.6199999999</v>
      </c>
      <c r="AM23" s="22">
        <v>68</v>
      </c>
      <c r="AN23" s="14">
        <v>3227</v>
      </c>
      <c r="AO23" s="14">
        <v>-148490.84</v>
      </c>
      <c r="AP23" s="14"/>
      <c r="AQ23" s="14">
        <v>-723.34</v>
      </c>
      <c r="AR23" s="44">
        <v>1</v>
      </c>
      <c r="AU23" s="46"/>
      <c r="AV23" s="46"/>
    </row>
    <row r="24" spans="1:48" x14ac:dyDescent="0.25">
      <c r="A24" s="12">
        <v>5423</v>
      </c>
      <c r="B24" s="13" t="s">
        <v>80</v>
      </c>
      <c r="C24" s="14">
        <f>1078064.13-(148000)/2</f>
        <v>1004064.1299999999</v>
      </c>
      <c r="D24" s="14">
        <v>114204.5</v>
      </c>
      <c r="E24" s="14"/>
      <c r="F24" s="14">
        <v>2720</v>
      </c>
      <c r="G24" s="14">
        <v>45543.05</v>
      </c>
      <c r="H24" s="14">
        <v>58.6</v>
      </c>
      <c r="I24" s="14"/>
      <c r="J24" s="14">
        <v>58066.400000000001</v>
      </c>
      <c r="K24" s="14">
        <v>1801</v>
      </c>
      <c r="L24" s="14">
        <v>35601.35</v>
      </c>
      <c r="M24" s="3">
        <f t="shared" si="0"/>
        <v>1262059.03</v>
      </c>
      <c r="N24" s="14">
        <v>13307.25</v>
      </c>
      <c r="O24" s="14">
        <f>45426.7-45426.7</f>
        <v>0</v>
      </c>
      <c r="P24" s="14">
        <v>37579.300000000003</v>
      </c>
      <c r="Q24" s="14">
        <v>1198.76</v>
      </c>
      <c r="R24" s="14">
        <v>19948.400000000001</v>
      </c>
      <c r="S24" s="14">
        <v>31.3</v>
      </c>
      <c r="T24" s="14">
        <v>591</v>
      </c>
      <c r="U24" s="14">
        <v>1450</v>
      </c>
      <c r="V24" s="14"/>
      <c r="W24" s="14"/>
      <c r="X24" s="2">
        <f t="shared" si="1"/>
        <v>1336165.04</v>
      </c>
      <c r="Y24" s="14">
        <v>13795.9</v>
      </c>
      <c r="Z24" s="14"/>
      <c r="AA24" s="14">
        <v>150023.4</v>
      </c>
      <c r="AB24" s="14"/>
      <c r="AC24" s="14">
        <v>27118.799999999999</v>
      </c>
      <c r="AD24" s="14"/>
      <c r="AE24" s="14"/>
      <c r="AF24" s="14"/>
      <c r="AG24" s="14"/>
      <c r="AH24" s="14">
        <v>13514.9</v>
      </c>
      <c r="AI24" s="14"/>
      <c r="AJ24" s="14"/>
      <c r="AK24" s="14"/>
      <c r="AL24" s="48">
        <f t="shared" si="2"/>
        <v>204452.99999999997</v>
      </c>
      <c r="AM24" s="22">
        <v>69</v>
      </c>
      <c r="AN24" s="14">
        <v>509</v>
      </c>
      <c r="AO24" s="14">
        <v>-9074.1</v>
      </c>
      <c r="AP24" s="14"/>
      <c r="AQ24" s="14">
        <v>-215.88</v>
      </c>
      <c r="AR24" s="44">
        <v>0.5</v>
      </c>
      <c r="AU24" s="46"/>
      <c r="AV24" s="46"/>
    </row>
    <row r="25" spans="1:48" x14ac:dyDescent="0.25">
      <c r="A25" s="12">
        <v>5424</v>
      </c>
      <c r="B25" s="13" t="s">
        <v>81</v>
      </c>
      <c r="C25" s="14">
        <v>635214.65</v>
      </c>
      <c r="D25" s="14">
        <v>41596.36</v>
      </c>
      <c r="E25" s="14"/>
      <c r="F25" s="14"/>
      <c r="G25" s="14">
        <v>1399.9</v>
      </c>
      <c r="H25" s="14">
        <v>50.8</v>
      </c>
      <c r="I25" s="14">
        <v>61279.6</v>
      </c>
      <c r="J25" s="14">
        <v>-71905.960000000006</v>
      </c>
      <c r="K25" s="14">
        <v>94.5</v>
      </c>
      <c r="L25" s="14">
        <v>47440.3</v>
      </c>
      <c r="M25" s="3">
        <f t="shared" si="0"/>
        <v>715170.15000000014</v>
      </c>
      <c r="N25" s="14"/>
      <c r="O25" s="14">
        <v>11107.8</v>
      </c>
      <c r="P25" s="14">
        <v>21070.5</v>
      </c>
      <c r="Q25" s="14">
        <v>6914.47</v>
      </c>
      <c r="R25" s="14">
        <v>19804.8</v>
      </c>
      <c r="S25" s="14"/>
      <c r="T25" s="14"/>
      <c r="U25" s="14">
        <v>1850</v>
      </c>
      <c r="V25" s="14"/>
      <c r="W25" s="14"/>
      <c r="X25" s="2">
        <f t="shared" si="1"/>
        <v>775917.7200000002</v>
      </c>
      <c r="Y25" s="14"/>
      <c r="Z25" s="14">
        <v>1150</v>
      </c>
      <c r="AA25" s="14">
        <v>42784.1</v>
      </c>
      <c r="AB25" s="14"/>
      <c r="AC25" s="14">
        <v>13348.5</v>
      </c>
      <c r="AD25" s="14"/>
      <c r="AE25" s="14">
        <v>702.25</v>
      </c>
      <c r="AF25" s="14"/>
      <c r="AG25" s="14"/>
      <c r="AH25" s="14">
        <v>7206.3</v>
      </c>
      <c r="AI25" s="14"/>
      <c r="AJ25" s="14"/>
      <c r="AK25" s="14"/>
      <c r="AL25" s="48">
        <f t="shared" si="2"/>
        <v>65191.15</v>
      </c>
      <c r="AM25" s="22">
        <v>77</v>
      </c>
      <c r="AN25" s="14">
        <v>292</v>
      </c>
      <c r="AO25" s="14">
        <v>-1354.9</v>
      </c>
      <c r="AP25" s="14"/>
      <c r="AQ25" s="14"/>
      <c r="AR25" s="44">
        <v>1</v>
      </c>
      <c r="AU25" s="46"/>
      <c r="AV25" s="46"/>
    </row>
    <row r="26" spans="1:48" x14ac:dyDescent="0.25">
      <c r="A26" s="12">
        <v>5425</v>
      </c>
      <c r="B26" s="13" t="s">
        <v>82</v>
      </c>
      <c r="C26" s="14">
        <v>2061498.77</v>
      </c>
      <c r="D26" s="14">
        <v>235465.73</v>
      </c>
      <c r="E26" s="14"/>
      <c r="F26" s="14"/>
      <c r="G26" s="14">
        <v>182194.05</v>
      </c>
      <c r="H26" s="14">
        <v>1063.45</v>
      </c>
      <c r="I26" s="14"/>
      <c r="J26" s="14">
        <v>122230.69</v>
      </c>
      <c r="K26" s="14">
        <v>13657.5</v>
      </c>
      <c r="L26" s="14">
        <v>92000.7</v>
      </c>
      <c r="M26" s="3">
        <f t="shared" si="0"/>
        <v>2708110.89</v>
      </c>
      <c r="N26" s="14">
        <v>37180.1</v>
      </c>
      <c r="O26" s="14">
        <v>18861.900000000001</v>
      </c>
      <c r="P26" s="14">
        <v>94742.35</v>
      </c>
      <c r="Q26" s="14">
        <v>37100.15</v>
      </c>
      <c r="R26" s="14">
        <v>93207.2</v>
      </c>
      <c r="S26" s="14">
        <v>620</v>
      </c>
      <c r="T26" s="14">
        <v>1375</v>
      </c>
      <c r="U26" s="14">
        <v>11950</v>
      </c>
      <c r="V26" s="14">
        <v>8621.5499999999993</v>
      </c>
      <c r="W26" s="14"/>
      <c r="X26" s="2">
        <f t="shared" si="1"/>
        <v>3011769.14</v>
      </c>
      <c r="Y26" s="14">
        <v>8184.5</v>
      </c>
      <c r="Z26" s="14"/>
      <c r="AA26" s="14">
        <v>192210.5</v>
      </c>
      <c r="AB26" s="14"/>
      <c r="AC26" s="14"/>
      <c r="AD26" s="14">
        <v>3448</v>
      </c>
      <c r="AE26" s="14"/>
      <c r="AF26" s="14"/>
      <c r="AG26" s="14"/>
      <c r="AH26" s="14">
        <v>58219.55</v>
      </c>
      <c r="AI26" s="14"/>
      <c r="AJ26" s="14"/>
      <c r="AK26" s="14"/>
      <c r="AL26" s="48">
        <f t="shared" si="2"/>
        <v>262062.55</v>
      </c>
      <c r="AM26" s="22">
        <v>68</v>
      </c>
      <c r="AN26" s="14">
        <v>1550</v>
      </c>
      <c r="AO26" s="14">
        <v>-63642.13</v>
      </c>
      <c r="AP26" s="14"/>
      <c r="AQ26" s="14">
        <v>-26.14</v>
      </c>
      <c r="AR26" s="44">
        <v>0.5</v>
      </c>
      <c r="AU26" s="46"/>
      <c r="AV26" s="46"/>
    </row>
    <row r="27" spans="1:48" x14ac:dyDescent="0.25">
      <c r="A27" s="12">
        <v>5426</v>
      </c>
      <c r="B27" s="13" t="s">
        <v>76</v>
      </c>
      <c r="C27" s="14">
        <v>1531079.27</v>
      </c>
      <c r="D27" s="14">
        <v>536321.68999999994</v>
      </c>
      <c r="E27" s="14"/>
      <c r="F27" s="14"/>
      <c r="G27" s="14">
        <v>59672.5</v>
      </c>
      <c r="H27" s="14">
        <v>1402.8</v>
      </c>
      <c r="I27" s="14">
        <v>407014.2</v>
      </c>
      <c r="J27" s="14">
        <v>-145747.32999999999</v>
      </c>
      <c r="K27" s="14">
        <v>4426</v>
      </c>
      <c r="L27" s="14">
        <v>224280.15</v>
      </c>
      <c r="M27" s="3">
        <f t="shared" si="0"/>
        <v>2618449.2799999998</v>
      </c>
      <c r="N27" s="14">
        <v>15206.55</v>
      </c>
      <c r="O27" s="14">
        <v>24603.5</v>
      </c>
      <c r="P27" s="14">
        <v>140360</v>
      </c>
      <c r="Q27" s="14">
        <v>624.28</v>
      </c>
      <c r="R27" s="14">
        <v>73711.75</v>
      </c>
      <c r="S27" s="14">
        <v>62.5</v>
      </c>
      <c r="T27" s="14">
        <v>787.5</v>
      </c>
      <c r="U27" s="14">
        <v>3160</v>
      </c>
      <c r="V27" s="14"/>
      <c r="W27" s="14"/>
      <c r="X27" s="2">
        <f t="shared" si="1"/>
        <v>2876965.3599999994</v>
      </c>
      <c r="Y27" s="14">
        <v>2131</v>
      </c>
      <c r="Z27" s="14"/>
      <c r="AA27" s="14">
        <v>167473</v>
      </c>
      <c r="AB27" s="14"/>
      <c r="AC27" s="14">
        <v>38898.5</v>
      </c>
      <c r="AD27" s="14"/>
      <c r="AE27" s="14"/>
      <c r="AF27" s="14"/>
      <c r="AG27" s="14"/>
      <c r="AH27" s="14"/>
      <c r="AI27" s="14"/>
      <c r="AJ27" s="14"/>
      <c r="AK27" s="14"/>
      <c r="AL27" s="48">
        <f t="shared" si="2"/>
        <v>208502.5</v>
      </c>
      <c r="AM27" s="22">
        <v>62</v>
      </c>
      <c r="AN27" s="14">
        <v>481</v>
      </c>
      <c r="AO27" s="14">
        <v>-7181.72</v>
      </c>
      <c r="AP27" s="14"/>
      <c r="AQ27" s="14">
        <v>-857.8</v>
      </c>
      <c r="AR27" s="44">
        <v>1</v>
      </c>
      <c r="AU27" s="46"/>
      <c r="AV27" s="46"/>
    </row>
    <row r="28" spans="1:48" x14ac:dyDescent="0.25">
      <c r="A28" s="12">
        <v>5427</v>
      </c>
      <c r="B28" s="13" t="s">
        <v>376</v>
      </c>
      <c r="C28" s="14">
        <v>2383395.7999999998</v>
      </c>
      <c r="D28" s="14">
        <v>555052.1</v>
      </c>
      <c r="E28" s="14"/>
      <c r="F28" s="14"/>
      <c r="G28" s="14">
        <v>-49684.65</v>
      </c>
      <c r="H28" s="14">
        <v>4605.6499999999996</v>
      </c>
      <c r="I28" s="14">
        <v>751196.2</v>
      </c>
      <c r="J28" s="14">
        <v>170171.57</v>
      </c>
      <c r="K28" s="14">
        <v>2502.5</v>
      </c>
      <c r="L28" s="14">
        <v>413220.35</v>
      </c>
      <c r="M28" s="3">
        <f t="shared" si="0"/>
        <v>4230459.5199999996</v>
      </c>
      <c r="N28" s="14">
        <v>8714.9</v>
      </c>
      <c r="O28" s="14">
        <v>2626.8</v>
      </c>
      <c r="P28" s="14">
        <v>138943.35</v>
      </c>
      <c r="Q28" s="14"/>
      <c r="R28" s="14">
        <v>98087.45</v>
      </c>
      <c r="S28" s="14"/>
      <c r="T28" s="14">
        <v>534</v>
      </c>
      <c r="U28" s="14">
        <v>4470</v>
      </c>
      <c r="V28" s="14"/>
      <c r="W28" s="14"/>
      <c r="X28" s="2">
        <f t="shared" si="1"/>
        <v>4483836.0199999996</v>
      </c>
      <c r="Y28" s="14">
        <v>20433.05</v>
      </c>
      <c r="Z28" s="14"/>
      <c r="AA28" s="14">
        <v>281608.65000000002</v>
      </c>
      <c r="AB28" s="14"/>
      <c r="AC28" s="14">
        <v>95061.4</v>
      </c>
      <c r="AD28" s="14"/>
      <c r="AE28" s="14"/>
      <c r="AF28" s="14"/>
      <c r="AG28" s="14"/>
      <c r="AH28" s="14"/>
      <c r="AI28" s="14"/>
      <c r="AJ28" s="14"/>
      <c r="AK28" s="14"/>
      <c r="AL28" s="48">
        <f t="shared" si="2"/>
        <v>397103.1</v>
      </c>
      <c r="AM28" s="22">
        <v>64</v>
      </c>
      <c r="AN28" s="14">
        <v>860</v>
      </c>
      <c r="AO28" s="14">
        <v>-16247.93</v>
      </c>
      <c r="AP28" s="14"/>
      <c r="AQ28" s="14"/>
      <c r="AR28" s="44">
        <v>1.3</v>
      </c>
      <c r="AU28" s="46"/>
      <c r="AV28" s="46"/>
    </row>
    <row r="29" spans="1:48" x14ac:dyDescent="0.25">
      <c r="A29" s="12">
        <v>5428</v>
      </c>
      <c r="B29" s="13" t="s">
        <v>377</v>
      </c>
      <c r="C29" s="14">
        <v>3053024.6</v>
      </c>
      <c r="D29" s="14">
        <v>363774.12</v>
      </c>
      <c r="E29" s="14"/>
      <c r="F29" s="14"/>
      <c r="G29" s="14">
        <v>195404.45</v>
      </c>
      <c r="H29" s="14">
        <v>346.15</v>
      </c>
      <c r="I29" s="14">
        <v>79183.55</v>
      </c>
      <c r="J29" s="14">
        <v>151769.79</v>
      </c>
      <c r="K29" s="14">
        <v>10539.5</v>
      </c>
      <c r="L29" s="14">
        <v>362287.3</v>
      </c>
      <c r="M29" s="3">
        <f t="shared" si="0"/>
        <v>4216329.46</v>
      </c>
      <c r="N29" s="14">
        <v>225987.15</v>
      </c>
      <c r="O29" s="14">
        <v>216014.6</v>
      </c>
      <c r="P29" s="14">
        <v>141392.1</v>
      </c>
      <c r="Q29" s="14">
        <v>19173</v>
      </c>
      <c r="R29" s="14">
        <v>47357.4</v>
      </c>
      <c r="S29" s="14">
        <v>575</v>
      </c>
      <c r="T29" s="14">
        <v>1750</v>
      </c>
      <c r="U29" s="14">
        <v>9200</v>
      </c>
      <c r="V29" s="14"/>
      <c r="W29" s="14"/>
      <c r="X29" s="2">
        <f t="shared" si="1"/>
        <v>4877778.71</v>
      </c>
      <c r="Y29" s="14">
        <v>10484.6</v>
      </c>
      <c r="Z29" s="14"/>
      <c r="AA29" s="14"/>
      <c r="AB29" s="14">
        <v>239234.66</v>
      </c>
      <c r="AC29" s="14">
        <v>184999.57</v>
      </c>
      <c r="AD29" s="14">
        <v>10484.6</v>
      </c>
      <c r="AE29" s="14"/>
      <c r="AF29" s="14"/>
      <c r="AG29" s="14"/>
      <c r="AH29" s="14"/>
      <c r="AI29" s="14">
        <v>44444.75</v>
      </c>
      <c r="AJ29" s="14"/>
      <c r="AK29" s="14"/>
      <c r="AL29" s="48">
        <f t="shared" si="2"/>
        <v>489648.18</v>
      </c>
      <c r="AM29" s="22">
        <v>71.5</v>
      </c>
      <c r="AN29" s="14">
        <v>1907</v>
      </c>
      <c r="AO29" s="14">
        <v>-60457.94</v>
      </c>
      <c r="AP29" s="14"/>
      <c r="AQ29" s="14">
        <v>-120.46</v>
      </c>
      <c r="AR29" s="44">
        <v>1.2</v>
      </c>
      <c r="AU29" s="46"/>
      <c r="AV29" s="46"/>
    </row>
    <row r="30" spans="1:48" x14ac:dyDescent="0.25">
      <c r="A30" s="12">
        <v>5429</v>
      </c>
      <c r="B30" s="13" t="s">
        <v>397</v>
      </c>
      <c r="C30" s="14">
        <v>951975.14</v>
      </c>
      <c r="D30" s="14">
        <v>96182.56</v>
      </c>
      <c r="E30" s="14"/>
      <c r="F30" s="14"/>
      <c r="G30" s="14">
        <v>15828.75</v>
      </c>
      <c r="H30" s="14">
        <v>3197.9</v>
      </c>
      <c r="I30" s="14"/>
      <c r="J30" s="14">
        <v>6865.05</v>
      </c>
      <c r="K30" s="14">
        <v>890</v>
      </c>
      <c r="L30" s="14">
        <v>83354.5</v>
      </c>
      <c r="M30" s="3">
        <f t="shared" si="0"/>
        <v>1158293.8999999999</v>
      </c>
      <c r="N30" s="14"/>
      <c r="O30" s="14"/>
      <c r="P30" s="14">
        <v>50913.65</v>
      </c>
      <c r="Q30" s="14">
        <v>26837.25</v>
      </c>
      <c r="R30" s="14">
        <v>18123.900000000001</v>
      </c>
      <c r="S30" s="14"/>
      <c r="T30" s="14"/>
      <c r="U30" s="14">
        <v>3960</v>
      </c>
      <c r="V30" s="14"/>
      <c r="W30" s="14"/>
      <c r="X30" s="2">
        <f t="shared" si="1"/>
        <v>1258128.6999999997</v>
      </c>
      <c r="Y30" s="14">
        <v>10743</v>
      </c>
      <c r="Z30" s="14"/>
      <c r="AA30" s="14">
        <v>32323.200000000001</v>
      </c>
      <c r="AB30" s="14"/>
      <c r="AC30" s="14">
        <v>57130.5</v>
      </c>
      <c r="AD30" s="14">
        <v>11668</v>
      </c>
      <c r="AE30" s="14"/>
      <c r="AF30" s="14"/>
      <c r="AG30" s="14">
        <v>3612.95</v>
      </c>
      <c r="AH30" s="14"/>
      <c r="AI30" s="14"/>
      <c r="AJ30" s="14"/>
      <c r="AK30" s="14"/>
      <c r="AL30" s="48">
        <f t="shared" si="2"/>
        <v>115477.65</v>
      </c>
      <c r="AM30" s="22">
        <v>81</v>
      </c>
      <c r="AN30" s="14">
        <v>463</v>
      </c>
      <c r="AO30" s="14">
        <v>-79874.59</v>
      </c>
      <c r="AP30" s="14"/>
      <c r="AQ30" s="14"/>
      <c r="AR30" s="44">
        <v>1</v>
      </c>
      <c r="AU30" s="46"/>
      <c r="AV30" s="46"/>
    </row>
    <row r="31" spans="1:48" x14ac:dyDescent="0.25">
      <c r="A31" s="12">
        <v>5430</v>
      </c>
      <c r="B31" s="13" t="s">
        <v>398</v>
      </c>
      <c r="C31" s="14">
        <v>854684.01</v>
      </c>
      <c r="D31" s="14">
        <v>111976.84</v>
      </c>
      <c r="E31" s="14"/>
      <c r="F31" s="14"/>
      <c r="G31" s="14">
        <v>995.1</v>
      </c>
      <c r="H31" s="14">
        <v>468.3</v>
      </c>
      <c r="I31" s="14"/>
      <c r="J31" s="14">
        <v>10124.34</v>
      </c>
      <c r="K31" s="14">
        <v>230</v>
      </c>
      <c r="L31" s="14">
        <v>75965.95</v>
      </c>
      <c r="M31" s="3">
        <f t="shared" si="0"/>
        <v>1054444.54</v>
      </c>
      <c r="N31" s="14">
        <v>14332.65</v>
      </c>
      <c r="O31" s="14"/>
      <c r="P31" s="14">
        <v>106511.6</v>
      </c>
      <c r="Q31" s="14">
        <v>3227.36</v>
      </c>
      <c r="R31" s="14">
        <v>80837.600000000006</v>
      </c>
      <c r="S31" s="14"/>
      <c r="T31" s="14"/>
      <c r="U31" s="14">
        <v>2560</v>
      </c>
      <c r="V31" s="14"/>
      <c r="W31" s="14"/>
      <c r="X31" s="2">
        <f t="shared" si="1"/>
        <v>1261913.7500000002</v>
      </c>
      <c r="Y31" s="14">
        <v>42085.1</v>
      </c>
      <c r="Z31" s="14"/>
      <c r="AA31" s="14">
        <v>36466.1</v>
      </c>
      <c r="AB31" s="14"/>
      <c r="AC31" s="14">
        <v>44667.85</v>
      </c>
      <c r="AD31" s="14">
        <v>42725.1</v>
      </c>
      <c r="AE31" s="14"/>
      <c r="AF31" s="14"/>
      <c r="AG31" s="14">
        <v>311.10000000000002</v>
      </c>
      <c r="AH31" s="14"/>
      <c r="AI31" s="14"/>
      <c r="AJ31" s="14"/>
      <c r="AK31" s="14"/>
      <c r="AL31" s="48">
        <f t="shared" si="2"/>
        <v>166255.25</v>
      </c>
      <c r="AM31" s="22">
        <v>81</v>
      </c>
      <c r="AN31" s="14">
        <v>448</v>
      </c>
      <c r="AO31" s="14">
        <v>-12611.96</v>
      </c>
      <c r="AP31" s="14"/>
      <c r="AQ31" s="14">
        <v>-23.33</v>
      </c>
      <c r="AR31" s="44">
        <v>1</v>
      </c>
      <c r="AU31" s="46"/>
      <c r="AV31" s="46"/>
    </row>
    <row r="32" spans="1:48" x14ac:dyDescent="0.25">
      <c r="A32" s="12">
        <v>5431</v>
      </c>
      <c r="B32" s="13" t="s">
        <v>399</v>
      </c>
      <c r="C32" s="14">
        <v>539794.28</v>
      </c>
      <c r="D32" s="14">
        <v>69868.539999999994</v>
      </c>
      <c r="E32" s="14"/>
      <c r="F32" s="14"/>
      <c r="G32" s="14">
        <v>470.5</v>
      </c>
      <c r="H32" s="14">
        <v>214.3</v>
      </c>
      <c r="I32" s="14"/>
      <c r="J32" s="14">
        <v>15097.47</v>
      </c>
      <c r="K32" s="14">
        <v>300.5</v>
      </c>
      <c r="L32" s="14">
        <v>46310.1</v>
      </c>
      <c r="M32" s="3">
        <f t="shared" si="0"/>
        <v>672055.69000000006</v>
      </c>
      <c r="N32" s="14"/>
      <c r="O32" s="14"/>
      <c r="P32" s="14">
        <v>14181.8</v>
      </c>
      <c r="Q32" s="14">
        <v>704.65</v>
      </c>
      <c r="R32" s="14">
        <v>23229.8</v>
      </c>
      <c r="S32" s="14"/>
      <c r="T32" s="14"/>
      <c r="U32" s="14">
        <v>1850</v>
      </c>
      <c r="V32" s="14"/>
      <c r="W32" s="14"/>
      <c r="X32" s="2">
        <f t="shared" si="1"/>
        <v>712021.94000000018</v>
      </c>
      <c r="Y32" s="14">
        <v>1372.7</v>
      </c>
      <c r="Z32" s="14"/>
      <c r="AA32" s="14">
        <v>92350</v>
      </c>
      <c r="AB32" s="14"/>
      <c r="AC32" s="14">
        <v>14950.1</v>
      </c>
      <c r="AD32" s="14">
        <v>1372.7</v>
      </c>
      <c r="AE32" s="14"/>
      <c r="AF32" s="14"/>
      <c r="AG32" s="14"/>
      <c r="AH32" s="14"/>
      <c r="AI32" s="14"/>
      <c r="AJ32" s="14"/>
      <c r="AK32" s="14"/>
      <c r="AL32" s="48">
        <f t="shared" si="2"/>
        <v>110045.5</v>
      </c>
      <c r="AM32" s="22">
        <v>74</v>
      </c>
      <c r="AN32" s="14">
        <v>294</v>
      </c>
      <c r="AO32" s="14">
        <v>-8783.07</v>
      </c>
      <c r="AP32" s="14"/>
      <c r="AQ32" s="14">
        <v>-543.92999999999995</v>
      </c>
      <c r="AR32" s="44">
        <v>1</v>
      </c>
      <c r="AU32" s="46"/>
      <c r="AV32" s="46"/>
    </row>
    <row r="33" spans="1:48" x14ac:dyDescent="0.25">
      <c r="A33" s="12">
        <v>5432</v>
      </c>
      <c r="B33" s="13" t="s">
        <v>400</v>
      </c>
      <c r="C33" s="14">
        <v>1102825.51</v>
      </c>
      <c r="D33" s="14">
        <v>120835.7</v>
      </c>
      <c r="E33" s="14"/>
      <c r="F33" s="14"/>
      <c r="G33" s="14">
        <v>53585.7</v>
      </c>
      <c r="H33" s="14">
        <v>551.54999999999995</v>
      </c>
      <c r="I33" s="14"/>
      <c r="J33" s="14">
        <v>48763.72</v>
      </c>
      <c r="K33" s="14">
        <v>2767</v>
      </c>
      <c r="L33" s="14">
        <v>85740.4</v>
      </c>
      <c r="M33" s="3">
        <f t="shared" si="0"/>
        <v>1415069.5799999998</v>
      </c>
      <c r="N33" s="14">
        <v>14943.5</v>
      </c>
      <c r="O33" s="14">
        <v>8542.9</v>
      </c>
      <c r="P33" s="14">
        <v>95590</v>
      </c>
      <c r="Q33" s="14"/>
      <c r="R33" s="14">
        <v>58006.85</v>
      </c>
      <c r="S33" s="14">
        <v>125</v>
      </c>
      <c r="T33" s="14">
        <v>280</v>
      </c>
      <c r="U33" s="14">
        <v>3920</v>
      </c>
      <c r="V33" s="14"/>
      <c r="W33" s="14"/>
      <c r="X33" s="2">
        <f t="shared" si="1"/>
        <v>1596477.8299999998</v>
      </c>
      <c r="Y33" s="14">
        <v>10526.5</v>
      </c>
      <c r="Z33" s="14"/>
      <c r="AA33" s="14">
        <v>37517.4</v>
      </c>
      <c r="AB33" s="14"/>
      <c r="AC33" s="14">
        <v>49300</v>
      </c>
      <c r="AD33" s="14">
        <v>10526.5</v>
      </c>
      <c r="AE33" s="14"/>
      <c r="AF33" s="14"/>
      <c r="AG33" s="14"/>
      <c r="AH33" s="14">
        <v>11236.45</v>
      </c>
      <c r="AI33" s="14"/>
      <c r="AJ33" s="14"/>
      <c r="AK33" s="14"/>
      <c r="AL33" s="48">
        <f t="shared" si="2"/>
        <v>119106.84999999999</v>
      </c>
      <c r="AM33" s="22">
        <v>74</v>
      </c>
      <c r="AN33" s="14">
        <v>518</v>
      </c>
      <c r="AO33" s="14">
        <v>-13300.32</v>
      </c>
      <c r="AP33" s="14"/>
      <c r="AQ33" s="14">
        <v>-307.38</v>
      </c>
      <c r="AR33" s="44">
        <v>1</v>
      </c>
      <c r="AU33" s="46"/>
      <c r="AV33" s="46"/>
    </row>
    <row r="34" spans="1:48" x14ac:dyDescent="0.25">
      <c r="A34" s="12">
        <v>5434</v>
      </c>
      <c r="B34" s="13" t="s">
        <v>401</v>
      </c>
      <c r="C34" s="14">
        <v>2004420.29</v>
      </c>
      <c r="D34" s="14"/>
      <c r="E34" s="14"/>
      <c r="F34" s="14"/>
      <c r="G34" s="14">
        <v>49240.3</v>
      </c>
      <c r="H34" s="14"/>
      <c r="I34" s="14"/>
      <c r="J34" s="14">
        <v>22132.35</v>
      </c>
      <c r="K34" s="14"/>
      <c r="L34" s="14">
        <v>194978</v>
      </c>
      <c r="M34" s="3">
        <f t="shared" si="0"/>
        <v>2270770.9400000004</v>
      </c>
      <c r="N34" s="14">
        <v>34403.599999999999</v>
      </c>
      <c r="O34" s="14">
        <v>5334.9</v>
      </c>
      <c r="P34" s="14">
        <v>108520.5</v>
      </c>
      <c r="Q34" s="14">
        <v>236.35</v>
      </c>
      <c r="R34" s="14">
        <v>136818.79999999999</v>
      </c>
      <c r="S34" s="14">
        <v>543.5</v>
      </c>
      <c r="T34" s="14"/>
      <c r="U34" s="14">
        <v>7640</v>
      </c>
      <c r="V34" s="14"/>
      <c r="W34" s="14"/>
      <c r="X34" s="2">
        <f t="shared" si="1"/>
        <v>2564268.5900000003</v>
      </c>
      <c r="Y34" s="14">
        <v>11979</v>
      </c>
      <c r="Z34" s="14"/>
      <c r="AA34" s="14">
        <v>94852.55</v>
      </c>
      <c r="AB34" s="14"/>
      <c r="AC34" s="14">
        <v>76351.05</v>
      </c>
      <c r="AD34" s="14">
        <v>46575</v>
      </c>
      <c r="AE34" s="14"/>
      <c r="AF34" s="14"/>
      <c r="AG34" s="14">
        <v>10672.1</v>
      </c>
      <c r="AH34" s="14"/>
      <c r="AI34" s="14"/>
      <c r="AJ34" s="14"/>
      <c r="AK34" s="14"/>
      <c r="AL34" s="48">
        <f t="shared" si="2"/>
        <v>240429.7</v>
      </c>
      <c r="AM34" s="22">
        <v>68.5</v>
      </c>
      <c r="AN34" s="14">
        <v>949</v>
      </c>
      <c r="AO34" s="14">
        <v>-9426.9</v>
      </c>
      <c r="AP34" s="14"/>
      <c r="AQ34" s="14"/>
      <c r="AR34" s="44">
        <v>1</v>
      </c>
      <c r="AU34" s="46"/>
      <c r="AV34" s="46"/>
    </row>
    <row r="35" spans="1:48" x14ac:dyDescent="0.25">
      <c r="A35" s="12">
        <v>5435</v>
      </c>
      <c r="B35" s="13" t="s">
        <v>378</v>
      </c>
      <c r="C35" s="14">
        <v>1320740.6499999999</v>
      </c>
      <c r="D35" s="14">
        <v>126717.03</v>
      </c>
      <c r="E35" s="14"/>
      <c r="F35" s="14"/>
      <c r="G35" s="14">
        <v>10120.15</v>
      </c>
      <c r="H35" s="14">
        <v>86.45</v>
      </c>
      <c r="I35" s="14">
        <v>83.290000000000902</v>
      </c>
      <c r="J35" s="14">
        <v>121701</v>
      </c>
      <c r="K35" s="14"/>
      <c r="L35" s="14">
        <v>111066.2</v>
      </c>
      <c r="M35" s="3">
        <f t="shared" si="0"/>
        <v>1690514.7699999998</v>
      </c>
      <c r="N35" s="14"/>
      <c r="O35" s="14">
        <v>31798.400000000001</v>
      </c>
      <c r="P35" s="14">
        <v>3231.7</v>
      </c>
      <c r="Q35" s="14">
        <v>-367.99</v>
      </c>
      <c r="R35" s="14">
        <v>-5296.05</v>
      </c>
      <c r="S35" s="14"/>
      <c r="T35" s="14">
        <v>300</v>
      </c>
      <c r="U35" s="14">
        <v>5020</v>
      </c>
      <c r="V35" s="14"/>
      <c r="W35" s="14"/>
      <c r="X35" s="2">
        <f t="shared" si="1"/>
        <v>1725200.8299999996</v>
      </c>
      <c r="Y35" s="14">
        <v>4953.1000000000004</v>
      </c>
      <c r="Z35" s="14"/>
      <c r="AA35" s="14">
        <v>89916.49</v>
      </c>
      <c r="AB35" s="14"/>
      <c r="AC35" s="14">
        <v>59650</v>
      </c>
      <c r="AD35" s="14">
        <v>22388.15</v>
      </c>
      <c r="AE35" s="14"/>
      <c r="AF35" s="14"/>
      <c r="AG35" s="14"/>
      <c r="AH35" s="14">
        <v>12320.5</v>
      </c>
      <c r="AI35" s="14"/>
      <c r="AJ35" s="14"/>
      <c r="AK35" s="14"/>
      <c r="AL35" s="48">
        <f t="shared" si="2"/>
        <v>189228.24000000002</v>
      </c>
      <c r="AM35" s="22">
        <v>69</v>
      </c>
      <c r="AN35" s="14">
        <v>713</v>
      </c>
      <c r="AO35" s="14">
        <v>-11012.75</v>
      </c>
      <c r="AP35" s="14"/>
      <c r="AQ35" s="14">
        <v>-1.4</v>
      </c>
      <c r="AR35" s="44">
        <v>1</v>
      </c>
      <c r="AU35" s="46"/>
      <c r="AV35" s="46"/>
    </row>
    <row r="36" spans="1:48" x14ac:dyDescent="0.25">
      <c r="A36" s="12">
        <v>5436</v>
      </c>
      <c r="B36" s="13" t="s">
        <v>379</v>
      </c>
      <c r="C36" s="14">
        <v>695265.63</v>
      </c>
      <c r="D36" s="14">
        <v>63437.84</v>
      </c>
      <c r="E36" s="14"/>
      <c r="F36" s="14"/>
      <c r="G36" s="14">
        <v>2182.8000000000002</v>
      </c>
      <c r="H36" s="14">
        <v>10</v>
      </c>
      <c r="I36" s="14"/>
      <c r="J36" s="14">
        <v>-14221.02</v>
      </c>
      <c r="K36" s="14"/>
      <c r="L36" s="14">
        <v>47143.7</v>
      </c>
      <c r="M36" s="3">
        <f t="shared" si="0"/>
        <v>793818.95</v>
      </c>
      <c r="N36" s="14"/>
      <c r="O36" s="14"/>
      <c r="P36" s="14">
        <v>19276.400000000001</v>
      </c>
      <c r="Q36" s="14">
        <v>1800</v>
      </c>
      <c r="R36" s="14">
        <v>57871.55</v>
      </c>
      <c r="S36" s="14"/>
      <c r="T36" s="14"/>
      <c r="U36" s="14">
        <v>2812.5</v>
      </c>
      <c r="V36" s="14"/>
      <c r="W36" s="14"/>
      <c r="X36" s="2">
        <f t="shared" si="1"/>
        <v>875579.4</v>
      </c>
      <c r="Y36" s="14">
        <v>25199</v>
      </c>
      <c r="Z36" s="14"/>
      <c r="AA36" s="14">
        <v>53223</v>
      </c>
      <c r="AB36" s="14"/>
      <c r="AC36" s="14">
        <v>27289</v>
      </c>
      <c r="AD36" s="14">
        <v>25199</v>
      </c>
      <c r="AE36" s="14"/>
      <c r="AF36" s="14"/>
      <c r="AG36" s="14"/>
      <c r="AH36" s="14">
        <v>7749</v>
      </c>
      <c r="AI36" s="14"/>
      <c r="AJ36" s="14"/>
      <c r="AK36" s="14"/>
      <c r="AL36" s="48">
        <f t="shared" si="2"/>
        <v>138659</v>
      </c>
      <c r="AM36" s="22">
        <v>81</v>
      </c>
      <c r="AN36" s="14">
        <v>345</v>
      </c>
      <c r="AO36" s="14">
        <v>-2437.77</v>
      </c>
      <c r="AP36" s="14"/>
      <c r="AQ36" s="14">
        <v>-7.91</v>
      </c>
      <c r="AR36" s="44">
        <v>0.8</v>
      </c>
      <c r="AU36" s="46"/>
      <c r="AV36" s="46"/>
    </row>
    <row r="37" spans="1:48" x14ac:dyDescent="0.25">
      <c r="A37" s="12">
        <v>5437</v>
      </c>
      <c r="B37" s="13" t="s">
        <v>380</v>
      </c>
      <c r="C37" s="14">
        <v>614642.18999999994</v>
      </c>
      <c r="D37" s="14">
        <v>60352.7</v>
      </c>
      <c r="E37" s="14"/>
      <c r="F37" s="14">
        <v>2111.1</v>
      </c>
      <c r="G37" s="14">
        <v>8407.7000000000007</v>
      </c>
      <c r="H37" s="14">
        <v>115.75</v>
      </c>
      <c r="I37" s="14"/>
      <c r="J37" s="14">
        <v>22541.86</v>
      </c>
      <c r="K37" s="14">
        <v>770</v>
      </c>
      <c r="L37" s="14">
        <v>53736.75</v>
      </c>
      <c r="M37" s="3">
        <f t="shared" si="0"/>
        <v>762678.04999999981</v>
      </c>
      <c r="N37" s="14"/>
      <c r="O37" s="14">
        <v>189220.8</v>
      </c>
      <c r="P37" s="14">
        <v>38555</v>
      </c>
      <c r="Q37" s="14"/>
      <c r="R37" s="14">
        <v>20638.349999999999</v>
      </c>
      <c r="S37" s="14"/>
      <c r="T37" s="14"/>
      <c r="U37" s="14">
        <v>1050</v>
      </c>
      <c r="V37" s="14"/>
      <c r="W37" s="14"/>
      <c r="X37" s="2">
        <f t="shared" si="1"/>
        <v>1012142.1999999998</v>
      </c>
      <c r="Y37" s="14"/>
      <c r="Z37" s="14"/>
      <c r="AA37" s="14"/>
      <c r="AB37" s="14"/>
      <c r="AC37" s="14">
        <v>39370</v>
      </c>
      <c r="AD37" s="14"/>
      <c r="AE37" s="14"/>
      <c r="AF37" s="14"/>
      <c r="AG37" s="14"/>
      <c r="AH37" s="14"/>
      <c r="AI37" s="14"/>
      <c r="AJ37" s="14"/>
      <c r="AK37" s="14"/>
      <c r="AL37" s="48">
        <f t="shared" si="2"/>
        <v>39370</v>
      </c>
      <c r="AM37" s="22">
        <v>83</v>
      </c>
      <c r="AN37" s="14">
        <v>391</v>
      </c>
      <c r="AO37" s="14">
        <v>-3649.53</v>
      </c>
      <c r="AP37" s="14"/>
      <c r="AQ37" s="14">
        <v>-22.06</v>
      </c>
      <c r="AR37" s="44">
        <v>1</v>
      </c>
      <c r="AU37" s="46"/>
      <c r="AV37" s="46"/>
    </row>
    <row r="38" spans="1:48" x14ac:dyDescent="0.25">
      <c r="A38" s="12">
        <v>5451</v>
      </c>
      <c r="B38" s="13" t="s">
        <v>381</v>
      </c>
      <c r="C38" s="14">
        <v>4622062.9800000004</v>
      </c>
      <c r="D38" s="14">
        <v>536982.05000000005</v>
      </c>
      <c r="E38" s="14"/>
      <c r="F38" s="14"/>
      <c r="G38" s="14">
        <v>652399.15</v>
      </c>
      <c r="H38" s="14">
        <v>42047.35</v>
      </c>
      <c r="I38" s="14"/>
      <c r="J38" s="14">
        <v>499497.65</v>
      </c>
      <c r="K38" s="14">
        <v>97613</v>
      </c>
      <c r="L38" s="14">
        <v>954514.7</v>
      </c>
      <c r="M38" s="3">
        <f t="shared" si="0"/>
        <v>7405116.8800000008</v>
      </c>
      <c r="N38" s="14">
        <v>596347.94999999995</v>
      </c>
      <c r="O38" s="14"/>
      <c r="P38" s="14">
        <v>273872.09999999998</v>
      </c>
      <c r="Q38" s="14">
        <v>54239.06</v>
      </c>
      <c r="R38" s="14">
        <v>251937.55</v>
      </c>
      <c r="S38" s="14">
        <v>2193.75</v>
      </c>
      <c r="T38" s="14">
        <v>32819.9</v>
      </c>
      <c r="U38" s="14">
        <v>20350</v>
      </c>
      <c r="V38" s="14"/>
      <c r="W38" s="14"/>
      <c r="X38" s="2">
        <f t="shared" si="1"/>
        <v>8636877.1900000013</v>
      </c>
      <c r="Y38" s="14">
        <v>40374.35</v>
      </c>
      <c r="Z38" s="14">
        <v>5863.2</v>
      </c>
      <c r="AA38" s="14">
        <v>816299.1</v>
      </c>
      <c r="AB38" s="14"/>
      <c r="AC38" s="14">
        <v>457584.86</v>
      </c>
      <c r="AD38" s="14">
        <v>12316.15</v>
      </c>
      <c r="AE38" s="14">
        <v>6027.4</v>
      </c>
      <c r="AF38" s="14"/>
      <c r="AG38" s="14">
        <v>243754.5</v>
      </c>
      <c r="AH38" s="14"/>
      <c r="AI38" s="14"/>
      <c r="AJ38" s="14"/>
      <c r="AK38" s="14"/>
      <c r="AL38" s="48">
        <f t="shared" si="2"/>
        <v>1582219.5599999998</v>
      </c>
      <c r="AM38" s="22">
        <v>68</v>
      </c>
      <c r="AN38" s="14">
        <v>4090</v>
      </c>
      <c r="AO38" s="14">
        <v>-202947.82</v>
      </c>
      <c r="AP38" s="14"/>
      <c r="AQ38" s="14">
        <v>-277.02999999999997</v>
      </c>
      <c r="AR38" s="44">
        <v>1.5</v>
      </c>
      <c r="AU38" s="46"/>
      <c r="AV38" s="46"/>
    </row>
    <row r="39" spans="1:48" x14ac:dyDescent="0.25">
      <c r="A39" s="12">
        <v>5456</v>
      </c>
      <c r="B39" s="13" t="s">
        <v>382</v>
      </c>
      <c r="C39" s="14">
        <v>2050569.54</v>
      </c>
      <c r="D39" s="14">
        <v>247001.68</v>
      </c>
      <c r="E39" s="14"/>
      <c r="F39" s="14"/>
      <c r="G39" s="14">
        <v>60826.85</v>
      </c>
      <c r="H39" s="14">
        <v>829.4</v>
      </c>
      <c r="I39" s="14"/>
      <c r="J39" s="14">
        <v>63787.95</v>
      </c>
      <c r="K39" s="14">
        <v>6781</v>
      </c>
      <c r="L39" s="14">
        <v>393788.25</v>
      </c>
      <c r="M39" s="3">
        <f t="shared" si="0"/>
        <v>2823584.6700000004</v>
      </c>
      <c r="N39" s="14"/>
      <c r="O39" s="14">
        <v>555258.30000000005</v>
      </c>
      <c r="P39" s="14">
        <v>174600.4</v>
      </c>
      <c r="Q39" s="14">
        <v>10185.709999999999</v>
      </c>
      <c r="R39" s="14">
        <v>38369.85</v>
      </c>
      <c r="S39" s="14">
        <v>337.5</v>
      </c>
      <c r="T39" s="14"/>
      <c r="U39" s="14">
        <v>1305</v>
      </c>
      <c r="V39" s="14"/>
      <c r="W39" s="14"/>
      <c r="X39" s="2">
        <f t="shared" si="1"/>
        <v>3603641.4300000006</v>
      </c>
      <c r="Y39" s="14">
        <v>28972.2</v>
      </c>
      <c r="Z39" s="14"/>
      <c r="AA39" s="14">
        <v>123996.5</v>
      </c>
      <c r="AB39" s="14"/>
      <c r="AC39" s="14">
        <v>231864.64</v>
      </c>
      <c r="AD39" s="14">
        <v>12724</v>
      </c>
      <c r="AE39" s="14"/>
      <c r="AF39" s="14">
        <v>121876.7</v>
      </c>
      <c r="AG39" s="14"/>
      <c r="AH39" s="14"/>
      <c r="AI39" s="14"/>
      <c r="AJ39" s="14"/>
      <c r="AK39" s="14"/>
      <c r="AL39" s="48">
        <f t="shared" si="2"/>
        <v>519434.04000000004</v>
      </c>
      <c r="AM39" s="22">
        <v>59</v>
      </c>
      <c r="AN39" s="14">
        <v>1516</v>
      </c>
      <c r="AO39" s="14">
        <v>-31417.24</v>
      </c>
      <c r="AP39" s="14"/>
      <c r="AQ39" s="14">
        <v>-20.63</v>
      </c>
      <c r="AR39" s="44">
        <v>1.5</v>
      </c>
      <c r="AU39" s="46"/>
      <c r="AV39" s="46"/>
    </row>
    <row r="40" spans="1:48" x14ac:dyDescent="0.25">
      <c r="A40" s="12">
        <v>5458</v>
      </c>
      <c r="B40" s="13" t="s">
        <v>383</v>
      </c>
      <c r="C40" s="14">
        <v>1317050.06</v>
      </c>
      <c r="D40" s="14">
        <v>224742.5</v>
      </c>
      <c r="E40" s="14"/>
      <c r="F40" s="14"/>
      <c r="G40" s="14">
        <v>761.5</v>
      </c>
      <c r="H40" s="14">
        <v>267.10000000000002</v>
      </c>
      <c r="I40" s="14"/>
      <c r="J40" s="14">
        <v>42623.3</v>
      </c>
      <c r="K40" s="14">
        <v>5851</v>
      </c>
      <c r="L40" s="14">
        <v>159703.4</v>
      </c>
      <c r="M40" s="3">
        <f t="shared" si="0"/>
        <v>1750998.86</v>
      </c>
      <c r="N40" s="14"/>
      <c r="O40" s="14">
        <v>21716.799999999999</v>
      </c>
      <c r="P40" s="14">
        <v>92781.95</v>
      </c>
      <c r="Q40" s="14"/>
      <c r="R40" s="14">
        <v>65912.149999999994</v>
      </c>
      <c r="S40" s="14">
        <v>68.75</v>
      </c>
      <c r="T40" s="14"/>
      <c r="U40" s="14">
        <v>7050</v>
      </c>
      <c r="V40" s="14"/>
      <c r="W40" s="14"/>
      <c r="X40" s="2">
        <f t="shared" si="1"/>
        <v>1938528.51</v>
      </c>
      <c r="Y40" s="14">
        <v>85350.05</v>
      </c>
      <c r="Z40" s="14">
        <v>12994.25</v>
      </c>
      <c r="AA40" s="14">
        <v>144369</v>
      </c>
      <c r="AB40" s="14"/>
      <c r="AC40" s="14">
        <v>73890</v>
      </c>
      <c r="AD40" s="14">
        <v>85350.05</v>
      </c>
      <c r="AE40" s="14">
        <v>12994.25</v>
      </c>
      <c r="AF40" s="14"/>
      <c r="AG40" s="14">
        <v>31931.9</v>
      </c>
      <c r="AH40" s="14">
        <v>24520</v>
      </c>
      <c r="AI40" s="14"/>
      <c r="AJ40" s="14"/>
      <c r="AK40" s="14"/>
      <c r="AL40" s="48">
        <f t="shared" si="2"/>
        <v>471399.5</v>
      </c>
      <c r="AM40" s="22">
        <v>61</v>
      </c>
      <c r="AN40" s="14">
        <v>853</v>
      </c>
      <c r="AO40" s="14">
        <v>-34168.080000000002</v>
      </c>
      <c r="AP40" s="14"/>
      <c r="AQ40" s="14">
        <v>-47.59</v>
      </c>
      <c r="AR40" s="44">
        <v>1</v>
      </c>
      <c r="AU40" s="46"/>
      <c r="AV40" s="46"/>
    </row>
    <row r="41" spans="1:48" x14ac:dyDescent="0.25">
      <c r="A41" s="12">
        <v>5464</v>
      </c>
      <c r="B41" s="13" t="s">
        <v>478</v>
      </c>
      <c r="C41" s="14">
        <v>5021333.95</v>
      </c>
      <c r="D41" s="14">
        <v>739667.3</v>
      </c>
      <c r="E41" s="14"/>
      <c r="F41" s="14"/>
      <c r="G41" s="14">
        <v>79109.850000000006</v>
      </c>
      <c r="H41" s="14">
        <v>2779.55</v>
      </c>
      <c r="I41" s="14"/>
      <c r="J41" s="14">
        <v>123022.92</v>
      </c>
      <c r="K41" s="14">
        <v>14847</v>
      </c>
      <c r="L41" s="14">
        <v>813017.15</v>
      </c>
      <c r="M41" s="3">
        <f t="shared" si="0"/>
        <v>6793777.7199999997</v>
      </c>
      <c r="N41" s="14"/>
      <c r="O41" s="14">
        <v>146359.70000000001</v>
      </c>
      <c r="P41" s="14">
        <v>351536.95</v>
      </c>
      <c r="Q41" s="14">
        <v>42734.7</v>
      </c>
      <c r="R41" s="14">
        <v>246865.05</v>
      </c>
      <c r="S41" s="14">
        <v>368.75</v>
      </c>
      <c r="T41" s="14">
        <v>350</v>
      </c>
      <c r="U41" s="14">
        <v>20700</v>
      </c>
      <c r="V41" s="14"/>
      <c r="W41" s="14"/>
      <c r="X41" s="2">
        <f t="shared" si="1"/>
        <v>7602692.8700000001</v>
      </c>
      <c r="Y41" s="14">
        <v>412751.15</v>
      </c>
      <c r="Z41" s="14">
        <v>208069.4</v>
      </c>
      <c r="AA41" s="14">
        <v>452988.75</v>
      </c>
      <c r="AB41" s="14"/>
      <c r="AC41" s="14">
        <v>276667.58</v>
      </c>
      <c r="AD41" s="14">
        <v>474715.6</v>
      </c>
      <c r="AE41" s="14"/>
      <c r="AF41" s="14"/>
      <c r="AG41" s="14">
        <v>150096.95000000001</v>
      </c>
      <c r="AH41" s="14"/>
      <c r="AI41" s="14">
        <v>92863.45</v>
      </c>
      <c r="AJ41" s="14"/>
      <c r="AK41" s="14"/>
      <c r="AL41" s="48">
        <f t="shared" si="2"/>
        <v>2068152.88</v>
      </c>
      <c r="AM41" s="22">
        <v>67</v>
      </c>
      <c r="AN41" s="14">
        <v>2825</v>
      </c>
      <c r="AO41" s="14">
        <v>-74180.19</v>
      </c>
      <c r="AP41" s="14"/>
      <c r="AQ41" s="14">
        <v>-1306.6199999999999</v>
      </c>
      <c r="AR41" s="44">
        <v>1.5</v>
      </c>
      <c r="AU41" s="46"/>
      <c r="AV41" s="46"/>
    </row>
    <row r="42" spans="1:48" x14ac:dyDescent="0.25">
      <c r="A42" s="12">
        <v>5471</v>
      </c>
      <c r="B42" s="13" t="s">
        <v>384</v>
      </c>
      <c r="C42" s="14">
        <v>998925.76</v>
      </c>
      <c r="D42" s="14">
        <v>83650.990000000005</v>
      </c>
      <c r="E42" s="14"/>
      <c r="F42" s="14"/>
      <c r="G42" s="14">
        <v>78675.149999999994</v>
      </c>
      <c r="H42" s="14">
        <v>275.95</v>
      </c>
      <c r="I42" s="14"/>
      <c r="J42" s="14">
        <v>28660.62</v>
      </c>
      <c r="K42" s="14">
        <v>1306.5</v>
      </c>
      <c r="L42" s="14">
        <v>76715.5</v>
      </c>
      <c r="M42" s="3">
        <f t="shared" si="0"/>
        <v>1268210.47</v>
      </c>
      <c r="N42" s="14">
        <v>2335.65</v>
      </c>
      <c r="O42" s="14"/>
      <c r="P42" s="14">
        <v>95222.65</v>
      </c>
      <c r="Q42" s="14">
        <v>13634.85</v>
      </c>
      <c r="R42" s="14">
        <v>30638.45</v>
      </c>
      <c r="S42" s="14">
        <v>31.25</v>
      </c>
      <c r="T42" s="14"/>
      <c r="U42" s="14">
        <v>4050</v>
      </c>
      <c r="V42" s="14"/>
      <c r="W42" s="14"/>
      <c r="X42" s="2">
        <f t="shared" si="1"/>
        <v>1414123.3199999998</v>
      </c>
      <c r="Y42" s="14">
        <v>95568.75</v>
      </c>
      <c r="Z42" s="14"/>
      <c r="AA42" s="14">
        <v>62076.2</v>
      </c>
      <c r="AB42" s="14"/>
      <c r="AC42" s="14">
        <v>20558.2</v>
      </c>
      <c r="AD42" s="14">
        <v>28766.45</v>
      </c>
      <c r="AE42" s="14"/>
      <c r="AF42" s="14"/>
      <c r="AG42" s="14"/>
      <c r="AH42" s="14"/>
      <c r="AI42" s="14"/>
      <c r="AJ42" s="14"/>
      <c r="AK42" s="14"/>
      <c r="AL42" s="48">
        <f t="shared" si="2"/>
        <v>206969.60000000003</v>
      </c>
      <c r="AM42" s="22">
        <v>70</v>
      </c>
      <c r="AN42" s="14">
        <v>557</v>
      </c>
      <c r="AO42" s="14">
        <v>-18160.990000000002</v>
      </c>
      <c r="AP42" s="14"/>
      <c r="AQ42" s="14">
        <v>-430.28</v>
      </c>
      <c r="AR42" s="44">
        <v>0.9</v>
      </c>
      <c r="AU42" s="46"/>
      <c r="AV42" s="46"/>
    </row>
    <row r="43" spans="1:48" x14ac:dyDescent="0.25">
      <c r="A43" s="12">
        <v>5472</v>
      </c>
      <c r="B43" s="13" t="s">
        <v>385</v>
      </c>
      <c r="C43" s="14">
        <v>893640.25</v>
      </c>
      <c r="D43" s="14">
        <v>91534.87</v>
      </c>
      <c r="E43" s="14"/>
      <c r="F43" s="14"/>
      <c r="G43" s="14">
        <v>2405.5500000000002</v>
      </c>
      <c r="H43" s="14">
        <v>152.15</v>
      </c>
      <c r="I43" s="14"/>
      <c r="J43" s="14">
        <v>11004.93</v>
      </c>
      <c r="K43" s="14">
        <v>200</v>
      </c>
      <c r="L43" s="14">
        <v>66355.649999999994</v>
      </c>
      <c r="M43" s="3">
        <f t="shared" si="0"/>
        <v>1065293.4000000001</v>
      </c>
      <c r="N43" s="14"/>
      <c r="O43" s="14"/>
      <c r="P43" s="14">
        <v>62610.85</v>
      </c>
      <c r="Q43" s="14"/>
      <c r="R43" s="14">
        <v>39290.75</v>
      </c>
      <c r="S43" s="14">
        <v>187.5</v>
      </c>
      <c r="T43" s="14"/>
      <c r="U43" s="14">
        <v>1290</v>
      </c>
      <c r="V43" s="14"/>
      <c r="W43" s="14"/>
      <c r="X43" s="2">
        <f t="shared" si="1"/>
        <v>1168672.5000000002</v>
      </c>
      <c r="Y43" s="14"/>
      <c r="Z43" s="14"/>
      <c r="AA43" s="14">
        <v>33844.400000000001</v>
      </c>
      <c r="AB43" s="14"/>
      <c r="AC43" s="14">
        <v>28900</v>
      </c>
      <c r="AD43" s="14"/>
      <c r="AE43" s="14"/>
      <c r="AF43" s="14"/>
      <c r="AG43" s="14"/>
      <c r="AH43" s="14"/>
      <c r="AI43" s="14"/>
      <c r="AJ43" s="14"/>
      <c r="AK43" s="14"/>
      <c r="AL43" s="48">
        <f t="shared" si="2"/>
        <v>62744.4</v>
      </c>
      <c r="AM43" s="22">
        <v>80</v>
      </c>
      <c r="AN43" s="14">
        <v>373</v>
      </c>
      <c r="AO43" s="14">
        <v>-8152</v>
      </c>
      <c r="AP43" s="14"/>
      <c r="AQ43" s="14">
        <v>-51.97</v>
      </c>
      <c r="AR43" s="44">
        <v>1</v>
      </c>
      <c r="AU43" s="46"/>
      <c r="AV43" s="46"/>
    </row>
    <row r="44" spans="1:48" x14ac:dyDescent="0.25">
      <c r="A44" s="12">
        <v>5473</v>
      </c>
      <c r="B44" s="13" t="s">
        <v>238</v>
      </c>
      <c r="C44" s="14">
        <v>1823643.53</v>
      </c>
      <c r="D44" s="14">
        <v>176754.61</v>
      </c>
      <c r="E44" s="14"/>
      <c r="F44" s="14"/>
      <c r="G44" s="14">
        <v>69621.25</v>
      </c>
      <c r="H44" s="14">
        <v>604.54999999999995</v>
      </c>
      <c r="I44" s="14"/>
      <c r="J44" s="14">
        <v>43679.99</v>
      </c>
      <c r="K44" s="14">
        <v>3431.5</v>
      </c>
      <c r="L44" s="14">
        <v>167866.6</v>
      </c>
      <c r="M44" s="3">
        <f t="shared" si="0"/>
        <v>2285602.0300000003</v>
      </c>
      <c r="N44" s="14"/>
      <c r="O44" s="14"/>
      <c r="P44" s="14">
        <v>19373.7</v>
      </c>
      <c r="Q44" s="14">
        <v>1819.6</v>
      </c>
      <c r="R44" s="14">
        <v>20191.650000000001</v>
      </c>
      <c r="S44" s="14"/>
      <c r="T44" s="14"/>
      <c r="U44" s="14">
        <v>5760</v>
      </c>
      <c r="V44" s="14"/>
      <c r="W44" s="14"/>
      <c r="X44" s="2">
        <f t="shared" si="1"/>
        <v>2332746.9800000004</v>
      </c>
      <c r="Y44" s="14">
        <v>5800</v>
      </c>
      <c r="Z44" s="14"/>
      <c r="AA44" s="14">
        <v>170797</v>
      </c>
      <c r="AB44" s="14"/>
      <c r="AC44" s="14">
        <v>101619</v>
      </c>
      <c r="AD44" s="14"/>
      <c r="AE44" s="14"/>
      <c r="AF44" s="14"/>
      <c r="AG44" s="14"/>
      <c r="AH44" s="14"/>
      <c r="AI44" s="14"/>
      <c r="AJ44" s="14"/>
      <c r="AK44" s="14"/>
      <c r="AL44" s="48">
        <f t="shared" si="2"/>
        <v>278216</v>
      </c>
      <c r="AM44" s="22">
        <v>69</v>
      </c>
      <c r="AN44" s="14">
        <v>958</v>
      </c>
      <c r="AO44" s="14">
        <v>-9862.41</v>
      </c>
      <c r="AP44" s="14"/>
      <c r="AQ44" s="14">
        <v>-24.43</v>
      </c>
      <c r="AR44" s="44">
        <v>1</v>
      </c>
      <c r="AU44" s="46"/>
      <c r="AV44" s="46"/>
    </row>
    <row r="45" spans="1:48" x14ac:dyDescent="0.25">
      <c r="A45" s="12">
        <v>5474</v>
      </c>
      <c r="B45" s="13" t="s">
        <v>239</v>
      </c>
      <c r="C45" s="14">
        <v>756916.53</v>
      </c>
      <c r="D45" s="14">
        <v>109851.33</v>
      </c>
      <c r="E45" s="14"/>
      <c r="F45" s="14"/>
      <c r="G45" s="14">
        <v>5950.25</v>
      </c>
      <c r="H45" s="14">
        <v>71.849999999999994</v>
      </c>
      <c r="I45" s="14">
        <v>33792.6</v>
      </c>
      <c r="J45" s="14">
        <v>8335.57</v>
      </c>
      <c r="K45" s="14">
        <v>560</v>
      </c>
      <c r="L45" s="14">
        <v>78462.850000000006</v>
      </c>
      <c r="M45" s="3">
        <f t="shared" si="0"/>
        <v>993940.97999999986</v>
      </c>
      <c r="N45" s="14"/>
      <c r="O45" s="14">
        <v>649.4</v>
      </c>
      <c r="P45" s="14"/>
      <c r="Q45" s="14"/>
      <c r="R45" s="14">
        <v>-15412.1</v>
      </c>
      <c r="S45" s="14">
        <v>75</v>
      </c>
      <c r="T45" s="14"/>
      <c r="U45" s="14">
        <v>1000</v>
      </c>
      <c r="V45" s="14"/>
      <c r="W45" s="14"/>
      <c r="X45" s="2">
        <f t="shared" si="1"/>
        <v>980253.27999999991</v>
      </c>
      <c r="Y45" s="14">
        <v>37814</v>
      </c>
      <c r="Z45" s="14">
        <v>58640.4</v>
      </c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48">
        <f t="shared" si="2"/>
        <v>96454.399999999994</v>
      </c>
      <c r="AM45" s="22">
        <v>77</v>
      </c>
      <c r="AN45" s="14">
        <v>421</v>
      </c>
      <c r="AO45" s="14">
        <v>-3685.99</v>
      </c>
      <c r="AP45" s="14"/>
      <c r="AQ45" s="14">
        <v>-13.33</v>
      </c>
      <c r="AR45" s="44">
        <v>1.2</v>
      </c>
      <c r="AU45" s="46"/>
      <c r="AV45" s="46"/>
    </row>
    <row r="46" spans="1:48" x14ac:dyDescent="0.25">
      <c r="A46" s="12">
        <v>5475</v>
      </c>
      <c r="B46" s="13" t="s">
        <v>407</v>
      </c>
      <c r="C46" s="14">
        <v>135790.87</v>
      </c>
      <c r="D46" s="14">
        <v>48904.959999999999</v>
      </c>
      <c r="E46" s="14"/>
      <c r="F46" s="14"/>
      <c r="G46" s="14">
        <v>1151.05</v>
      </c>
      <c r="H46" s="14">
        <v>101.349999999999</v>
      </c>
      <c r="I46" s="14"/>
      <c r="J46" s="14">
        <v>9274.69</v>
      </c>
      <c r="K46" s="14"/>
      <c r="L46" s="14">
        <v>19723.8</v>
      </c>
      <c r="M46" s="3">
        <f t="shared" si="0"/>
        <v>214946.71999999997</v>
      </c>
      <c r="N46" s="14"/>
      <c r="O46" s="14"/>
      <c r="P46" s="14">
        <v>3649.25</v>
      </c>
      <c r="Q46" s="14"/>
      <c r="R46" s="14"/>
      <c r="S46" s="14"/>
      <c r="T46" s="14"/>
      <c r="U46" s="14">
        <v>420</v>
      </c>
      <c r="V46" s="14"/>
      <c r="W46" s="14"/>
      <c r="X46" s="2">
        <f t="shared" si="1"/>
        <v>219015.96999999997</v>
      </c>
      <c r="Y46" s="14"/>
      <c r="Z46" s="14"/>
      <c r="AA46" s="14">
        <v>10279.15</v>
      </c>
      <c r="AB46" s="14"/>
      <c r="AC46" s="14">
        <v>17610.150000000001</v>
      </c>
      <c r="AD46" s="14">
        <v>1242.3</v>
      </c>
      <c r="AE46" s="14"/>
      <c r="AF46" s="14"/>
      <c r="AG46" s="14"/>
      <c r="AH46" s="14"/>
      <c r="AI46" s="14"/>
      <c r="AJ46" s="14"/>
      <c r="AK46" s="14"/>
      <c r="AL46" s="48">
        <f t="shared" si="2"/>
        <v>29131.600000000002</v>
      </c>
      <c r="AM46" s="22">
        <v>77</v>
      </c>
      <c r="AN46" s="14">
        <v>120</v>
      </c>
      <c r="AO46" s="14">
        <v>-3184.57</v>
      </c>
      <c r="AP46" s="14"/>
      <c r="AQ46" s="14">
        <v>-0.25</v>
      </c>
      <c r="AR46" s="44">
        <v>1</v>
      </c>
      <c r="AU46" s="46"/>
      <c r="AV46" s="46"/>
    </row>
    <row r="47" spans="1:48" x14ac:dyDescent="0.25">
      <c r="A47" s="12">
        <v>5476</v>
      </c>
      <c r="B47" s="13" t="s">
        <v>408</v>
      </c>
      <c r="C47" s="14">
        <v>463409.77</v>
      </c>
      <c r="D47" s="14">
        <v>76346.66</v>
      </c>
      <c r="E47" s="14"/>
      <c r="F47" s="14"/>
      <c r="G47" s="14">
        <v>797.3</v>
      </c>
      <c r="H47" s="14">
        <v>2184.15</v>
      </c>
      <c r="I47" s="14"/>
      <c r="J47" s="14">
        <v>10211.75</v>
      </c>
      <c r="K47" s="14"/>
      <c r="L47" s="14">
        <v>72658.8</v>
      </c>
      <c r="M47" s="3">
        <f t="shared" si="0"/>
        <v>625608.43000000017</v>
      </c>
      <c r="N47" s="14">
        <v>2996.05</v>
      </c>
      <c r="O47" s="14"/>
      <c r="P47" s="14">
        <v>78175.5</v>
      </c>
      <c r="Q47" s="14">
        <v>3615.5</v>
      </c>
      <c r="R47" s="14">
        <v>-2881.25</v>
      </c>
      <c r="S47" s="14"/>
      <c r="T47" s="14"/>
      <c r="U47" s="14">
        <v>2700</v>
      </c>
      <c r="V47" s="14"/>
      <c r="W47" s="14"/>
      <c r="X47" s="2">
        <f t="shared" si="1"/>
        <v>710214.23000000021</v>
      </c>
      <c r="Y47" s="14">
        <v>12464.45</v>
      </c>
      <c r="Z47" s="14"/>
      <c r="AA47" s="14">
        <v>14310</v>
      </c>
      <c r="AB47" s="14"/>
      <c r="AC47" s="14">
        <v>14160</v>
      </c>
      <c r="AD47" s="14">
        <v>20774.05</v>
      </c>
      <c r="AE47" s="14"/>
      <c r="AF47" s="14"/>
      <c r="AG47" s="14"/>
      <c r="AH47" s="14"/>
      <c r="AI47" s="14"/>
      <c r="AJ47" s="14"/>
      <c r="AK47" s="14"/>
      <c r="AL47" s="48">
        <f t="shared" si="2"/>
        <v>61708.5</v>
      </c>
      <c r="AM47" s="22">
        <v>74</v>
      </c>
      <c r="AN47" s="14">
        <v>286</v>
      </c>
      <c r="AO47" s="14">
        <v>-21320.6</v>
      </c>
      <c r="AP47" s="14"/>
      <c r="AQ47" s="14"/>
      <c r="AR47" s="44">
        <v>1.5</v>
      </c>
      <c r="AU47" s="46"/>
      <c r="AV47" s="46"/>
    </row>
    <row r="48" spans="1:48" x14ac:dyDescent="0.25">
      <c r="A48" s="12">
        <v>5477</v>
      </c>
      <c r="B48" s="13" t="s">
        <v>409</v>
      </c>
      <c r="C48" s="14">
        <v>6137209.2400000002</v>
      </c>
      <c r="D48" s="14">
        <v>1010627.01</v>
      </c>
      <c r="E48" s="14"/>
      <c r="F48" s="14"/>
      <c r="G48" s="14">
        <v>486402.45</v>
      </c>
      <c r="H48" s="14">
        <v>34869</v>
      </c>
      <c r="I48" s="14"/>
      <c r="J48" s="14">
        <v>198316.48</v>
      </c>
      <c r="K48" s="14">
        <v>6142.5</v>
      </c>
      <c r="L48" s="14">
        <v>516070.75</v>
      </c>
      <c r="M48" s="3">
        <f t="shared" si="0"/>
        <v>8389637.4299999997</v>
      </c>
      <c r="N48" s="14">
        <v>78698.25</v>
      </c>
      <c r="O48" s="14">
        <v>174778.55</v>
      </c>
      <c r="P48" s="14">
        <v>337704.05</v>
      </c>
      <c r="Q48" s="14">
        <v>82027.34</v>
      </c>
      <c r="R48" s="14">
        <v>214883.6</v>
      </c>
      <c r="S48" s="14">
        <v>275</v>
      </c>
      <c r="T48" s="14"/>
      <c r="U48" s="14">
        <v>16500</v>
      </c>
      <c r="V48" s="14"/>
      <c r="W48" s="14"/>
      <c r="X48" s="2">
        <f t="shared" si="1"/>
        <v>9294504.2200000007</v>
      </c>
      <c r="Y48" s="14">
        <v>278288.45</v>
      </c>
      <c r="Z48" s="14">
        <v>29640</v>
      </c>
      <c r="AA48" s="14">
        <v>284430.40000000002</v>
      </c>
      <c r="AB48" s="14">
        <v>380096.15</v>
      </c>
      <c r="AC48" s="14">
        <v>339811.65</v>
      </c>
      <c r="AD48" s="14">
        <v>206409.35</v>
      </c>
      <c r="AE48" s="14">
        <v>60386.7</v>
      </c>
      <c r="AF48" s="14"/>
      <c r="AG48" s="14">
        <v>1275</v>
      </c>
      <c r="AH48" s="14">
        <v>74615.8</v>
      </c>
      <c r="AI48" s="14"/>
      <c r="AJ48" s="14"/>
      <c r="AK48" s="14">
        <v>2100</v>
      </c>
      <c r="AL48" s="48">
        <f t="shared" si="2"/>
        <v>1657053.5000000002</v>
      </c>
      <c r="AM48" s="22">
        <v>69.3</v>
      </c>
      <c r="AN48" s="14">
        <v>3642</v>
      </c>
      <c r="AO48" s="14">
        <v>-114717.79</v>
      </c>
      <c r="AP48" s="14"/>
      <c r="AQ48" s="14">
        <v>-77.819999999999993</v>
      </c>
      <c r="AR48" s="44">
        <v>1</v>
      </c>
      <c r="AU48" s="46"/>
      <c r="AV48" s="46"/>
    </row>
    <row r="49" spans="1:48" x14ac:dyDescent="0.25">
      <c r="A49" s="12">
        <v>5478</v>
      </c>
      <c r="B49" s="13" t="s">
        <v>270</v>
      </c>
      <c r="C49" s="14">
        <v>914048.86</v>
      </c>
      <c r="D49" s="14">
        <v>78651.58</v>
      </c>
      <c r="E49" s="14"/>
      <c r="F49" s="14"/>
      <c r="G49" s="14">
        <v>40900.85</v>
      </c>
      <c r="H49" s="14">
        <v>32.65</v>
      </c>
      <c r="I49" s="14"/>
      <c r="J49" s="14">
        <v>6542.89</v>
      </c>
      <c r="K49" s="14">
        <v>250</v>
      </c>
      <c r="L49" s="14">
        <v>72077.3</v>
      </c>
      <c r="M49" s="3">
        <f t="shared" si="0"/>
        <v>1112504.1299999999</v>
      </c>
      <c r="N49" s="14"/>
      <c r="O49" s="14">
        <v>717.8</v>
      </c>
      <c r="P49" s="14">
        <v>6600</v>
      </c>
      <c r="Q49" s="14">
        <v>6232.49</v>
      </c>
      <c r="R49" s="14">
        <v>20155.05</v>
      </c>
      <c r="S49" s="14">
        <v>31.25</v>
      </c>
      <c r="T49" s="14">
        <v>300</v>
      </c>
      <c r="U49" s="14">
        <v>1850</v>
      </c>
      <c r="V49" s="14"/>
      <c r="W49" s="14"/>
      <c r="X49" s="2">
        <f t="shared" si="1"/>
        <v>1148390.72</v>
      </c>
      <c r="Y49" s="14">
        <v>3524.05</v>
      </c>
      <c r="Z49" s="14"/>
      <c r="AA49" s="14">
        <v>29736.25</v>
      </c>
      <c r="AB49" s="14"/>
      <c r="AC49" s="14">
        <v>44694.3</v>
      </c>
      <c r="AD49" s="14">
        <v>3524.05</v>
      </c>
      <c r="AE49" s="14"/>
      <c r="AF49" s="14"/>
      <c r="AG49" s="14"/>
      <c r="AH49" s="14"/>
      <c r="AI49" s="14"/>
      <c r="AJ49" s="14"/>
      <c r="AK49" s="14"/>
      <c r="AL49" s="48">
        <f t="shared" si="2"/>
        <v>81478.650000000009</v>
      </c>
      <c r="AM49" s="22">
        <v>72</v>
      </c>
      <c r="AN49" s="14">
        <v>473</v>
      </c>
      <c r="AO49" s="14">
        <v>-5311.81</v>
      </c>
      <c r="AP49" s="14"/>
      <c r="AQ49" s="14"/>
      <c r="AR49" s="44">
        <v>1</v>
      </c>
      <c r="AU49" s="46"/>
      <c r="AV49" s="46"/>
    </row>
    <row r="50" spans="1:48" x14ac:dyDescent="0.25">
      <c r="A50" s="12">
        <v>5479</v>
      </c>
      <c r="B50" s="13" t="s">
        <v>271</v>
      </c>
      <c r="C50" s="14">
        <v>662274.72</v>
      </c>
      <c r="D50" s="14">
        <v>85106.68</v>
      </c>
      <c r="E50" s="14"/>
      <c r="F50" s="14"/>
      <c r="G50" s="14">
        <v>2712.65</v>
      </c>
      <c r="H50" s="14">
        <v>658.25</v>
      </c>
      <c r="I50" s="14">
        <v>54737.05</v>
      </c>
      <c r="J50" s="14">
        <v>10424.219999999999</v>
      </c>
      <c r="K50" s="14">
        <v>1912</v>
      </c>
      <c r="L50" s="14">
        <v>70008.800000000003</v>
      </c>
      <c r="M50" s="3">
        <f t="shared" si="0"/>
        <v>887834.37</v>
      </c>
      <c r="N50" s="14">
        <v>1482.8</v>
      </c>
      <c r="O50" s="14">
        <v>14770.7</v>
      </c>
      <c r="P50" s="14">
        <v>5106.2</v>
      </c>
      <c r="Q50" s="14">
        <v>36094.379999999997</v>
      </c>
      <c r="R50" s="14">
        <v>-4698.1499999999996</v>
      </c>
      <c r="S50" s="14"/>
      <c r="T50" s="14"/>
      <c r="U50" s="14">
        <v>1800</v>
      </c>
      <c r="V50" s="14"/>
      <c r="W50" s="14"/>
      <c r="X50" s="2">
        <f t="shared" si="1"/>
        <v>942390.29999999993</v>
      </c>
      <c r="Y50" s="14">
        <v>7135</v>
      </c>
      <c r="Z50" s="14"/>
      <c r="AA50" s="14">
        <v>51878.1</v>
      </c>
      <c r="AB50" s="14"/>
      <c r="AC50" s="14">
        <v>67382.149999999994</v>
      </c>
      <c r="AD50" s="14">
        <v>2731.75</v>
      </c>
      <c r="AE50" s="14">
        <v>10832.5</v>
      </c>
      <c r="AF50" s="14"/>
      <c r="AG50" s="14"/>
      <c r="AH50" s="14">
        <v>13202.5</v>
      </c>
      <c r="AI50" s="14"/>
      <c r="AJ50" s="14"/>
      <c r="AK50" s="14"/>
      <c r="AL50" s="48">
        <f t="shared" si="2"/>
        <v>153162</v>
      </c>
      <c r="AM50" s="22">
        <v>77</v>
      </c>
      <c r="AN50" s="14">
        <v>439</v>
      </c>
      <c r="AO50" s="14">
        <v>-14870.28</v>
      </c>
      <c r="AP50" s="14"/>
      <c r="AQ50" s="14">
        <v>-33.04</v>
      </c>
      <c r="AR50" s="44">
        <v>1</v>
      </c>
      <c r="AU50" s="46"/>
      <c r="AV50" s="46"/>
    </row>
    <row r="51" spans="1:48" x14ac:dyDescent="0.25">
      <c r="A51" s="12">
        <v>5480</v>
      </c>
      <c r="B51" s="13" t="s">
        <v>272</v>
      </c>
      <c r="C51" s="14">
        <v>2035589.32</v>
      </c>
      <c r="D51" s="14">
        <v>230745.06</v>
      </c>
      <c r="E51" s="14"/>
      <c r="F51" s="14"/>
      <c r="G51" s="14">
        <v>387309.85</v>
      </c>
      <c r="H51" s="14">
        <v>-6724.55</v>
      </c>
      <c r="I51" s="14"/>
      <c r="J51" s="14">
        <v>62991.42</v>
      </c>
      <c r="K51" s="14">
        <v>11335.5</v>
      </c>
      <c r="L51" s="14">
        <v>272339.3</v>
      </c>
      <c r="M51" s="3">
        <f t="shared" si="0"/>
        <v>2993585.9</v>
      </c>
      <c r="N51" s="14">
        <v>161064.79999999999</v>
      </c>
      <c r="O51" s="14">
        <v>10005.6</v>
      </c>
      <c r="P51" s="14">
        <v>123032.55</v>
      </c>
      <c r="Q51" s="14">
        <v>974.09</v>
      </c>
      <c r="R51" s="14">
        <v>121478.35</v>
      </c>
      <c r="S51" s="14">
        <v>1162.5</v>
      </c>
      <c r="T51" s="14"/>
      <c r="U51" s="14">
        <v>9750</v>
      </c>
      <c r="V51" s="14"/>
      <c r="W51" s="14"/>
      <c r="X51" s="2">
        <f t="shared" si="1"/>
        <v>3421053.7899999996</v>
      </c>
      <c r="Y51" s="14">
        <v>45723.15</v>
      </c>
      <c r="Z51" s="14"/>
      <c r="AA51" s="14">
        <v>146292.5</v>
      </c>
      <c r="AB51" s="14">
        <v>107789.05</v>
      </c>
      <c r="AC51" s="14">
        <v>56884.25</v>
      </c>
      <c r="AD51" s="14">
        <v>43791.8</v>
      </c>
      <c r="AE51" s="14"/>
      <c r="AF51" s="14"/>
      <c r="AG51" s="14">
        <v>4286.8999999999996</v>
      </c>
      <c r="AH51" s="14">
        <v>58285.3</v>
      </c>
      <c r="AI51" s="14"/>
      <c r="AJ51" s="14"/>
      <c r="AK51" s="14"/>
      <c r="AL51" s="48">
        <f t="shared" si="2"/>
        <v>463052.95</v>
      </c>
      <c r="AM51" s="22">
        <v>71</v>
      </c>
      <c r="AN51" s="14">
        <v>940</v>
      </c>
      <c r="AO51" s="14">
        <v>-4282.63</v>
      </c>
      <c r="AP51" s="14"/>
      <c r="AQ51" s="14">
        <v>-194.03</v>
      </c>
      <c r="AR51" s="44">
        <v>1</v>
      </c>
      <c r="AU51" s="46"/>
      <c r="AV51" s="46"/>
    </row>
    <row r="52" spans="1:48" x14ac:dyDescent="0.25">
      <c r="A52" s="12">
        <v>5481</v>
      </c>
      <c r="B52" s="13" t="s">
        <v>273</v>
      </c>
      <c r="C52" s="14">
        <v>457000.5</v>
      </c>
      <c r="D52" s="14">
        <v>87055.74</v>
      </c>
      <c r="E52" s="14"/>
      <c r="F52" s="14"/>
      <c r="G52" s="14">
        <v>27740.35</v>
      </c>
      <c r="H52" s="14">
        <v>259.8</v>
      </c>
      <c r="I52" s="14"/>
      <c r="J52" s="14">
        <v>5695.19</v>
      </c>
      <c r="K52" s="14"/>
      <c r="L52" s="14">
        <v>34309.599999999999</v>
      </c>
      <c r="M52" s="3">
        <f t="shared" si="0"/>
        <v>612061.17999999993</v>
      </c>
      <c r="N52" s="14"/>
      <c r="O52" s="14"/>
      <c r="P52" s="14">
        <v>9762.5</v>
      </c>
      <c r="Q52" s="14"/>
      <c r="R52" s="14">
        <v>13950.9</v>
      </c>
      <c r="S52" s="14"/>
      <c r="T52" s="14"/>
      <c r="U52" s="14">
        <v>750</v>
      </c>
      <c r="V52" s="14"/>
      <c r="W52" s="14"/>
      <c r="X52" s="2">
        <f t="shared" si="1"/>
        <v>636524.57999999996</v>
      </c>
      <c r="Y52" s="14">
        <v>10800</v>
      </c>
      <c r="Z52" s="14"/>
      <c r="AA52" s="14">
        <v>48620</v>
      </c>
      <c r="AB52" s="14"/>
      <c r="AC52" s="14">
        <v>14916</v>
      </c>
      <c r="AD52" s="14">
        <v>10557</v>
      </c>
      <c r="AE52" s="14"/>
      <c r="AF52" s="14"/>
      <c r="AG52" s="14"/>
      <c r="AH52" s="14"/>
      <c r="AI52" s="14"/>
      <c r="AJ52" s="14"/>
      <c r="AK52" s="14"/>
      <c r="AL52" s="48">
        <f t="shared" si="2"/>
        <v>84893</v>
      </c>
      <c r="AM52" s="22">
        <v>74</v>
      </c>
      <c r="AN52" s="14">
        <v>221</v>
      </c>
      <c r="AO52" s="14">
        <v>-2225.7800000000002</v>
      </c>
      <c r="AP52" s="14"/>
      <c r="AQ52" s="14">
        <v>-1.74</v>
      </c>
      <c r="AR52" s="44">
        <v>1</v>
      </c>
      <c r="AU52" s="46"/>
      <c r="AV52" s="46"/>
    </row>
    <row r="53" spans="1:48" x14ac:dyDescent="0.25">
      <c r="A53" s="12">
        <v>5482</v>
      </c>
      <c r="B53" s="13" t="s">
        <v>274</v>
      </c>
      <c r="C53" s="14">
        <v>1182977.71</v>
      </c>
      <c r="D53" s="14">
        <v>210026.71</v>
      </c>
      <c r="E53" s="14"/>
      <c r="F53" s="14"/>
      <c r="G53" s="14">
        <v>1078312.7</v>
      </c>
      <c r="H53" s="14">
        <v>7505.95</v>
      </c>
      <c r="I53" s="14"/>
      <c r="J53" s="14">
        <v>95486.22</v>
      </c>
      <c r="K53" s="14">
        <v>37015</v>
      </c>
      <c r="L53" s="14">
        <v>366478.1</v>
      </c>
      <c r="M53" s="3">
        <f t="shared" si="0"/>
        <v>2977802.3900000006</v>
      </c>
      <c r="N53" s="14">
        <v>152417.95000000001</v>
      </c>
      <c r="O53" s="14">
        <v>27397.599999999999</v>
      </c>
      <c r="P53" s="14">
        <v>118763.1</v>
      </c>
      <c r="Q53" s="14">
        <v>4373.59</v>
      </c>
      <c r="R53" s="14">
        <v>25876.65</v>
      </c>
      <c r="S53" s="14">
        <v>181.25</v>
      </c>
      <c r="T53" s="14"/>
      <c r="U53" s="14">
        <v>7950</v>
      </c>
      <c r="V53" s="14"/>
      <c r="W53" s="14"/>
      <c r="X53" s="2">
        <f t="shared" si="1"/>
        <v>3314762.5300000007</v>
      </c>
      <c r="Y53" s="14"/>
      <c r="Z53" s="14"/>
      <c r="AA53" s="14">
        <v>201808.8</v>
      </c>
      <c r="AB53" s="14"/>
      <c r="AC53" s="14">
        <v>98797.1</v>
      </c>
      <c r="AD53" s="14"/>
      <c r="AE53" s="14"/>
      <c r="AF53" s="14"/>
      <c r="AG53" s="14"/>
      <c r="AH53" s="14">
        <v>650245.85</v>
      </c>
      <c r="AI53" s="14"/>
      <c r="AJ53" s="14"/>
      <c r="AK53" s="14"/>
      <c r="AL53" s="48">
        <f t="shared" si="2"/>
        <v>950851.75</v>
      </c>
      <c r="AM53" s="22">
        <v>46</v>
      </c>
      <c r="AN53" s="14">
        <v>1039</v>
      </c>
      <c r="AO53" s="14">
        <v>-12760.93</v>
      </c>
      <c r="AP53" s="14"/>
      <c r="AQ53" s="14">
        <v>-26.36</v>
      </c>
      <c r="AR53" s="44">
        <v>1</v>
      </c>
      <c r="AU53" s="46"/>
      <c r="AV53" s="46"/>
    </row>
    <row r="54" spans="1:48" x14ac:dyDescent="0.25">
      <c r="A54" s="12">
        <v>5483</v>
      </c>
      <c r="B54" s="13" t="s">
        <v>168</v>
      </c>
      <c r="C54" s="14">
        <v>563289.71</v>
      </c>
      <c r="D54" s="14">
        <v>55906.080000000002</v>
      </c>
      <c r="E54" s="14"/>
      <c r="F54" s="14"/>
      <c r="G54" s="14">
        <v>28674.6</v>
      </c>
      <c r="H54" s="14">
        <v>1654.7</v>
      </c>
      <c r="I54" s="14"/>
      <c r="J54" s="14">
        <v>1203.94</v>
      </c>
      <c r="K54" s="14">
        <v>175.5</v>
      </c>
      <c r="L54" s="14">
        <v>47878.5</v>
      </c>
      <c r="M54" s="3">
        <f t="shared" si="0"/>
        <v>698783.0299999998</v>
      </c>
      <c r="N54" s="14">
        <v>171.95</v>
      </c>
      <c r="O54" s="14"/>
      <c r="P54" s="14">
        <v>15070</v>
      </c>
      <c r="Q54" s="14"/>
      <c r="R54" s="14">
        <v>11477.8</v>
      </c>
      <c r="S54" s="14">
        <v>-31.25</v>
      </c>
      <c r="T54" s="14"/>
      <c r="U54" s="14">
        <v>1440</v>
      </c>
      <c r="V54" s="14"/>
      <c r="W54" s="14"/>
      <c r="X54" s="2">
        <f t="shared" si="1"/>
        <v>726911.5299999998</v>
      </c>
      <c r="Y54" s="14"/>
      <c r="Z54" s="14"/>
      <c r="AA54" s="14">
        <v>46773.1</v>
      </c>
      <c r="AB54" s="14"/>
      <c r="AC54" s="14">
        <v>27747.45</v>
      </c>
      <c r="AD54" s="14"/>
      <c r="AE54" s="14"/>
      <c r="AF54" s="14"/>
      <c r="AG54" s="14"/>
      <c r="AH54" s="14"/>
      <c r="AI54" s="14"/>
      <c r="AJ54" s="14"/>
      <c r="AK54" s="14"/>
      <c r="AL54" s="48">
        <f t="shared" si="2"/>
        <v>74520.55</v>
      </c>
      <c r="AM54" s="22">
        <v>76</v>
      </c>
      <c r="AN54" s="14">
        <v>313</v>
      </c>
      <c r="AO54" s="14">
        <v>-7368.63</v>
      </c>
      <c r="AP54" s="14"/>
      <c r="AQ54" s="14"/>
      <c r="AR54" s="44">
        <v>1</v>
      </c>
      <c r="AU54" s="46"/>
      <c r="AV54" s="46"/>
    </row>
    <row r="55" spans="1:48" x14ac:dyDescent="0.25">
      <c r="A55" s="12">
        <v>5484</v>
      </c>
      <c r="B55" s="13" t="s">
        <v>169</v>
      </c>
      <c r="C55" s="14">
        <v>1573222.6</v>
      </c>
      <c r="D55" s="14">
        <v>135809.14000000001</v>
      </c>
      <c r="E55" s="14"/>
      <c r="F55" s="14"/>
      <c r="G55" s="14">
        <v>-54343.7</v>
      </c>
      <c r="H55" s="14">
        <v>646.5</v>
      </c>
      <c r="I55" s="14">
        <v>-50470.6</v>
      </c>
      <c r="J55" s="14">
        <v>27435.68</v>
      </c>
      <c r="K55" s="14">
        <v>3831</v>
      </c>
      <c r="L55" s="14">
        <v>129738.7</v>
      </c>
      <c r="M55" s="3">
        <f t="shared" si="0"/>
        <v>1765869.32</v>
      </c>
      <c r="N55" s="14">
        <v>9736.2999999999993</v>
      </c>
      <c r="O55" s="14">
        <v>6454.8</v>
      </c>
      <c r="P55" s="14">
        <v>193899.55</v>
      </c>
      <c r="Q55" s="14">
        <v>4704.62</v>
      </c>
      <c r="R55" s="14">
        <v>39397.25</v>
      </c>
      <c r="S55" s="14">
        <v>93.75</v>
      </c>
      <c r="T55" s="14"/>
      <c r="U55" s="14">
        <v>4080</v>
      </c>
      <c r="V55" s="14"/>
      <c r="W55" s="14"/>
      <c r="X55" s="2">
        <f t="shared" si="1"/>
        <v>2024235.5900000003</v>
      </c>
      <c r="Y55" s="14">
        <v>81310.8</v>
      </c>
      <c r="Z55" s="14"/>
      <c r="AA55" s="14">
        <v>110500.9</v>
      </c>
      <c r="AB55" s="14"/>
      <c r="AC55" s="14">
        <v>97517.05</v>
      </c>
      <c r="AD55" s="14">
        <v>41652.6</v>
      </c>
      <c r="AE55" s="14"/>
      <c r="AF55" s="14"/>
      <c r="AG55" s="14"/>
      <c r="AH55" s="14"/>
      <c r="AI55" s="14">
        <v>22878.799999999999</v>
      </c>
      <c r="AJ55" s="14"/>
      <c r="AK55" s="14"/>
      <c r="AL55" s="48">
        <f t="shared" si="2"/>
        <v>353860.14999999997</v>
      </c>
      <c r="AM55" s="22">
        <v>74</v>
      </c>
      <c r="AN55" s="14">
        <v>857</v>
      </c>
      <c r="AO55" s="14">
        <v>-56509.58</v>
      </c>
      <c r="AP55" s="14"/>
      <c r="AQ55" s="14">
        <v>-1.83</v>
      </c>
      <c r="AR55" s="44">
        <v>1</v>
      </c>
      <c r="AU55" s="46"/>
      <c r="AV55" s="46"/>
    </row>
    <row r="56" spans="1:48" x14ac:dyDescent="0.25">
      <c r="A56" s="12">
        <v>5485</v>
      </c>
      <c r="B56" s="13" t="s">
        <v>170</v>
      </c>
      <c r="C56" s="14">
        <v>1001283.14</v>
      </c>
      <c r="D56" s="14">
        <v>121547.5</v>
      </c>
      <c r="E56" s="14"/>
      <c r="F56" s="14"/>
      <c r="G56" s="14">
        <v>44099.85</v>
      </c>
      <c r="H56" s="14">
        <v>-6.8</v>
      </c>
      <c r="I56" s="14">
        <v>-42588.55</v>
      </c>
      <c r="J56" s="14">
        <v>26046.48</v>
      </c>
      <c r="K56" s="14">
        <v>225</v>
      </c>
      <c r="L56" s="14">
        <v>66947.05</v>
      </c>
      <c r="M56" s="3">
        <f t="shared" si="0"/>
        <v>1217553.6700000002</v>
      </c>
      <c r="N56" s="14">
        <v>7836.4</v>
      </c>
      <c r="O56" s="14">
        <v>10475.200000000001</v>
      </c>
      <c r="P56" s="14">
        <v>16720</v>
      </c>
      <c r="Q56" s="14">
        <v>1406.4</v>
      </c>
      <c r="R56" s="14">
        <v>32200.05</v>
      </c>
      <c r="S56" s="14"/>
      <c r="T56" s="14"/>
      <c r="U56" s="14">
        <v>1040</v>
      </c>
      <c r="V56" s="14"/>
      <c r="W56" s="14"/>
      <c r="X56" s="2">
        <f t="shared" si="1"/>
        <v>1287231.72</v>
      </c>
      <c r="Y56" s="14">
        <v>6024</v>
      </c>
      <c r="Z56" s="14"/>
      <c r="AA56" s="14">
        <v>75074</v>
      </c>
      <c r="AB56" s="14"/>
      <c r="AC56" s="14">
        <v>26670</v>
      </c>
      <c r="AD56" s="14">
        <v>3667</v>
      </c>
      <c r="AE56" s="14"/>
      <c r="AF56" s="14"/>
      <c r="AG56" s="14"/>
      <c r="AH56" s="14"/>
      <c r="AI56" s="14"/>
      <c r="AJ56" s="14"/>
      <c r="AK56" s="14"/>
      <c r="AL56" s="48">
        <f t="shared" si="2"/>
        <v>111435</v>
      </c>
      <c r="AM56" s="22">
        <v>70</v>
      </c>
      <c r="AN56" s="14">
        <v>396</v>
      </c>
      <c r="AO56" s="14">
        <v>-7887.74</v>
      </c>
      <c r="AP56" s="14"/>
      <c r="AQ56" s="14">
        <v>-187.42</v>
      </c>
      <c r="AR56" s="44">
        <v>1</v>
      </c>
      <c r="AU56" s="46"/>
      <c r="AV56" s="46"/>
    </row>
    <row r="57" spans="1:48" x14ac:dyDescent="0.25">
      <c r="A57" s="12">
        <v>5486</v>
      </c>
      <c r="B57" s="13" t="s">
        <v>5</v>
      </c>
      <c r="C57" s="14">
        <v>1582825.25</v>
      </c>
      <c r="D57" s="14">
        <v>195248.57</v>
      </c>
      <c r="E57" s="14"/>
      <c r="F57" s="14"/>
      <c r="G57" s="14">
        <v>68795.5</v>
      </c>
      <c r="H57" s="14">
        <v>2251.85</v>
      </c>
      <c r="I57" s="14">
        <v>45945.25</v>
      </c>
      <c r="J57" s="14">
        <v>43121.17</v>
      </c>
      <c r="K57" s="14">
        <v>8116.5</v>
      </c>
      <c r="L57" s="14">
        <v>168267.15</v>
      </c>
      <c r="M57" s="3">
        <f t="shared" si="0"/>
        <v>2114571.2400000002</v>
      </c>
      <c r="N57" s="14">
        <v>55291.35</v>
      </c>
      <c r="O57" s="14">
        <v>403934.5</v>
      </c>
      <c r="P57" s="14">
        <v>46604.800000000003</v>
      </c>
      <c r="Q57" s="14">
        <v>21532.38</v>
      </c>
      <c r="R57" s="14">
        <v>51579.4</v>
      </c>
      <c r="S57" s="14">
        <v>50</v>
      </c>
      <c r="T57" s="14">
        <v>1050</v>
      </c>
      <c r="U57" s="14">
        <v>8850</v>
      </c>
      <c r="V57" s="14"/>
      <c r="W57" s="14"/>
      <c r="X57" s="2">
        <f t="shared" si="1"/>
        <v>2703463.67</v>
      </c>
      <c r="Y57" s="14">
        <v>4212</v>
      </c>
      <c r="Z57" s="14">
        <v>3744</v>
      </c>
      <c r="AA57" s="14">
        <v>181682.8</v>
      </c>
      <c r="AB57" s="14"/>
      <c r="AC57" s="14">
        <v>91136</v>
      </c>
      <c r="AD57" s="14">
        <v>8424</v>
      </c>
      <c r="AE57" s="14">
        <v>3744</v>
      </c>
      <c r="AF57" s="14"/>
      <c r="AG57" s="14"/>
      <c r="AH57" s="14">
        <v>36165.449999999997</v>
      </c>
      <c r="AI57" s="14"/>
      <c r="AJ57" s="14"/>
      <c r="AK57" s="14"/>
      <c r="AL57" s="48">
        <f t="shared" si="2"/>
        <v>329108.25</v>
      </c>
      <c r="AM57" s="22">
        <v>76</v>
      </c>
      <c r="AN57" s="14">
        <v>1032</v>
      </c>
      <c r="AO57" s="14">
        <v>-67951.25</v>
      </c>
      <c r="AP57" s="14"/>
      <c r="AQ57" s="14">
        <v>-6.5</v>
      </c>
      <c r="AR57" s="44">
        <v>1</v>
      </c>
      <c r="AU57" s="46"/>
      <c r="AV57" s="46"/>
    </row>
    <row r="58" spans="1:48" x14ac:dyDescent="0.25">
      <c r="A58" s="12">
        <v>5487</v>
      </c>
      <c r="B58" s="13" t="s">
        <v>6</v>
      </c>
      <c r="C58" s="14">
        <v>729944.11</v>
      </c>
      <c r="D58" s="14">
        <v>53563.03</v>
      </c>
      <c r="E58" s="14"/>
      <c r="F58" s="14"/>
      <c r="G58" s="14">
        <f>+-49620.9+(54621)/2</f>
        <v>-22310.400000000001</v>
      </c>
      <c r="H58" s="14">
        <v>9.1999999999999993</v>
      </c>
      <c r="I58" s="14"/>
      <c r="J58" s="14">
        <v>21263.24</v>
      </c>
      <c r="K58" s="14">
        <v>158</v>
      </c>
      <c r="L58" s="14">
        <v>63866.1</v>
      </c>
      <c r="M58" s="3">
        <f t="shared" si="0"/>
        <v>846493.27999999991</v>
      </c>
      <c r="N58" s="14"/>
      <c r="O58" s="14">
        <v>1353</v>
      </c>
      <c r="P58" s="14">
        <v>24013</v>
      </c>
      <c r="Q58" s="14">
        <v>13258.31</v>
      </c>
      <c r="R58" s="14">
        <v>21653.7</v>
      </c>
      <c r="S58" s="14">
        <v>37.5</v>
      </c>
      <c r="T58" s="14"/>
      <c r="U58" s="14">
        <v>1860</v>
      </c>
      <c r="V58" s="14"/>
      <c r="W58" s="14"/>
      <c r="X58" s="2">
        <f t="shared" si="1"/>
        <v>908668.78999999992</v>
      </c>
      <c r="Y58" s="14">
        <v>5250</v>
      </c>
      <c r="Z58" s="14"/>
      <c r="AA58" s="14">
        <v>37260.5</v>
      </c>
      <c r="AB58" s="14"/>
      <c r="AC58" s="14">
        <v>36100</v>
      </c>
      <c r="AD58" s="14">
        <v>12917.7</v>
      </c>
      <c r="AE58" s="14"/>
      <c r="AF58" s="14"/>
      <c r="AG58" s="14">
        <v>191.6</v>
      </c>
      <c r="AH58" s="14">
        <v>8400</v>
      </c>
      <c r="AI58" s="14"/>
      <c r="AJ58" s="14"/>
      <c r="AK58" s="14"/>
      <c r="AL58" s="48">
        <f t="shared" si="2"/>
        <v>100119.8</v>
      </c>
      <c r="AM58" s="22">
        <v>68</v>
      </c>
      <c r="AN58" s="14">
        <v>423</v>
      </c>
      <c r="AO58" s="14">
        <v>-25090.97</v>
      </c>
      <c r="AP58" s="14"/>
      <c r="AQ58" s="14">
        <v>-6.55</v>
      </c>
      <c r="AR58" s="44">
        <v>1</v>
      </c>
      <c r="AU58" s="46"/>
      <c r="AV58" s="46"/>
    </row>
    <row r="59" spans="1:48" x14ac:dyDescent="0.25">
      <c r="A59" s="12">
        <v>5488</v>
      </c>
      <c r="B59" s="13" t="s">
        <v>7</v>
      </c>
      <c r="C59" s="14">
        <v>77851.839999999997</v>
      </c>
      <c r="D59" s="14">
        <v>14870.58</v>
      </c>
      <c r="E59" s="14"/>
      <c r="F59" s="14"/>
      <c r="G59" s="14">
        <v>3697.7</v>
      </c>
      <c r="H59" s="14">
        <v>27.1</v>
      </c>
      <c r="I59" s="14"/>
      <c r="J59" s="14">
        <v>0</v>
      </c>
      <c r="K59" s="14"/>
      <c r="L59" s="14">
        <v>8474</v>
      </c>
      <c r="M59" s="3">
        <f t="shared" si="0"/>
        <v>104921.22</v>
      </c>
      <c r="N59" s="14"/>
      <c r="O59" s="14"/>
      <c r="P59" s="14"/>
      <c r="Q59" s="14"/>
      <c r="R59" s="14"/>
      <c r="S59" s="14"/>
      <c r="T59" s="14"/>
      <c r="U59" s="14">
        <v>140</v>
      </c>
      <c r="V59" s="14"/>
      <c r="W59" s="14"/>
      <c r="X59" s="2">
        <f t="shared" si="1"/>
        <v>105061.22</v>
      </c>
      <c r="Y59" s="14"/>
      <c r="Z59" s="14"/>
      <c r="AA59" s="14">
        <v>6295.5</v>
      </c>
      <c r="AB59" s="14"/>
      <c r="AC59" s="14">
        <v>5093</v>
      </c>
      <c r="AD59" s="14"/>
      <c r="AE59" s="14"/>
      <c r="AF59" s="14"/>
      <c r="AG59" s="14"/>
      <c r="AH59" s="14">
        <v>1186.5</v>
      </c>
      <c r="AI59" s="14"/>
      <c r="AJ59" s="14"/>
      <c r="AK59" s="14"/>
      <c r="AL59" s="48">
        <f t="shared" si="2"/>
        <v>12575</v>
      </c>
      <c r="AM59" s="22">
        <v>74</v>
      </c>
      <c r="AN59" s="14">
        <v>49</v>
      </c>
      <c r="AO59" s="14">
        <v>-24.33</v>
      </c>
      <c r="AP59" s="14"/>
      <c r="AQ59" s="14"/>
      <c r="AR59" s="44">
        <v>1</v>
      </c>
      <c r="AU59" s="46"/>
      <c r="AV59" s="46"/>
    </row>
    <row r="60" spans="1:48" x14ac:dyDescent="0.25">
      <c r="A60" s="12">
        <v>5489</v>
      </c>
      <c r="B60" s="13" t="s">
        <v>8</v>
      </c>
      <c r="C60" s="14">
        <v>1541589.92</v>
      </c>
      <c r="D60" s="14">
        <v>353618.44</v>
      </c>
      <c r="E60" s="14"/>
      <c r="F60" s="14"/>
      <c r="G60" s="14">
        <v>47745.45</v>
      </c>
      <c r="H60" s="14">
        <v>78848.600000000006</v>
      </c>
      <c r="I60" s="14">
        <v>-27686.65</v>
      </c>
      <c r="J60" s="14">
        <v>31708.07</v>
      </c>
      <c r="K60" s="14">
        <v>4261</v>
      </c>
      <c r="L60" s="14">
        <v>257878.7</v>
      </c>
      <c r="M60" s="3">
        <f t="shared" si="0"/>
        <v>2287963.5300000003</v>
      </c>
      <c r="N60" s="14">
        <v>17897.2</v>
      </c>
      <c r="O60" s="14">
        <v>12177</v>
      </c>
      <c r="P60" s="14">
        <v>76505</v>
      </c>
      <c r="Q60" s="14">
        <v>3349.7</v>
      </c>
      <c r="R60" s="14">
        <v>40311</v>
      </c>
      <c r="S60" s="14">
        <v>112.5</v>
      </c>
      <c r="T60" s="14"/>
      <c r="U60" s="14">
        <v>3240</v>
      </c>
      <c r="V60" s="14"/>
      <c r="W60" s="14"/>
      <c r="X60" s="2">
        <f t="shared" si="1"/>
        <v>2441555.9300000006</v>
      </c>
      <c r="Y60" s="14">
        <v>9788.4500000000007</v>
      </c>
      <c r="Z60" s="14"/>
      <c r="AA60" s="14">
        <v>142353.79999999999</v>
      </c>
      <c r="AB60" s="14"/>
      <c r="AC60" s="14">
        <v>46360</v>
      </c>
      <c r="AD60" s="14">
        <v>3701.75</v>
      </c>
      <c r="AE60" s="14">
        <v>43061.35</v>
      </c>
      <c r="AF60" s="14"/>
      <c r="AG60" s="14"/>
      <c r="AH60" s="14"/>
      <c r="AI60" s="14"/>
      <c r="AJ60" s="14"/>
      <c r="AK60" s="14"/>
      <c r="AL60" s="48">
        <f t="shared" si="2"/>
        <v>245265.35</v>
      </c>
      <c r="AM60" s="22">
        <v>61</v>
      </c>
      <c r="AN60" s="14">
        <v>678</v>
      </c>
      <c r="AO60" s="14">
        <v>-26734.68</v>
      </c>
      <c r="AP60" s="14"/>
      <c r="AQ60" s="14">
        <v>-180.13</v>
      </c>
      <c r="AR60" s="44">
        <v>1</v>
      </c>
      <c r="AU60" s="46"/>
      <c r="AV60" s="46"/>
    </row>
    <row r="61" spans="1:48" x14ac:dyDescent="0.25">
      <c r="A61" s="12">
        <v>5490</v>
      </c>
      <c r="B61" s="13" t="s">
        <v>9</v>
      </c>
      <c r="C61" s="14">
        <v>487857.19</v>
      </c>
      <c r="D61" s="14">
        <v>62560.86</v>
      </c>
      <c r="E61" s="14"/>
      <c r="F61" s="14"/>
      <c r="G61" s="14">
        <v>4676.6499999999996</v>
      </c>
      <c r="H61" s="14">
        <v>115.5</v>
      </c>
      <c r="I61" s="14"/>
      <c r="J61" s="14">
        <v>7152.09</v>
      </c>
      <c r="K61" s="14"/>
      <c r="L61" s="14">
        <v>37975.199999999997</v>
      </c>
      <c r="M61" s="3">
        <f t="shared" si="0"/>
        <v>600337.49</v>
      </c>
      <c r="N61" s="14"/>
      <c r="O61" s="14"/>
      <c r="P61" s="14">
        <f>41435.65-31469</f>
        <v>9966.6500000000015</v>
      </c>
      <c r="Q61" s="14">
        <v>4238.33</v>
      </c>
      <c r="R61" s="14">
        <f>10131.45+7876</f>
        <v>18007.45</v>
      </c>
      <c r="S61" s="14">
        <v>31.25</v>
      </c>
      <c r="T61" s="14"/>
      <c r="U61" s="14">
        <v>1140</v>
      </c>
      <c r="V61" s="14"/>
      <c r="W61" s="14"/>
      <c r="X61" s="2">
        <f t="shared" si="1"/>
        <v>633721.16999999993</v>
      </c>
      <c r="Y61" s="14">
        <v>786.5</v>
      </c>
      <c r="Z61" s="14"/>
      <c r="AA61" s="14">
        <v>8458.5</v>
      </c>
      <c r="AB61" s="14"/>
      <c r="AC61" s="14">
        <v>24952.25</v>
      </c>
      <c r="AD61" s="14">
        <v>3300</v>
      </c>
      <c r="AE61" s="14"/>
      <c r="AF61" s="14"/>
      <c r="AG61" s="14"/>
      <c r="AH61" s="14">
        <v>5527.05</v>
      </c>
      <c r="AI61" s="14"/>
      <c r="AJ61" s="14"/>
      <c r="AK61" s="14"/>
      <c r="AL61" s="48">
        <f t="shared" si="2"/>
        <v>43024.3</v>
      </c>
      <c r="AM61" s="22">
        <v>81</v>
      </c>
      <c r="AN61" s="14">
        <v>290</v>
      </c>
      <c r="AO61" s="14">
        <v>-11514.46</v>
      </c>
      <c r="AP61" s="14"/>
      <c r="AQ61" s="14">
        <v>-1.47</v>
      </c>
      <c r="AR61" s="44">
        <v>1</v>
      </c>
      <c r="AU61" s="46"/>
      <c r="AV61" s="46"/>
    </row>
    <row r="62" spans="1:48" x14ac:dyDescent="0.25">
      <c r="A62" s="12">
        <v>5491</v>
      </c>
      <c r="B62" s="13" t="s">
        <v>192</v>
      </c>
      <c r="C62" s="14">
        <v>524642.36</v>
      </c>
      <c r="D62" s="14">
        <v>79922.92</v>
      </c>
      <c r="E62" s="14"/>
      <c r="F62" s="14"/>
      <c r="G62" s="14">
        <v>1283.8</v>
      </c>
      <c r="H62" s="14">
        <v>1192.25</v>
      </c>
      <c r="I62" s="14"/>
      <c r="J62" s="14">
        <v>6922.65</v>
      </c>
      <c r="K62" s="14">
        <v>512.5</v>
      </c>
      <c r="L62" s="14">
        <v>61030.85</v>
      </c>
      <c r="M62" s="3">
        <f t="shared" si="0"/>
        <v>675507.33000000007</v>
      </c>
      <c r="N62" s="14"/>
      <c r="O62" s="14"/>
      <c r="P62" s="14">
        <v>38464.35</v>
      </c>
      <c r="Q62" s="14">
        <v>276.17</v>
      </c>
      <c r="R62" s="14">
        <v>38770.6</v>
      </c>
      <c r="S62" s="14">
        <v>12.5</v>
      </c>
      <c r="T62" s="14"/>
      <c r="U62" s="14">
        <v>3950</v>
      </c>
      <c r="V62" s="14"/>
      <c r="W62" s="14"/>
      <c r="X62" s="2">
        <f t="shared" si="1"/>
        <v>756980.95000000007</v>
      </c>
      <c r="Y62" s="14"/>
      <c r="Z62" s="14"/>
      <c r="AA62" s="14">
        <v>45932</v>
      </c>
      <c r="AB62" s="14"/>
      <c r="AC62" s="14">
        <v>33602</v>
      </c>
      <c r="AD62" s="14"/>
      <c r="AE62" s="14"/>
      <c r="AF62" s="14"/>
      <c r="AG62" s="14"/>
      <c r="AH62" s="14">
        <v>10757.7</v>
      </c>
      <c r="AI62" s="14"/>
      <c r="AJ62" s="14"/>
      <c r="AK62" s="14"/>
      <c r="AL62" s="48">
        <f t="shared" si="2"/>
        <v>90291.7</v>
      </c>
      <c r="AM62" s="22">
        <v>76</v>
      </c>
      <c r="AN62" s="14">
        <v>382</v>
      </c>
      <c r="AO62" s="14">
        <v>-22207.75</v>
      </c>
      <c r="AP62" s="14"/>
      <c r="AQ62" s="14"/>
      <c r="AR62" s="44">
        <v>1</v>
      </c>
      <c r="AU62" s="46"/>
      <c r="AV62" s="46"/>
    </row>
    <row r="63" spans="1:48" x14ac:dyDescent="0.25">
      <c r="A63" s="12">
        <v>5492</v>
      </c>
      <c r="B63" s="13" t="s">
        <v>193</v>
      </c>
      <c r="C63" s="14">
        <v>4842348.8099999996</v>
      </c>
      <c r="D63" s="14">
        <v>6723048.5099999998</v>
      </c>
      <c r="E63" s="14"/>
      <c r="F63" s="14"/>
      <c r="G63" s="14">
        <v>176617.5</v>
      </c>
      <c r="H63" s="14">
        <v>1555.6</v>
      </c>
      <c r="I63" s="14">
        <v>1336.95</v>
      </c>
      <c r="J63" s="14">
        <v>29378.21</v>
      </c>
      <c r="K63" s="14">
        <v>33696.5</v>
      </c>
      <c r="L63" s="14">
        <v>64056.3</v>
      </c>
      <c r="M63" s="3">
        <f t="shared" si="0"/>
        <v>11872038.380000001</v>
      </c>
      <c r="N63" s="14">
        <v>2115.35</v>
      </c>
      <c r="O63" s="14"/>
      <c r="P63" s="14">
        <v>71912.55</v>
      </c>
      <c r="Q63" s="14">
        <v>18447.689999999999</v>
      </c>
      <c r="R63" s="14">
        <v>52626.3</v>
      </c>
      <c r="S63" s="14"/>
      <c r="T63" s="14"/>
      <c r="U63" s="14">
        <v>4560</v>
      </c>
      <c r="V63" s="14"/>
      <c r="W63" s="14"/>
      <c r="X63" s="2">
        <f t="shared" si="1"/>
        <v>12021700.270000001</v>
      </c>
      <c r="Y63" s="14">
        <v>10219</v>
      </c>
      <c r="Z63" s="14"/>
      <c r="AA63" s="14">
        <v>22282.5</v>
      </c>
      <c r="AB63" s="14"/>
      <c r="AC63" s="14">
        <v>30950</v>
      </c>
      <c r="AD63" s="14">
        <v>13019</v>
      </c>
      <c r="AE63" s="14"/>
      <c r="AF63" s="14"/>
      <c r="AG63" s="14"/>
      <c r="AH63" s="14"/>
      <c r="AI63" s="14"/>
      <c r="AJ63" s="14"/>
      <c r="AK63" s="14"/>
      <c r="AL63" s="48">
        <f t="shared" si="2"/>
        <v>76470.5</v>
      </c>
      <c r="AM63" s="22">
        <v>64</v>
      </c>
      <c r="AN63" s="14">
        <v>961</v>
      </c>
      <c r="AO63" s="14">
        <v>-66685.14</v>
      </c>
      <c r="AP63" s="14"/>
      <c r="AQ63" s="14">
        <v>-3614.81</v>
      </c>
      <c r="AR63" s="44">
        <v>0.3</v>
      </c>
      <c r="AU63" s="46"/>
      <c r="AV63" s="46"/>
    </row>
    <row r="64" spans="1:48" x14ac:dyDescent="0.25">
      <c r="A64" s="12">
        <v>5493</v>
      </c>
      <c r="B64" s="13" t="s">
        <v>194</v>
      </c>
      <c r="C64" s="14">
        <v>643340.51</v>
      </c>
      <c r="D64" s="14">
        <v>76523.83</v>
      </c>
      <c r="E64" s="14"/>
      <c r="F64" s="14"/>
      <c r="G64" s="14">
        <v>745.4</v>
      </c>
      <c r="H64" s="14">
        <v>578.15</v>
      </c>
      <c r="I64" s="14"/>
      <c r="J64" s="14">
        <v>19818.59</v>
      </c>
      <c r="K64" s="14">
        <v>134.5</v>
      </c>
      <c r="L64" s="14">
        <v>33696.35</v>
      </c>
      <c r="M64" s="3">
        <f t="shared" si="0"/>
        <v>774837.33</v>
      </c>
      <c r="N64" s="14">
        <v>60612.05</v>
      </c>
      <c r="O64" s="14">
        <v>1498.5</v>
      </c>
      <c r="P64" s="14">
        <v>8670.7000000000007</v>
      </c>
      <c r="Q64" s="14">
        <v>16684.09</v>
      </c>
      <c r="R64" s="14">
        <v>7291.65</v>
      </c>
      <c r="S64" s="14"/>
      <c r="T64" s="14"/>
      <c r="U64" s="14">
        <v>1300</v>
      </c>
      <c r="V64" s="14"/>
      <c r="W64" s="14"/>
      <c r="X64" s="2">
        <f t="shared" si="1"/>
        <v>870894.32</v>
      </c>
      <c r="Y64" s="14"/>
      <c r="Z64" s="14">
        <v>625</v>
      </c>
      <c r="AA64" s="14">
        <v>52823.05</v>
      </c>
      <c r="AB64" s="14"/>
      <c r="AC64" s="14">
        <v>16701.5</v>
      </c>
      <c r="AD64" s="14"/>
      <c r="AE64" s="14"/>
      <c r="AF64" s="14"/>
      <c r="AG64" s="14"/>
      <c r="AH64" s="14"/>
      <c r="AI64" s="14"/>
      <c r="AJ64" s="14"/>
      <c r="AK64" s="14"/>
      <c r="AL64" s="48">
        <f t="shared" si="2"/>
        <v>70149.55</v>
      </c>
      <c r="AM64" s="22">
        <v>73</v>
      </c>
      <c r="AN64" s="14">
        <v>375</v>
      </c>
      <c r="AO64" s="14">
        <v>-34819.839999999997</v>
      </c>
      <c r="AP64" s="14"/>
      <c r="AQ64" s="14">
        <v>-0.06</v>
      </c>
      <c r="AR64" s="44">
        <v>0.65</v>
      </c>
      <c r="AU64" s="46"/>
      <c r="AV64" s="46"/>
    </row>
    <row r="65" spans="1:48" x14ac:dyDescent="0.25">
      <c r="A65" s="12">
        <v>5494</v>
      </c>
      <c r="B65" s="13" t="s">
        <v>195</v>
      </c>
      <c r="C65" s="14">
        <v>2058172.15</v>
      </c>
      <c r="D65" s="14">
        <v>228517.26</v>
      </c>
      <c r="E65" s="14"/>
      <c r="F65" s="14"/>
      <c r="G65" s="14">
        <v>20598.95</v>
      </c>
      <c r="H65" s="14">
        <v>729</v>
      </c>
      <c r="I65" s="14"/>
      <c r="J65" s="14">
        <v>66522.87</v>
      </c>
      <c r="K65" s="14">
        <v>1608</v>
      </c>
      <c r="L65" s="14">
        <v>201935</v>
      </c>
      <c r="M65" s="3">
        <f t="shared" si="0"/>
        <v>2578083.2300000004</v>
      </c>
      <c r="N65" s="14">
        <v>20551.3</v>
      </c>
      <c r="O65" s="14"/>
      <c r="P65" s="14">
        <v>108103.55</v>
      </c>
      <c r="Q65" s="14">
        <v>24899.25</v>
      </c>
      <c r="R65" s="14">
        <v>49622.15</v>
      </c>
      <c r="S65" s="14">
        <v>50</v>
      </c>
      <c r="T65" s="14"/>
      <c r="U65" s="14">
        <v>5600</v>
      </c>
      <c r="V65" s="14"/>
      <c r="W65" s="14"/>
      <c r="X65" s="2">
        <f t="shared" si="1"/>
        <v>2786909.48</v>
      </c>
      <c r="Y65" s="14"/>
      <c r="Z65" s="14">
        <v>7060.56</v>
      </c>
      <c r="AA65" s="14">
        <v>147079.21</v>
      </c>
      <c r="AB65" s="14"/>
      <c r="AC65" s="14">
        <v>119422.18</v>
      </c>
      <c r="AD65" s="14"/>
      <c r="AE65" s="14">
        <v>5646</v>
      </c>
      <c r="AF65" s="14"/>
      <c r="AG65" s="14"/>
      <c r="AH65" s="14"/>
      <c r="AI65" s="14"/>
      <c r="AJ65" s="14"/>
      <c r="AK65" s="14"/>
      <c r="AL65" s="48">
        <f t="shared" si="2"/>
        <v>279207.94999999995</v>
      </c>
      <c r="AM65" s="22">
        <v>75</v>
      </c>
      <c r="AN65" s="14">
        <v>1124</v>
      </c>
      <c r="AO65" s="14">
        <v>-44589.77</v>
      </c>
      <c r="AP65" s="14"/>
      <c r="AQ65" s="14">
        <v>-119.89</v>
      </c>
      <c r="AR65" s="44">
        <v>1.05</v>
      </c>
      <c r="AU65" s="46"/>
      <c r="AV65" s="46"/>
    </row>
    <row r="66" spans="1:48" x14ac:dyDescent="0.25">
      <c r="A66" s="12">
        <v>5495</v>
      </c>
      <c r="B66" s="13" t="s">
        <v>196</v>
      </c>
      <c r="C66" s="14">
        <v>5550421.4000000004</v>
      </c>
      <c r="D66" s="14">
        <v>523518.61</v>
      </c>
      <c r="E66" s="14"/>
      <c r="F66" s="14"/>
      <c r="G66" s="14">
        <v>379595.75</v>
      </c>
      <c r="H66" s="14">
        <v>5207.25</v>
      </c>
      <c r="I66" s="14">
        <v>37075.300000000003</v>
      </c>
      <c r="J66" s="14">
        <v>256310.16</v>
      </c>
      <c r="K66" s="14">
        <v>62894.5</v>
      </c>
      <c r="L66" s="14">
        <v>467218</v>
      </c>
      <c r="M66" s="3">
        <f t="shared" si="0"/>
        <v>7282240.9700000007</v>
      </c>
      <c r="N66" s="14">
        <v>212709.05</v>
      </c>
      <c r="O66" s="14">
        <v>29810.1</v>
      </c>
      <c r="P66" s="14">
        <v>119362.4</v>
      </c>
      <c r="Q66" s="14">
        <v>61929.27</v>
      </c>
      <c r="R66" s="14">
        <v>177639.5</v>
      </c>
      <c r="S66" s="14">
        <v>530</v>
      </c>
      <c r="T66" s="14"/>
      <c r="U66" s="14">
        <v>11940</v>
      </c>
      <c r="V66" s="14"/>
      <c r="W66" s="14"/>
      <c r="X66" s="2">
        <f t="shared" si="1"/>
        <v>7896161.29</v>
      </c>
      <c r="Y66" s="14">
        <v>574440</v>
      </c>
      <c r="Z66" s="14"/>
      <c r="AA66" s="14">
        <v>84799</v>
      </c>
      <c r="AB66" s="14">
        <v>332173.2</v>
      </c>
      <c r="AC66" s="14">
        <v>245339.45</v>
      </c>
      <c r="AD66" s="14">
        <v>574235.15</v>
      </c>
      <c r="AE66" s="14"/>
      <c r="AF66" s="14"/>
      <c r="AG66" s="14">
        <v>18664.5</v>
      </c>
      <c r="AH66" s="14">
        <v>115639.05</v>
      </c>
      <c r="AI66" s="14"/>
      <c r="AJ66" s="14"/>
      <c r="AK66" s="14"/>
      <c r="AL66" s="48">
        <f t="shared" si="2"/>
        <v>1945290.3499999999</v>
      </c>
      <c r="AM66" s="22">
        <v>74</v>
      </c>
      <c r="AN66" s="14">
        <v>3241</v>
      </c>
      <c r="AO66" s="14">
        <v>-227948.38</v>
      </c>
      <c r="AP66" s="14"/>
      <c r="AQ66" s="14">
        <v>-210.08</v>
      </c>
      <c r="AR66" s="44">
        <v>1</v>
      </c>
      <c r="AU66" s="46"/>
      <c r="AV66" s="46"/>
    </row>
    <row r="67" spans="1:48" x14ac:dyDescent="0.25">
      <c r="A67" s="12">
        <v>5496</v>
      </c>
      <c r="B67" s="13" t="s">
        <v>197</v>
      </c>
      <c r="C67" s="14">
        <v>2999938.5</v>
      </c>
      <c r="D67" s="14">
        <v>293069.12</v>
      </c>
      <c r="E67" s="14"/>
      <c r="F67" s="14"/>
      <c r="G67" s="14">
        <f>439509.2-(240723)/2</f>
        <v>319147.7</v>
      </c>
      <c r="H67" s="14">
        <v>9801.2000000000007</v>
      </c>
      <c r="I67" s="14"/>
      <c r="J67" s="14">
        <v>52392.89</v>
      </c>
      <c r="K67" s="14">
        <v>14013.5</v>
      </c>
      <c r="L67" s="14">
        <v>286608.75</v>
      </c>
      <c r="M67" s="3">
        <f t="shared" si="0"/>
        <v>3974971.6600000006</v>
      </c>
      <c r="N67" s="14">
        <v>91874.9</v>
      </c>
      <c r="O67" s="14">
        <v>1162.2</v>
      </c>
      <c r="P67" s="14">
        <v>66635.8</v>
      </c>
      <c r="Q67" s="14">
        <v>746.66</v>
      </c>
      <c r="R67" s="14">
        <v>90069.8</v>
      </c>
      <c r="S67" s="14">
        <v>75</v>
      </c>
      <c r="T67" s="14"/>
      <c r="U67" s="14">
        <v>12550</v>
      </c>
      <c r="V67" s="14"/>
      <c r="W67" s="14"/>
      <c r="X67" s="2">
        <f t="shared" si="1"/>
        <v>4238086.0200000005</v>
      </c>
      <c r="Y67" s="14">
        <v>32227.599999999999</v>
      </c>
      <c r="Z67" s="14"/>
      <c r="AA67" s="14"/>
      <c r="AB67" s="14">
        <v>178549.1</v>
      </c>
      <c r="AC67" s="14">
        <v>118795.2</v>
      </c>
      <c r="AD67" s="14">
        <v>30543.599999999999</v>
      </c>
      <c r="AE67" s="14"/>
      <c r="AF67" s="14"/>
      <c r="AG67" s="14">
        <v>1354</v>
      </c>
      <c r="AH67" s="14">
        <v>47490.55</v>
      </c>
      <c r="AI67" s="14"/>
      <c r="AJ67" s="14"/>
      <c r="AK67" s="14"/>
      <c r="AL67" s="48">
        <f t="shared" si="2"/>
        <v>408960.05</v>
      </c>
      <c r="AM67" s="22">
        <v>71</v>
      </c>
      <c r="AN67" s="14">
        <v>1653</v>
      </c>
      <c r="AO67" s="14">
        <v>-55612.91</v>
      </c>
      <c r="AP67" s="14"/>
      <c r="AQ67" s="14">
        <v>-103.89</v>
      </c>
      <c r="AR67" s="44">
        <v>1</v>
      </c>
      <c r="AU67" s="46"/>
      <c r="AV67" s="46"/>
    </row>
    <row r="68" spans="1:48" x14ac:dyDescent="0.25">
      <c r="A68" s="12">
        <v>5497</v>
      </c>
      <c r="B68" s="13" t="s">
        <v>198</v>
      </c>
      <c r="C68" s="14">
        <f>1127934.03+27765</f>
        <v>1155699.03</v>
      </c>
      <c r="D68" s="14">
        <v>131112.88</v>
      </c>
      <c r="E68" s="14"/>
      <c r="F68" s="14"/>
      <c r="G68" s="14">
        <v>6536.55</v>
      </c>
      <c r="H68" s="14">
        <v>314.55</v>
      </c>
      <c r="I68" s="14"/>
      <c r="J68" s="14">
        <v>73052.28</v>
      </c>
      <c r="K68" s="14">
        <v>4836.5</v>
      </c>
      <c r="L68" s="14">
        <v>111842.7</v>
      </c>
      <c r="M68" s="3">
        <f t="shared" si="0"/>
        <v>1483394.4900000002</v>
      </c>
      <c r="N68" s="14">
        <v>249012.55</v>
      </c>
      <c r="O68" s="14">
        <v>15536</v>
      </c>
      <c r="P68" s="14">
        <v>34885.1</v>
      </c>
      <c r="Q68" s="14">
        <v>2770.66</v>
      </c>
      <c r="R68" s="14">
        <v>29457.9</v>
      </c>
      <c r="S68" s="14">
        <v>93.75</v>
      </c>
      <c r="T68" s="14"/>
      <c r="U68" s="14">
        <v>2175</v>
      </c>
      <c r="V68" s="14"/>
      <c r="W68" s="14"/>
      <c r="X68" s="2">
        <f t="shared" si="1"/>
        <v>1817325.4500000002</v>
      </c>
      <c r="Y68" s="14"/>
      <c r="Z68" s="14"/>
      <c r="AA68" s="14">
        <v>77590</v>
      </c>
      <c r="AB68" s="14"/>
      <c r="AC68" s="14">
        <v>94163.5</v>
      </c>
      <c r="AD68" s="14"/>
      <c r="AE68" s="14"/>
      <c r="AF68" s="14"/>
      <c r="AG68" s="14"/>
      <c r="AH68" s="14">
        <v>32524.95</v>
      </c>
      <c r="AI68" s="14"/>
      <c r="AJ68" s="14"/>
      <c r="AK68" s="14"/>
      <c r="AL68" s="48">
        <f t="shared" si="2"/>
        <v>204278.45</v>
      </c>
      <c r="AM68" s="22">
        <v>66</v>
      </c>
      <c r="AN68" s="14">
        <v>834</v>
      </c>
      <c r="AO68" s="14">
        <v>-19151.88</v>
      </c>
      <c r="AP68" s="14"/>
      <c r="AQ68" s="14">
        <v>-17.260000000000002</v>
      </c>
      <c r="AR68" s="44">
        <v>1</v>
      </c>
      <c r="AU68" s="46"/>
      <c r="AV68" s="46"/>
    </row>
    <row r="69" spans="1:48" x14ac:dyDescent="0.25">
      <c r="A69" s="12">
        <v>5498</v>
      </c>
      <c r="B69" s="13" t="s">
        <v>199</v>
      </c>
      <c r="C69" s="14">
        <v>3595743.91</v>
      </c>
      <c r="D69" s="14">
        <v>349405.81</v>
      </c>
      <c r="E69" s="14"/>
      <c r="F69" s="14"/>
      <c r="G69" s="14">
        <v>127347.5</v>
      </c>
      <c r="H69" s="14">
        <v>1025.1500000000001</v>
      </c>
      <c r="I69" s="14"/>
      <c r="J69" s="14">
        <v>205230.45</v>
      </c>
      <c r="K69" s="14">
        <v>18095</v>
      </c>
      <c r="L69" s="14">
        <v>358360.15</v>
      </c>
      <c r="M69" s="3">
        <f t="shared" si="0"/>
        <v>4655207.9700000007</v>
      </c>
      <c r="N69" s="14">
        <v>66079.600000000006</v>
      </c>
      <c r="O69" s="14">
        <v>80341.899999999994</v>
      </c>
      <c r="P69" s="14">
        <v>91284.4</v>
      </c>
      <c r="Q69" s="14">
        <v>4883.71</v>
      </c>
      <c r="R69" s="14">
        <v>70466.149999999994</v>
      </c>
      <c r="S69" s="14">
        <v>318.75</v>
      </c>
      <c r="T69" s="14"/>
      <c r="U69" s="14">
        <v>15335</v>
      </c>
      <c r="V69" s="14"/>
      <c r="W69" s="14"/>
      <c r="X69" s="2">
        <f t="shared" si="1"/>
        <v>4983917.4800000014</v>
      </c>
      <c r="Y69" s="14">
        <v>43282.5</v>
      </c>
      <c r="Z69" s="14"/>
      <c r="AA69" s="14">
        <v>213301.6</v>
      </c>
      <c r="AB69" s="14"/>
      <c r="AC69" s="14">
        <v>296319.90000000002</v>
      </c>
      <c r="AD69" s="14"/>
      <c r="AE69" s="14"/>
      <c r="AF69" s="14"/>
      <c r="AG69" s="14"/>
      <c r="AH69" s="14"/>
      <c r="AI69" s="14"/>
      <c r="AJ69" s="14"/>
      <c r="AK69" s="14"/>
      <c r="AL69" s="48">
        <f t="shared" si="2"/>
        <v>552904</v>
      </c>
      <c r="AM69" s="22">
        <v>64</v>
      </c>
      <c r="AN69" s="14">
        <v>2559</v>
      </c>
      <c r="AO69" s="14">
        <v>-45402.33</v>
      </c>
      <c r="AP69" s="14"/>
      <c r="AQ69" s="14">
        <v>-25.03</v>
      </c>
      <c r="AR69" s="44">
        <v>1</v>
      </c>
      <c r="AU69" s="46"/>
      <c r="AV69" s="46"/>
    </row>
    <row r="70" spans="1:48" x14ac:dyDescent="0.25">
      <c r="A70" s="12">
        <v>5499</v>
      </c>
      <c r="B70" s="13" t="s">
        <v>200</v>
      </c>
      <c r="C70" s="14">
        <v>1236059.24</v>
      </c>
      <c r="D70" s="14">
        <v>126475.77</v>
      </c>
      <c r="E70" s="14"/>
      <c r="F70" s="14"/>
      <c r="G70" s="14">
        <v>23460.75</v>
      </c>
      <c r="H70" s="14">
        <v>111.55</v>
      </c>
      <c r="I70" s="14"/>
      <c r="J70" s="14">
        <v>17401.21</v>
      </c>
      <c r="K70" s="14"/>
      <c r="L70" s="14">
        <v>84858.4</v>
      </c>
      <c r="M70" s="3">
        <f t="shared" si="0"/>
        <v>1488366.92</v>
      </c>
      <c r="N70" s="14">
        <v>15828.05</v>
      </c>
      <c r="O70" s="14">
        <v>6253.9</v>
      </c>
      <c r="P70" s="14">
        <v>46970</v>
      </c>
      <c r="Q70" s="14"/>
      <c r="R70" s="14">
        <v>57292.800000000003</v>
      </c>
      <c r="S70" s="14">
        <v>25</v>
      </c>
      <c r="T70" s="14"/>
      <c r="U70" s="14">
        <v>1250</v>
      </c>
      <c r="V70" s="14"/>
      <c r="W70" s="14"/>
      <c r="X70" s="2">
        <f t="shared" si="1"/>
        <v>1615986.67</v>
      </c>
      <c r="Y70" s="14">
        <v>20297.5</v>
      </c>
      <c r="Z70" s="14"/>
      <c r="AA70" s="14">
        <v>32580</v>
      </c>
      <c r="AB70" s="14"/>
      <c r="AC70" s="14">
        <v>32893</v>
      </c>
      <c r="AD70" s="14">
        <v>20297.5</v>
      </c>
      <c r="AE70" s="14"/>
      <c r="AF70" s="14"/>
      <c r="AG70" s="14"/>
      <c r="AH70" s="14"/>
      <c r="AI70" s="14"/>
      <c r="AJ70" s="14"/>
      <c r="AK70" s="14"/>
      <c r="AL70" s="48">
        <f t="shared" si="2"/>
        <v>106068</v>
      </c>
      <c r="AM70" s="22">
        <v>68.5</v>
      </c>
      <c r="AN70" s="14">
        <v>451</v>
      </c>
      <c r="AO70" s="14">
        <v>-2009.76</v>
      </c>
      <c r="AP70" s="14"/>
      <c r="AQ70" s="14">
        <v>-65.010000000000005</v>
      </c>
      <c r="AR70" s="44">
        <v>1</v>
      </c>
      <c r="AU70" s="46"/>
      <c r="AV70" s="46"/>
    </row>
    <row r="71" spans="1:48" x14ac:dyDescent="0.25">
      <c r="A71" s="12">
        <v>5500</v>
      </c>
      <c r="B71" s="13" t="s">
        <v>201</v>
      </c>
      <c r="C71" s="14">
        <v>394786.11</v>
      </c>
      <c r="D71" s="14">
        <v>84272.4</v>
      </c>
      <c r="E71" s="14"/>
      <c r="F71" s="14"/>
      <c r="G71" s="14">
        <v>6781.15</v>
      </c>
      <c r="H71" s="14">
        <v>119.65</v>
      </c>
      <c r="I71" s="14"/>
      <c r="J71" s="14">
        <v>5605.97</v>
      </c>
      <c r="K71" s="14">
        <v>324</v>
      </c>
      <c r="L71" s="14">
        <v>47328.15</v>
      </c>
      <c r="M71" s="3">
        <f t="shared" si="0"/>
        <v>539217.43000000005</v>
      </c>
      <c r="N71" s="14">
        <v>5291.4</v>
      </c>
      <c r="O71" s="14"/>
      <c r="P71" s="14">
        <v>25630</v>
      </c>
      <c r="Q71" s="14">
        <v>-9844.4500000000007</v>
      </c>
      <c r="R71" s="14">
        <v>13182.4</v>
      </c>
      <c r="S71" s="14"/>
      <c r="T71" s="14"/>
      <c r="U71" s="14">
        <v>1400</v>
      </c>
      <c r="V71" s="14"/>
      <c r="W71" s="14"/>
      <c r="X71" s="2">
        <f t="shared" si="1"/>
        <v>574876.78000000014</v>
      </c>
      <c r="Y71" s="14"/>
      <c r="Z71" s="14"/>
      <c r="AA71" s="14">
        <v>29383.5</v>
      </c>
      <c r="AB71" s="14"/>
      <c r="AC71" s="14">
        <v>23613.599999999999</v>
      </c>
      <c r="AD71" s="14"/>
      <c r="AE71" s="14"/>
      <c r="AF71" s="14"/>
      <c r="AG71" s="14"/>
      <c r="AH71" s="14"/>
      <c r="AI71" s="14"/>
      <c r="AJ71" s="14"/>
      <c r="AK71" s="14"/>
      <c r="AL71" s="48">
        <f t="shared" si="2"/>
        <v>52997.1</v>
      </c>
      <c r="AM71" s="22">
        <v>76</v>
      </c>
      <c r="AN71" s="14">
        <v>231</v>
      </c>
      <c r="AO71" s="14">
        <v>-7181.36</v>
      </c>
      <c r="AP71" s="14"/>
      <c r="AQ71" s="14"/>
      <c r="AR71" s="44">
        <v>1.2</v>
      </c>
      <c r="AU71" s="46"/>
      <c r="AV71" s="46"/>
    </row>
    <row r="72" spans="1:48" x14ac:dyDescent="0.25">
      <c r="A72" s="12">
        <v>5501</v>
      </c>
      <c r="B72" s="13" t="s">
        <v>202</v>
      </c>
      <c r="C72" s="14">
        <v>1916727.2</v>
      </c>
      <c r="D72" s="14">
        <v>333931.3</v>
      </c>
      <c r="E72" s="14"/>
      <c r="F72" s="14"/>
      <c r="G72" s="14">
        <v>20988.25</v>
      </c>
      <c r="H72" s="14">
        <v>375.9</v>
      </c>
      <c r="I72" s="14">
        <v>38905.75</v>
      </c>
      <c r="J72" s="14">
        <v>19937.98</v>
      </c>
      <c r="K72" s="14"/>
      <c r="L72" s="14">
        <v>178142.1</v>
      </c>
      <c r="M72" s="3">
        <f t="shared" ref="M72:M135" si="3">SUM(C72:L72)</f>
        <v>2509008.48</v>
      </c>
      <c r="N72" s="14">
        <v>8687.9</v>
      </c>
      <c r="O72" s="14"/>
      <c r="P72" s="14">
        <v>91097.5</v>
      </c>
      <c r="Q72" s="14">
        <v>8688.35</v>
      </c>
      <c r="R72" s="14">
        <v>120132.3</v>
      </c>
      <c r="S72" s="14">
        <v>93.75</v>
      </c>
      <c r="T72" s="14"/>
      <c r="U72" s="14">
        <v>3150</v>
      </c>
      <c r="V72" s="14"/>
      <c r="W72" s="14"/>
      <c r="X72" s="2">
        <f t="shared" ref="X72:X135" si="4">SUM(M72:W72)</f>
        <v>2740858.28</v>
      </c>
      <c r="Y72" s="14">
        <v>83995.8</v>
      </c>
      <c r="Z72" s="14">
        <v>15541</v>
      </c>
      <c r="AA72" s="14">
        <v>112521.60000000001</v>
      </c>
      <c r="AB72" s="14"/>
      <c r="AC72" s="14">
        <v>102438.3</v>
      </c>
      <c r="AD72" s="14">
        <v>105444</v>
      </c>
      <c r="AE72" s="14">
        <v>19652.099999999999</v>
      </c>
      <c r="AF72" s="14"/>
      <c r="AG72" s="14"/>
      <c r="AH72" s="14"/>
      <c r="AI72" s="14"/>
      <c r="AJ72" s="14"/>
      <c r="AK72" s="14"/>
      <c r="AL72" s="48">
        <f t="shared" ref="AL72:AL135" si="5">SUM(Y72:AK72)</f>
        <v>439592.8</v>
      </c>
      <c r="AM72" s="22">
        <v>70</v>
      </c>
      <c r="AN72" s="14">
        <v>925</v>
      </c>
      <c r="AO72" s="14">
        <v>-4391.01</v>
      </c>
      <c r="AP72" s="14"/>
      <c r="AQ72" s="14">
        <v>-1156.19</v>
      </c>
      <c r="AR72" s="44">
        <v>1</v>
      </c>
      <c r="AU72" s="46"/>
      <c r="AV72" s="46"/>
    </row>
    <row r="73" spans="1:48" x14ac:dyDescent="0.25">
      <c r="A73" s="12">
        <v>5503</v>
      </c>
      <c r="B73" s="13" t="s">
        <v>203</v>
      </c>
      <c r="C73" s="14">
        <v>2816380.79</v>
      </c>
      <c r="D73" s="14">
        <v>628854.18999999994</v>
      </c>
      <c r="E73" s="14"/>
      <c r="F73" s="14"/>
      <c r="G73" s="14">
        <v>375336.15</v>
      </c>
      <c r="H73" s="14">
        <v>5451.65</v>
      </c>
      <c r="I73" s="14"/>
      <c r="J73" s="14">
        <v>69844.820000000007</v>
      </c>
      <c r="K73" s="14">
        <v>-7424</v>
      </c>
      <c r="L73" s="14">
        <v>372305.5</v>
      </c>
      <c r="M73" s="3">
        <f t="shared" si="3"/>
        <v>4260749.0999999996</v>
      </c>
      <c r="N73" s="14">
        <v>56414.15</v>
      </c>
      <c r="O73" s="14">
        <v>312949.59999999998</v>
      </c>
      <c r="P73" s="14">
        <v>261495.4</v>
      </c>
      <c r="Q73" s="14">
        <v>13097.24</v>
      </c>
      <c r="R73" s="14">
        <v>26346.3</v>
      </c>
      <c r="S73" s="14"/>
      <c r="T73" s="14"/>
      <c r="U73" s="14">
        <v>5680</v>
      </c>
      <c r="V73" s="14"/>
      <c r="W73" s="14"/>
      <c r="X73" s="2">
        <f t="shared" si="4"/>
        <v>4936731.79</v>
      </c>
      <c r="Y73" s="14">
        <v>52471.8</v>
      </c>
      <c r="Z73" s="14"/>
      <c r="AA73" s="14">
        <v>186079.2</v>
      </c>
      <c r="AB73" s="14"/>
      <c r="AC73" s="14">
        <v>79120</v>
      </c>
      <c r="AD73" s="14">
        <v>166885.95000000001</v>
      </c>
      <c r="AE73" s="14"/>
      <c r="AF73" s="14"/>
      <c r="AG73" s="14"/>
      <c r="AH73" s="14"/>
      <c r="AI73" s="14"/>
      <c r="AJ73" s="14"/>
      <c r="AK73" s="14"/>
      <c r="AL73" s="48">
        <f t="shared" si="5"/>
        <v>484556.95</v>
      </c>
      <c r="AM73" s="22">
        <v>67</v>
      </c>
      <c r="AN73" s="14">
        <v>1216</v>
      </c>
      <c r="AO73" s="14">
        <v>-99215.2</v>
      </c>
      <c r="AP73" s="14"/>
      <c r="AQ73" s="14">
        <v>-157.32</v>
      </c>
      <c r="AR73" s="44">
        <v>1.2</v>
      </c>
      <c r="AU73" s="46"/>
      <c r="AV73" s="46"/>
    </row>
    <row r="74" spans="1:48" x14ac:dyDescent="0.25">
      <c r="A74" s="12">
        <v>5511</v>
      </c>
      <c r="B74" s="13" t="s">
        <v>204</v>
      </c>
      <c r="C74" s="14">
        <v>1926362.38</v>
      </c>
      <c r="D74" s="14">
        <v>243289.19</v>
      </c>
      <c r="E74" s="14"/>
      <c r="F74" s="14"/>
      <c r="G74" s="14">
        <v>504122.15</v>
      </c>
      <c r="H74" s="14">
        <v>2225.6999999999998</v>
      </c>
      <c r="I74" s="14"/>
      <c r="J74" s="14">
        <v>44336.11</v>
      </c>
      <c r="K74" s="14">
        <v>546</v>
      </c>
      <c r="L74" s="14">
        <v>207996.75</v>
      </c>
      <c r="M74" s="3">
        <f t="shared" si="3"/>
        <v>2928878.28</v>
      </c>
      <c r="N74" s="14">
        <v>9736.75</v>
      </c>
      <c r="O74" s="14">
        <v>521.70000000000005</v>
      </c>
      <c r="P74" s="14">
        <v>72270</v>
      </c>
      <c r="Q74" s="14">
        <v>6084.91</v>
      </c>
      <c r="R74" s="14">
        <v>74423.850000000006</v>
      </c>
      <c r="S74" s="14"/>
      <c r="T74" s="14">
        <v>1240</v>
      </c>
      <c r="U74" s="14">
        <v>10725</v>
      </c>
      <c r="V74" s="14"/>
      <c r="W74" s="14"/>
      <c r="X74" s="2">
        <f t="shared" si="4"/>
        <v>3103880.49</v>
      </c>
      <c r="Y74" s="14">
        <v>28204.2</v>
      </c>
      <c r="Z74" s="14"/>
      <c r="AA74" s="14">
        <v>255944.8</v>
      </c>
      <c r="AB74" s="14"/>
      <c r="AC74" s="14">
        <v>110233.05</v>
      </c>
      <c r="AD74" s="14">
        <v>55323.3</v>
      </c>
      <c r="AE74" s="14"/>
      <c r="AF74" s="14"/>
      <c r="AG74" s="14"/>
      <c r="AH74" s="14">
        <v>23530.55</v>
      </c>
      <c r="AI74" s="14"/>
      <c r="AJ74" s="14"/>
      <c r="AK74" s="14"/>
      <c r="AL74" s="48">
        <f t="shared" si="5"/>
        <v>473235.89999999997</v>
      </c>
      <c r="AM74" s="22">
        <v>70</v>
      </c>
      <c r="AN74" s="14">
        <v>1031</v>
      </c>
      <c r="AO74" s="14">
        <v>-35277.120000000003</v>
      </c>
      <c r="AP74" s="14"/>
      <c r="AQ74" s="14">
        <v>-103.19</v>
      </c>
      <c r="AR74" s="44">
        <v>1</v>
      </c>
      <c r="AU74" s="46"/>
      <c r="AV74" s="46"/>
    </row>
    <row r="75" spans="1:48" x14ac:dyDescent="0.25">
      <c r="A75" s="12">
        <v>5512</v>
      </c>
      <c r="B75" s="13" t="s">
        <v>205</v>
      </c>
      <c r="C75" s="14">
        <v>1997391.97</v>
      </c>
      <c r="D75" s="14">
        <v>283308.99</v>
      </c>
      <c r="E75" s="14"/>
      <c r="F75" s="14"/>
      <c r="G75" s="14">
        <v>74221.55</v>
      </c>
      <c r="H75" s="14">
        <v>3492.15</v>
      </c>
      <c r="I75" s="14"/>
      <c r="J75" s="14">
        <v>44343.91</v>
      </c>
      <c r="K75" s="14">
        <v>6407.5</v>
      </c>
      <c r="L75" s="14">
        <v>219276.79999999999</v>
      </c>
      <c r="M75" s="3">
        <f t="shared" si="3"/>
        <v>2628442.8699999996</v>
      </c>
      <c r="N75" s="14">
        <v>13337.05</v>
      </c>
      <c r="O75" s="14">
        <v>99852.3</v>
      </c>
      <c r="P75" s="14">
        <v>54182.65</v>
      </c>
      <c r="Q75" s="14">
        <v>5209.9799999999996</v>
      </c>
      <c r="R75" s="14">
        <v>-2990.2</v>
      </c>
      <c r="S75" s="14">
        <v>3075.2</v>
      </c>
      <c r="T75" s="14"/>
      <c r="U75" s="14">
        <v>8850</v>
      </c>
      <c r="V75" s="14"/>
      <c r="W75" s="14"/>
      <c r="X75" s="2">
        <f t="shared" si="4"/>
        <v>2809959.8499999992</v>
      </c>
      <c r="Y75" s="14"/>
      <c r="Z75" s="14"/>
      <c r="AA75" s="14">
        <v>248042.8</v>
      </c>
      <c r="AB75" s="14"/>
      <c r="AC75" s="14">
        <v>145144.29999999999</v>
      </c>
      <c r="AD75" s="14"/>
      <c r="AE75" s="14"/>
      <c r="AF75" s="14"/>
      <c r="AG75" s="14"/>
      <c r="AH75" s="14"/>
      <c r="AI75" s="14"/>
      <c r="AJ75" s="14"/>
      <c r="AK75" s="14"/>
      <c r="AL75" s="48">
        <f t="shared" si="5"/>
        <v>393187.1</v>
      </c>
      <c r="AM75" s="22">
        <v>79</v>
      </c>
      <c r="AN75" s="14">
        <v>1148</v>
      </c>
      <c r="AO75" s="14">
        <v>-99396.7</v>
      </c>
      <c r="AP75" s="14"/>
      <c r="AQ75" s="14"/>
      <c r="AR75" s="44">
        <v>1</v>
      </c>
      <c r="AU75" s="46"/>
      <c r="AV75" s="46"/>
    </row>
    <row r="76" spans="1:48" x14ac:dyDescent="0.25">
      <c r="A76" s="12">
        <v>5513</v>
      </c>
      <c r="B76" s="13" t="s">
        <v>206</v>
      </c>
      <c r="C76" s="14">
        <v>786040.68</v>
      </c>
      <c r="D76" s="14">
        <v>81315.06</v>
      </c>
      <c r="E76" s="14"/>
      <c r="F76" s="14"/>
      <c r="G76" s="14">
        <v>575239.75</v>
      </c>
      <c r="H76" s="14">
        <v>-1494.6</v>
      </c>
      <c r="I76" s="14"/>
      <c r="J76" s="14">
        <v>53261.66</v>
      </c>
      <c r="K76" s="14">
        <v>1908.5</v>
      </c>
      <c r="L76" s="14">
        <v>47686</v>
      </c>
      <c r="M76" s="3">
        <f t="shared" si="3"/>
        <v>1543957.0499999998</v>
      </c>
      <c r="N76" s="14">
        <v>33909.300000000003</v>
      </c>
      <c r="O76" s="14"/>
      <c r="P76" s="14">
        <v>87007.15</v>
      </c>
      <c r="Q76" s="14">
        <v>3392.88</v>
      </c>
      <c r="R76" s="14">
        <v>41415.949999999997</v>
      </c>
      <c r="S76" s="14"/>
      <c r="T76" s="14">
        <v>1352</v>
      </c>
      <c r="U76" s="14">
        <v>4162.5</v>
      </c>
      <c r="V76" s="14"/>
      <c r="W76" s="14"/>
      <c r="X76" s="2">
        <f t="shared" si="4"/>
        <v>1715196.8299999996</v>
      </c>
      <c r="Y76" s="14">
        <v>35322.6</v>
      </c>
      <c r="Z76" s="14"/>
      <c r="AA76" s="14">
        <v>77311</v>
      </c>
      <c r="AB76" s="14"/>
      <c r="AC76" s="14">
        <v>35098.25</v>
      </c>
      <c r="AD76" s="14">
        <v>29801.9</v>
      </c>
      <c r="AE76" s="14"/>
      <c r="AF76" s="14"/>
      <c r="AG76" s="14"/>
      <c r="AH76" s="14"/>
      <c r="AI76" s="14"/>
      <c r="AJ76" s="14"/>
      <c r="AK76" s="14"/>
      <c r="AL76" s="48">
        <f t="shared" si="5"/>
        <v>177533.75</v>
      </c>
      <c r="AM76" s="22">
        <v>66</v>
      </c>
      <c r="AN76" s="14">
        <v>471</v>
      </c>
      <c r="AO76" s="14">
        <v>-9420.77</v>
      </c>
      <c r="AP76" s="14"/>
      <c r="AQ76" s="14">
        <v>-0.04</v>
      </c>
      <c r="AR76" s="44">
        <v>0.5</v>
      </c>
      <c r="AU76" s="46"/>
      <c r="AV76" s="46"/>
    </row>
    <row r="77" spans="1:48" x14ac:dyDescent="0.25">
      <c r="A77" s="12">
        <v>5514</v>
      </c>
      <c r="B77" s="13" t="s">
        <v>207</v>
      </c>
      <c r="C77" s="14">
        <v>2005274.85</v>
      </c>
      <c r="D77" s="14">
        <v>269939.65000000002</v>
      </c>
      <c r="E77" s="14"/>
      <c r="F77" s="14"/>
      <c r="G77" s="14">
        <v>31779.4</v>
      </c>
      <c r="H77" s="14">
        <v>5097.1000000000004</v>
      </c>
      <c r="I77" s="14">
        <v>34926.15</v>
      </c>
      <c r="J77" s="14">
        <v>94068.75</v>
      </c>
      <c r="K77" s="14">
        <v>5310</v>
      </c>
      <c r="L77" s="14">
        <v>140524.65</v>
      </c>
      <c r="M77" s="3">
        <f t="shared" si="3"/>
        <v>2586920.5499999998</v>
      </c>
      <c r="N77" s="14">
        <v>10310.85</v>
      </c>
      <c r="O77" s="14">
        <v>143775.29999999999</v>
      </c>
      <c r="P77" s="14">
        <v>78589.55</v>
      </c>
      <c r="Q77" s="14">
        <v>14463.76</v>
      </c>
      <c r="R77" s="14">
        <v>73168.45</v>
      </c>
      <c r="S77" s="14"/>
      <c r="T77" s="14"/>
      <c r="U77" s="14">
        <v>8800</v>
      </c>
      <c r="V77" s="14"/>
      <c r="W77" s="14"/>
      <c r="X77" s="2">
        <f t="shared" si="4"/>
        <v>2916028.4599999995</v>
      </c>
      <c r="Y77" s="14"/>
      <c r="Z77" s="14"/>
      <c r="AA77" s="14">
        <v>249284.39</v>
      </c>
      <c r="AB77" s="14"/>
      <c r="AC77" s="14">
        <v>100465.25</v>
      </c>
      <c r="AD77" s="14">
        <v>951.2</v>
      </c>
      <c r="AE77" s="14"/>
      <c r="AF77" s="14"/>
      <c r="AG77" s="14"/>
      <c r="AH77" s="14">
        <v>22196.1</v>
      </c>
      <c r="AI77" s="14"/>
      <c r="AJ77" s="14"/>
      <c r="AK77" s="14"/>
      <c r="AL77" s="48">
        <f t="shared" si="5"/>
        <v>372896.94</v>
      </c>
      <c r="AM77" s="22">
        <v>69</v>
      </c>
      <c r="AN77" s="14">
        <v>1220</v>
      </c>
      <c r="AO77" s="14">
        <v>-15505.55</v>
      </c>
      <c r="AP77" s="14"/>
      <c r="AQ77" s="14">
        <v>-182.66</v>
      </c>
      <c r="AR77" s="44">
        <v>0.7</v>
      </c>
      <c r="AU77" s="46"/>
      <c r="AV77" s="46"/>
    </row>
    <row r="78" spans="1:48" x14ac:dyDescent="0.25">
      <c r="A78" s="12">
        <v>5515</v>
      </c>
      <c r="B78" s="13" t="s">
        <v>208</v>
      </c>
      <c r="C78" s="14">
        <v>1534217.35</v>
      </c>
      <c r="D78" s="14">
        <v>125736.08</v>
      </c>
      <c r="E78" s="14"/>
      <c r="F78" s="14"/>
      <c r="G78" s="14">
        <v>12151.75</v>
      </c>
      <c r="H78" s="14">
        <v>127.45</v>
      </c>
      <c r="I78" s="14"/>
      <c r="J78" s="14">
        <v>-720.07</v>
      </c>
      <c r="K78" s="14">
        <v>2895</v>
      </c>
      <c r="L78" s="14">
        <v>132719.85</v>
      </c>
      <c r="M78" s="3">
        <f t="shared" si="3"/>
        <v>1807127.4100000001</v>
      </c>
      <c r="N78" s="14">
        <v>13053.7</v>
      </c>
      <c r="O78" s="14"/>
      <c r="P78" s="14">
        <v>63431.5</v>
      </c>
      <c r="Q78" s="14"/>
      <c r="R78" s="14">
        <v>60106.3</v>
      </c>
      <c r="S78" s="14"/>
      <c r="T78" s="14">
        <v>712</v>
      </c>
      <c r="U78" s="14">
        <v>5220</v>
      </c>
      <c r="V78" s="14"/>
      <c r="W78" s="14"/>
      <c r="X78" s="2">
        <f t="shared" si="4"/>
        <v>1949650.9100000001</v>
      </c>
      <c r="Y78" s="14">
        <v>103075.2</v>
      </c>
      <c r="Z78" s="14"/>
      <c r="AA78" s="14">
        <v>206228.45</v>
      </c>
      <c r="AB78" s="14"/>
      <c r="AC78" s="14">
        <v>74645</v>
      </c>
      <c r="AD78" s="14">
        <v>27730.35</v>
      </c>
      <c r="AE78" s="14"/>
      <c r="AF78" s="14"/>
      <c r="AG78" s="14"/>
      <c r="AH78" s="14"/>
      <c r="AI78" s="14"/>
      <c r="AJ78" s="14"/>
      <c r="AK78" s="14"/>
      <c r="AL78" s="48">
        <f t="shared" si="5"/>
        <v>411679</v>
      </c>
      <c r="AM78" s="22">
        <v>73</v>
      </c>
      <c r="AN78" s="14">
        <v>797</v>
      </c>
      <c r="AO78" s="14">
        <v>-29915.96</v>
      </c>
      <c r="AP78" s="14"/>
      <c r="AQ78" s="14">
        <v>-1.1599999999999999</v>
      </c>
      <c r="AR78" s="44">
        <v>1</v>
      </c>
      <c r="AU78" s="46"/>
      <c r="AV78" s="46"/>
    </row>
    <row r="79" spans="1:48" x14ac:dyDescent="0.25">
      <c r="A79" s="12">
        <v>5516</v>
      </c>
      <c r="B79" s="13" t="s">
        <v>209</v>
      </c>
      <c r="C79" s="14">
        <v>5247407.2</v>
      </c>
      <c r="D79" s="14">
        <v>821280.54</v>
      </c>
      <c r="E79" s="14"/>
      <c r="F79" s="14"/>
      <c r="G79" s="14">
        <v>307788.2</v>
      </c>
      <c r="H79" s="14">
        <v>2736.7</v>
      </c>
      <c r="I79" s="14">
        <v>-1045.04</v>
      </c>
      <c r="J79" s="14">
        <v>153035.09</v>
      </c>
      <c r="K79" s="14">
        <v>31318.5</v>
      </c>
      <c r="L79" s="14">
        <v>532833.85</v>
      </c>
      <c r="M79" s="3">
        <f t="shared" si="3"/>
        <v>7095355.04</v>
      </c>
      <c r="N79" s="14">
        <v>101673.55</v>
      </c>
      <c r="O79" s="14">
        <v>242792.2</v>
      </c>
      <c r="P79" s="14">
        <v>162609.29999999999</v>
      </c>
      <c r="Q79" s="14">
        <v>38974.71</v>
      </c>
      <c r="R79" s="14">
        <v>177644</v>
      </c>
      <c r="S79" s="14">
        <v>387.5</v>
      </c>
      <c r="T79" s="14"/>
      <c r="U79" s="14">
        <v>14100</v>
      </c>
      <c r="V79" s="14"/>
      <c r="W79" s="14"/>
      <c r="X79" s="2">
        <f t="shared" si="4"/>
        <v>7833536.2999999998</v>
      </c>
      <c r="Y79" s="14">
        <v>51970.5</v>
      </c>
      <c r="Z79" s="14"/>
      <c r="AA79" s="14">
        <v>520320.95</v>
      </c>
      <c r="AB79" s="14"/>
      <c r="AC79" s="14">
        <v>272608.45</v>
      </c>
      <c r="AD79" s="14">
        <v>37203.4</v>
      </c>
      <c r="AE79" s="14"/>
      <c r="AF79" s="14"/>
      <c r="AG79" s="14"/>
      <c r="AH79" s="14">
        <v>73688.7</v>
      </c>
      <c r="AI79" s="14"/>
      <c r="AJ79" s="14"/>
      <c r="AK79" s="14"/>
      <c r="AL79" s="48">
        <f t="shared" si="5"/>
        <v>955791.99999999988</v>
      </c>
      <c r="AM79" s="22">
        <v>67</v>
      </c>
      <c r="AN79" s="14">
        <v>2755</v>
      </c>
      <c r="AO79" s="14">
        <v>-101970.17</v>
      </c>
      <c r="AP79" s="14"/>
      <c r="AQ79" s="14">
        <v>-1702.72</v>
      </c>
      <c r="AR79" s="44">
        <v>1</v>
      </c>
      <c r="AU79" s="46"/>
      <c r="AV79" s="46"/>
    </row>
    <row r="80" spans="1:48" x14ac:dyDescent="0.25">
      <c r="A80" s="12">
        <v>5518</v>
      </c>
      <c r="B80" s="13" t="s">
        <v>210</v>
      </c>
      <c r="C80" s="14">
        <v>9848242.4000000004</v>
      </c>
      <c r="D80" s="14">
        <v>1069824.78</v>
      </c>
      <c r="E80" s="14"/>
      <c r="F80" s="14"/>
      <c r="G80" s="14">
        <v>1374628.7</v>
      </c>
      <c r="H80" s="14">
        <v>94469.9</v>
      </c>
      <c r="I80" s="14"/>
      <c r="J80" s="14">
        <v>236025.66</v>
      </c>
      <c r="K80" s="14">
        <v>47213</v>
      </c>
      <c r="L80" s="14">
        <v>913665.9</v>
      </c>
      <c r="M80" s="3">
        <f t="shared" si="3"/>
        <v>13584070.34</v>
      </c>
      <c r="N80" s="14">
        <v>189303.95</v>
      </c>
      <c r="O80" s="14">
        <v>65342.7</v>
      </c>
      <c r="P80" s="14">
        <v>418221.4</v>
      </c>
      <c r="Q80" s="14">
        <v>101191.52</v>
      </c>
      <c r="R80" s="14">
        <v>96603.65</v>
      </c>
      <c r="S80" s="14">
        <v>1181.25</v>
      </c>
      <c r="T80" s="14">
        <v>3202</v>
      </c>
      <c r="U80" s="14">
        <v>18900</v>
      </c>
      <c r="V80" s="14"/>
      <c r="W80" s="14">
        <v>1324.4</v>
      </c>
      <c r="X80" s="2">
        <f t="shared" si="4"/>
        <v>14479341.209999999</v>
      </c>
      <c r="Y80" s="14">
        <v>100151.75</v>
      </c>
      <c r="Z80" s="14"/>
      <c r="AA80" s="14">
        <v>980746.2</v>
      </c>
      <c r="AB80" s="14"/>
      <c r="AC80" s="14">
        <v>331453.40000000002</v>
      </c>
      <c r="AD80" s="14">
        <v>48428.4</v>
      </c>
      <c r="AE80" s="14"/>
      <c r="AF80" s="14"/>
      <c r="AG80" s="14"/>
      <c r="AH80" s="14"/>
      <c r="AI80" s="14"/>
      <c r="AJ80" s="14"/>
      <c r="AK80" s="14"/>
      <c r="AL80" s="48">
        <f t="shared" si="5"/>
        <v>1460779.75</v>
      </c>
      <c r="AM80" s="22">
        <v>74</v>
      </c>
      <c r="AN80" s="14">
        <v>5606</v>
      </c>
      <c r="AO80" s="14">
        <v>-259839.31</v>
      </c>
      <c r="AP80" s="14"/>
      <c r="AQ80" s="14">
        <v>-108.48</v>
      </c>
      <c r="AR80" s="44">
        <v>1</v>
      </c>
      <c r="AU80" s="46"/>
      <c r="AV80" s="46"/>
    </row>
    <row r="81" spans="1:48" x14ac:dyDescent="0.25">
      <c r="A81" s="12">
        <v>5520</v>
      </c>
      <c r="B81" s="13" t="s">
        <v>211</v>
      </c>
      <c r="C81" s="14">
        <v>1610043.62</v>
      </c>
      <c r="D81" s="14">
        <v>243147.81</v>
      </c>
      <c r="E81" s="14"/>
      <c r="F81" s="14"/>
      <c r="G81" s="14">
        <v>51539.25</v>
      </c>
      <c r="H81" s="14">
        <v>1345.4</v>
      </c>
      <c r="I81" s="14"/>
      <c r="J81" s="14">
        <v>11431.8</v>
      </c>
      <c r="K81" s="14">
        <v>1478</v>
      </c>
      <c r="L81" s="14">
        <v>164102.39999999999</v>
      </c>
      <c r="M81" s="3">
        <f t="shared" si="3"/>
        <v>2083088.28</v>
      </c>
      <c r="N81" s="14">
        <v>8440.5</v>
      </c>
      <c r="O81" s="14">
        <v>3712.8</v>
      </c>
      <c r="P81" s="14">
        <v>52706.85</v>
      </c>
      <c r="Q81" s="14">
        <v>1445.03</v>
      </c>
      <c r="R81" s="14">
        <v>27426.55</v>
      </c>
      <c r="S81" s="14">
        <v>62.5</v>
      </c>
      <c r="T81" s="14">
        <v>924</v>
      </c>
      <c r="U81" s="14">
        <v>6850</v>
      </c>
      <c r="V81" s="14"/>
      <c r="W81" s="14"/>
      <c r="X81" s="2">
        <f t="shared" si="4"/>
        <v>2184656.5099999998</v>
      </c>
      <c r="Y81" s="14">
        <v>34916.65</v>
      </c>
      <c r="Z81" s="14">
        <v>61890</v>
      </c>
      <c r="AA81" s="14">
        <v>89293.45</v>
      </c>
      <c r="AB81" s="14"/>
      <c r="AC81" s="14">
        <v>36485.35</v>
      </c>
      <c r="AD81" s="14">
        <v>52382.45</v>
      </c>
      <c r="AE81" s="14">
        <v>29528.9</v>
      </c>
      <c r="AF81" s="14"/>
      <c r="AG81" s="14"/>
      <c r="AH81" s="14"/>
      <c r="AI81" s="14"/>
      <c r="AJ81" s="14"/>
      <c r="AK81" s="14"/>
      <c r="AL81" s="48">
        <f t="shared" si="5"/>
        <v>304496.8</v>
      </c>
      <c r="AM81" s="22">
        <v>73</v>
      </c>
      <c r="AN81" s="14">
        <v>945</v>
      </c>
      <c r="AO81" s="14">
        <v>-38914.35</v>
      </c>
      <c r="AP81" s="14"/>
      <c r="AQ81" s="14">
        <v>-43.65</v>
      </c>
      <c r="AR81" s="44">
        <v>1</v>
      </c>
      <c r="AU81" s="46"/>
      <c r="AV81" s="46"/>
    </row>
    <row r="82" spans="1:48" x14ac:dyDescent="0.25">
      <c r="A82" s="12">
        <v>5521</v>
      </c>
      <c r="B82" s="13" t="s">
        <v>212</v>
      </c>
      <c r="C82" s="14">
        <v>2149210.33</v>
      </c>
      <c r="D82" s="14">
        <v>199439.45</v>
      </c>
      <c r="E82" s="14"/>
      <c r="F82" s="14"/>
      <c r="G82" s="14">
        <f>452858.6-(262075)/2</f>
        <v>321821.09999999998</v>
      </c>
      <c r="H82" s="14">
        <v>322.7</v>
      </c>
      <c r="I82" s="14"/>
      <c r="J82" s="14">
        <v>79493.789999999994</v>
      </c>
      <c r="K82" s="14">
        <v>-8434</v>
      </c>
      <c r="L82" s="14">
        <v>221948.1</v>
      </c>
      <c r="M82" s="3">
        <f t="shared" si="3"/>
        <v>2963801.4700000007</v>
      </c>
      <c r="N82" s="14">
        <v>60233.95</v>
      </c>
      <c r="O82" s="14"/>
      <c r="P82" s="14">
        <v>41483.5</v>
      </c>
      <c r="Q82" s="14">
        <v>17952.599999999999</v>
      </c>
      <c r="R82" s="14">
        <v>5113.95</v>
      </c>
      <c r="S82" s="14">
        <v>62.5</v>
      </c>
      <c r="T82" s="14"/>
      <c r="U82" s="14">
        <v>4700</v>
      </c>
      <c r="V82" s="14"/>
      <c r="W82" s="14"/>
      <c r="X82" s="2">
        <f t="shared" si="4"/>
        <v>3093347.9700000011</v>
      </c>
      <c r="Y82" s="14">
        <v>60327.6</v>
      </c>
      <c r="Z82" s="14">
        <v>922</v>
      </c>
      <c r="AA82" s="14">
        <v>315456.78000000003</v>
      </c>
      <c r="AB82" s="14"/>
      <c r="AC82" s="14">
        <v>166182.18</v>
      </c>
      <c r="AD82" s="14"/>
      <c r="AE82" s="14"/>
      <c r="AF82" s="14"/>
      <c r="AG82" s="14"/>
      <c r="AH82" s="14">
        <v>28283.9</v>
      </c>
      <c r="AI82" s="14"/>
      <c r="AJ82" s="14"/>
      <c r="AK82" s="14"/>
      <c r="AL82" s="48">
        <f t="shared" si="5"/>
        <v>571172.46000000008</v>
      </c>
      <c r="AM82" s="22">
        <v>73</v>
      </c>
      <c r="AN82" s="14">
        <v>1146</v>
      </c>
      <c r="AO82" s="14">
        <v>-22847.43</v>
      </c>
      <c r="AP82" s="14"/>
      <c r="AQ82" s="14">
        <v>-15.9</v>
      </c>
      <c r="AR82" s="44">
        <v>1</v>
      </c>
      <c r="AU82" s="46"/>
      <c r="AV82" s="46"/>
    </row>
    <row r="83" spans="1:48" x14ac:dyDescent="0.25">
      <c r="A83" s="12">
        <v>5522</v>
      </c>
      <c r="B83" s="13" t="s">
        <v>213</v>
      </c>
      <c r="C83" s="14">
        <v>1050507.31</v>
      </c>
      <c r="D83" s="14">
        <v>156628.98000000001</v>
      </c>
      <c r="E83" s="14"/>
      <c r="F83" s="14"/>
      <c r="G83" s="14">
        <v>42204.45</v>
      </c>
      <c r="H83" s="14">
        <v>-3.6500000000000101</v>
      </c>
      <c r="I83" s="14"/>
      <c r="J83" s="14">
        <v>25734.65</v>
      </c>
      <c r="K83" s="14">
        <v>916</v>
      </c>
      <c r="L83" s="14">
        <v>108244.7</v>
      </c>
      <c r="M83" s="3">
        <f t="shared" si="3"/>
        <v>1384232.44</v>
      </c>
      <c r="N83" s="14">
        <v>7678.25</v>
      </c>
      <c r="O83" s="14">
        <v>1134.5</v>
      </c>
      <c r="P83" s="14">
        <v>54952.55</v>
      </c>
      <c r="Q83" s="14">
        <v>26498.74</v>
      </c>
      <c r="R83" s="14">
        <v>12615.65</v>
      </c>
      <c r="S83" s="14">
        <v>1112.5</v>
      </c>
      <c r="T83" s="14"/>
      <c r="U83" s="14">
        <v>3150</v>
      </c>
      <c r="V83" s="14"/>
      <c r="W83" s="14"/>
      <c r="X83" s="2">
        <f t="shared" si="4"/>
        <v>1491374.63</v>
      </c>
      <c r="Y83" s="14">
        <v>34000</v>
      </c>
      <c r="Z83" s="14"/>
      <c r="AA83" s="14">
        <v>63090</v>
      </c>
      <c r="AB83" s="14"/>
      <c r="AC83" s="14"/>
      <c r="AD83" s="14">
        <v>3250</v>
      </c>
      <c r="AE83" s="14"/>
      <c r="AF83" s="14"/>
      <c r="AG83" s="14"/>
      <c r="AH83" s="14"/>
      <c r="AI83" s="14"/>
      <c r="AJ83" s="14"/>
      <c r="AK83" s="14"/>
      <c r="AL83" s="48">
        <f t="shared" si="5"/>
        <v>100340</v>
      </c>
      <c r="AM83" s="22">
        <v>75</v>
      </c>
      <c r="AN83" s="14">
        <v>635</v>
      </c>
      <c r="AO83" s="14">
        <v>-44334.29</v>
      </c>
      <c r="AP83" s="14"/>
      <c r="AQ83" s="14">
        <v>-8.4600000000000009</v>
      </c>
      <c r="AR83" s="44">
        <v>1</v>
      </c>
      <c r="AU83" s="46"/>
      <c r="AV83" s="46"/>
    </row>
    <row r="84" spans="1:48" x14ac:dyDescent="0.25">
      <c r="A84" s="12">
        <v>5523</v>
      </c>
      <c r="B84" s="13" t="s">
        <v>214</v>
      </c>
      <c r="C84" s="14">
        <v>4760339.45</v>
      </c>
      <c r="D84" s="14">
        <v>497212.3</v>
      </c>
      <c r="E84" s="14"/>
      <c r="F84" s="14">
        <v>12930</v>
      </c>
      <c r="G84" s="14">
        <v>115648.6</v>
      </c>
      <c r="H84" s="14">
        <v>3132.1</v>
      </c>
      <c r="I84" s="14">
        <v>30937.4</v>
      </c>
      <c r="J84" s="14">
        <v>122783.6</v>
      </c>
      <c r="K84" s="14">
        <v>13603</v>
      </c>
      <c r="L84" s="14">
        <v>539543.44999999995</v>
      </c>
      <c r="M84" s="3">
        <f t="shared" si="3"/>
        <v>6096129.8999999994</v>
      </c>
      <c r="N84" s="14"/>
      <c r="O84" s="14">
        <v>181250</v>
      </c>
      <c r="P84" s="14">
        <v>189912.2</v>
      </c>
      <c r="Q84" s="14">
        <v>5089.3</v>
      </c>
      <c r="R84" s="14">
        <v>152997.35</v>
      </c>
      <c r="S84" s="14">
        <v>200</v>
      </c>
      <c r="T84" s="14">
        <v>2654</v>
      </c>
      <c r="U84" s="14">
        <v>12075</v>
      </c>
      <c r="V84" s="14"/>
      <c r="W84" s="14"/>
      <c r="X84" s="2">
        <f t="shared" si="4"/>
        <v>6640307.7499999991</v>
      </c>
      <c r="Y84" s="14">
        <v>230406.9</v>
      </c>
      <c r="Z84" s="14">
        <v>17704.599999999999</v>
      </c>
      <c r="AA84" s="14">
        <v>481347.4</v>
      </c>
      <c r="AB84" s="14"/>
      <c r="AC84" s="14">
        <v>141649.70000000001</v>
      </c>
      <c r="AD84" s="14">
        <v>198215.85</v>
      </c>
      <c r="AE84" s="14">
        <v>12053.7</v>
      </c>
      <c r="AF84" s="14"/>
      <c r="AG84" s="14"/>
      <c r="AH84" s="14">
        <v>51181.5</v>
      </c>
      <c r="AI84" s="14"/>
      <c r="AJ84" s="14"/>
      <c r="AK84" s="14"/>
      <c r="AL84" s="48">
        <f t="shared" si="5"/>
        <v>1132559.6500000001</v>
      </c>
      <c r="AM84" s="22">
        <v>76</v>
      </c>
      <c r="AN84" s="14">
        <v>2422</v>
      </c>
      <c r="AO84" s="14">
        <v>-78959.55</v>
      </c>
      <c r="AP84" s="14"/>
      <c r="AQ84" s="14">
        <v>-56.97</v>
      </c>
      <c r="AR84" s="44">
        <v>1.25</v>
      </c>
      <c r="AU84" s="46"/>
      <c r="AV84" s="46"/>
    </row>
    <row r="85" spans="1:48" x14ac:dyDescent="0.25">
      <c r="A85" s="12">
        <v>5527</v>
      </c>
      <c r="B85" s="13" t="s">
        <v>215</v>
      </c>
      <c r="C85" s="14">
        <v>2107154.89</v>
      </c>
      <c r="D85" s="14">
        <v>336513.07</v>
      </c>
      <c r="E85" s="14"/>
      <c r="F85" s="14"/>
      <c r="G85" s="14">
        <v>7240.8</v>
      </c>
      <c r="H85" s="14">
        <v>2258.25</v>
      </c>
      <c r="I85" s="14"/>
      <c r="J85" s="14">
        <v>9721.7099999999991</v>
      </c>
      <c r="K85" s="14">
        <v>1350</v>
      </c>
      <c r="L85" s="14">
        <v>192611.4</v>
      </c>
      <c r="M85" s="3">
        <f t="shared" si="3"/>
        <v>2656850.1199999996</v>
      </c>
      <c r="N85" s="14">
        <v>13054.25</v>
      </c>
      <c r="O85" s="14">
        <v>1751.8</v>
      </c>
      <c r="P85" s="14">
        <v>127739.4</v>
      </c>
      <c r="Q85" s="14">
        <v>3713.58</v>
      </c>
      <c r="R85" s="14">
        <v>117865.05</v>
      </c>
      <c r="S85" s="14"/>
      <c r="T85" s="14">
        <v>825</v>
      </c>
      <c r="U85" s="14">
        <v>10450</v>
      </c>
      <c r="V85" s="14"/>
      <c r="W85" s="14"/>
      <c r="X85" s="2">
        <f t="shared" si="4"/>
        <v>2932249.1999999993</v>
      </c>
      <c r="Y85" s="14">
        <v>52801.1</v>
      </c>
      <c r="Z85" s="14"/>
      <c r="AA85" s="14">
        <v>105170.86</v>
      </c>
      <c r="AB85" s="14"/>
      <c r="AC85" s="14">
        <v>70431.25</v>
      </c>
      <c r="AD85" s="14">
        <v>59914.55</v>
      </c>
      <c r="AE85" s="14"/>
      <c r="AF85" s="14"/>
      <c r="AG85" s="14"/>
      <c r="AH85" s="14">
        <v>28301.1</v>
      </c>
      <c r="AI85" s="14"/>
      <c r="AJ85" s="14"/>
      <c r="AK85" s="14"/>
      <c r="AL85" s="48">
        <f t="shared" si="5"/>
        <v>316618.86</v>
      </c>
      <c r="AM85" s="22">
        <v>71</v>
      </c>
      <c r="AN85" s="14">
        <v>1055</v>
      </c>
      <c r="AO85" s="14">
        <v>-31069.54</v>
      </c>
      <c r="AP85" s="14">
        <v>-2553.4</v>
      </c>
      <c r="AQ85" s="14">
        <v>-34.68</v>
      </c>
      <c r="AR85" s="44">
        <v>1</v>
      </c>
      <c r="AU85" s="46"/>
      <c r="AV85" s="46"/>
    </row>
    <row r="86" spans="1:48" x14ac:dyDescent="0.25">
      <c r="A86" s="12">
        <v>5529</v>
      </c>
      <c r="B86" s="13" t="s">
        <v>216</v>
      </c>
      <c r="C86" s="14">
        <v>950795.16</v>
      </c>
      <c r="D86" s="14">
        <v>108070.37</v>
      </c>
      <c r="E86" s="14"/>
      <c r="F86" s="14"/>
      <c r="G86" s="14">
        <v>24020.1</v>
      </c>
      <c r="H86" s="14">
        <v>433.9</v>
      </c>
      <c r="I86" s="14"/>
      <c r="J86" s="14">
        <v>22972.560000000001</v>
      </c>
      <c r="K86" s="14">
        <v>2535</v>
      </c>
      <c r="L86" s="14">
        <v>99640.4</v>
      </c>
      <c r="M86" s="3">
        <f t="shared" si="3"/>
        <v>1208467.49</v>
      </c>
      <c r="N86" s="14">
        <v>611.79999999999995</v>
      </c>
      <c r="O86" s="14">
        <v>44318.7</v>
      </c>
      <c r="P86" s="14">
        <v>66057.350000000006</v>
      </c>
      <c r="Q86" s="14"/>
      <c r="R86" s="14">
        <v>56320.7</v>
      </c>
      <c r="S86" s="14"/>
      <c r="T86" s="14">
        <v>1016.5</v>
      </c>
      <c r="U86" s="14">
        <v>2600</v>
      </c>
      <c r="V86" s="14"/>
      <c r="W86" s="14"/>
      <c r="X86" s="2">
        <f t="shared" si="4"/>
        <v>1379392.54</v>
      </c>
      <c r="Y86" s="14"/>
      <c r="Z86" s="14"/>
      <c r="AA86" s="14">
        <v>22391.5</v>
      </c>
      <c r="AB86" s="14"/>
      <c r="AC86" s="14">
        <v>39147.85</v>
      </c>
      <c r="AD86" s="14"/>
      <c r="AE86" s="14"/>
      <c r="AF86" s="14"/>
      <c r="AG86" s="14"/>
      <c r="AH86" s="14"/>
      <c r="AI86" s="14"/>
      <c r="AJ86" s="14"/>
      <c r="AK86" s="14"/>
      <c r="AL86" s="48">
        <f t="shared" si="5"/>
        <v>61539.35</v>
      </c>
      <c r="AM86" s="22">
        <v>71</v>
      </c>
      <c r="AN86" s="14">
        <v>532</v>
      </c>
      <c r="AO86" s="14">
        <v>-13464.81</v>
      </c>
      <c r="AP86" s="14"/>
      <c r="AQ86" s="14">
        <v>-5.93</v>
      </c>
      <c r="AR86" s="44">
        <v>1</v>
      </c>
      <c r="AU86" s="46"/>
      <c r="AV86" s="46"/>
    </row>
    <row r="87" spans="1:48" x14ac:dyDescent="0.25">
      <c r="A87" s="12">
        <v>5530</v>
      </c>
      <c r="B87" s="13" t="s">
        <v>217</v>
      </c>
      <c r="C87" s="14">
        <v>997260.94</v>
      </c>
      <c r="D87" s="14">
        <v>72954.73</v>
      </c>
      <c r="E87" s="14"/>
      <c r="F87" s="14"/>
      <c r="G87" s="14">
        <v>9208.6</v>
      </c>
      <c r="H87" s="14">
        <v>1323</v>
      </c>
      <c r="I87" s="14"/>
      <c r="J87" s="14">
        <v>28641.72</v>
      </c>
      <c r="K87" s="14">
        <v>37.5</v>
      </c>
      <c r="L87" s="14">
        <v>105540.4</v>
      </c>
      <c r="M87" s="3">
        <f t="shared" si="3"/>
        <v>1214966.8899999999</v>
      </c>
      <c r="N87" s="14">
        <v>3638.2</v>
      </c>
      <c r="O87" s="14">
        <v>15914.2</v>
      </c>
      <c r="P87" s="14">
        <v>11340.35</v>
      </c>
      <c r="Q87" s="14">
        <v>48366.05</v>
      </c>
      <c r="R87" s="14">
        <v>20555.150000000001</v>
      </c>
      <c r="S87" s="14"/>
      <c r="T87" s="14"/>
      <c r="U87" s="14">
        <v>2430</v>
      </c>
      <c r="V87" s="14"/>
      <c r="W87" s="14"/>
      <c r="X87" s="2">
        <f t="shared" si="4"/>
        <v>1317210.8399999999</v>
      </c>
      <c r="Y87" s="14">
        <v>7631.9</v>
      </c>
      <c r="Z87" s="14"/>
      <c r="AA87" s="14">
        <v>158254.20000000001</v>
      </c>
      <c r="AB87" s="14"/>
      <c r="AC87" s="14">
        <v>39669.9</v>
      </c>
      <c r="AD87" s="14">
        <v>3170.95</v>
      </c>
      <c r="AE87" s="14"/>
      <c r="AF87" s="14"/>
      <c r="AG87" s="14"/>
      <c r="AH87" s="14"/>
      <c r="AI87" s="14"/>
      <c r="AJ87" s="14"/>
      <c r="AK87" s="14"/>
      <c r="AL87" s="48">
        <f t="shared" si="5"/>
        <v>208726.95</v>
      </c>
      <c r="AM87" s="22">
        <v>77.5</v>
      </c>
      <c r="AN87" s="14">
        <v>533</v>
      </c>
      <c r="AO87" s="14">
        <v>-6663.55</v>
      </c>
      <c r="AP87" s="14"/>
      <c r="AQ87" s="14">
        <v>-0.32</v>
      </c>
      <c r="AR87" s="44">
        <v>1.2</v>
      </c>
      <c r="AU87" s="46"/>
      <c r="AV87" s="46"/>
    </row>
    <row r="88" spans="1:48" x14ac:dyDescent="0.25">
      <c r="A88" s="12">
        <v>5531</v>
      </c>
      <c r="B88" s="13" t="s">
        <v>218</v>
      </c>
      <c r="C88" s="14">
        <v>716451.51</v>
      </c>
      <c r="D88" s="14">
        <v>126852.53</v>
      </c>
      <c r="E88" s="14"/>
      <c r="F88" s="14"/>
      <c r="G88" s="14">
        <v>6754.6</v>
      </c>
      <c r="H88" s="14">
        <v>294.10000000000002</v>
      </c>
      <c r="I88" s="14"/>
      <c r="J88" s="14">
        <v>5118.12</v>
      </c>
      <c r="K88" s="14">
        <v>844</v>
      </c>
      <c r="L88" s="14">
        <v>67470.850000000006</v>
      </c>
      <c r="M88" s="3">
        <f t="shared" si="3"/>
        <v>923785.71</v>
      </c>
      <c r="N88" s="14">
        <v>47848.7</v>
      </c>
      <c r="O88" s="14"/>
      <c r="P88" s="14">
        <v>29139</v>
      </c>
      <c r="Q88" s="14"/>
      <c r="R88" s="14">
        <v>11219.6</v>
      </c>
      <c r="S88" s="14"/>
      <c r="T88" s="14"/>
      <c r="U88" s="14">
        <v>3750</v>
      </c>
      <c r="V88" s="14"/>
      <c r="W88" s="14"/>
      <c r="X88" s="2">
        <f t="shared" si="4"/>
        <v>1015743.0099999999</v>
      </c>
      <c r="Y88" s="14"/>
      <c r="Z88" s="14"/>
      <c r="AA88" s="14">
        <v>84659.5</v>
      </c>
      <c r="AB88" s="14"/>
      <c r="AC88" s="14">
        <v>27027.5</v>
      </c>
      <c r="AD88" s="14">
        <v>2073.9499999999998</v>
      </c>
      <c r="AE88" s="14"/>
      <c r="AF88" s="14"/>
      <c r="AG88" s="14"/>
      <c r="AH88" s="14"/>
      <c r="AI88" s="14"/>
      <c r="AJ88" s="14"/>
      <c r="AK88" s="14"/>
      <c r="AL88" s="48">
        <f t="shared" si="5"/>
        <v>113760.95</v>
      </c>
      <c r="AM88" s="22">
        <v>78</v>
      </c>
      <c r="AN88" s="14">
        <v>389</v>
      </c>
      <c r="AO88" s="14">
        <v>-16664.34</v>
      </c>
      <c r="AP88" s="14"/>
      <c r="AQ88" s="14">
        <v>-83.01</v>
      </c>
      <c r="AR88" s="44">
        <v>1</v>
      </c>
      <c r="AU88" s="46"/>
      <c r="AV88" s="46"/>
    </row>
    <row r="89" spans="1:48" x14ac:dyDescent="0.25">
      <c r="A89" s="12">
        <v>5533</v>
      </c>
      <c r="B89" s="13" t="s">
        <v>219</v>
      </c>
      <c r="C89" s="14">
        <v>1141017.8899999999</v>
      </c>
      <c r="D89" s="14">
        <v>124713.25</v>
      </c>
      <c r="E89" s="14"/>
      <c r="F89" s="14"/>
      <c r="G89" s="14">
        <v>64157.1</v>
      </c>
      <c r="H89" s="14">
        <v>224</v>
      </c>
      <c r="I89" s="14"/>
      <c r="J89" s="14">
        <v>63360.47</v>
      </c>
      <c r="K89" s="14">
        <v>4242.5</v>
      </c>
      <c r="L89" s="14">
        <v>74470.899999999994</v>
      </c>
      <c r="M89" s="3">
        <f t="shared" si="3"/>
        <v>1472186.1099999999</v>
      </c>
      <c r="N89" s="14">
        <v>5273.9</v>
      </c>
      <c r="O89" s="14"/>
      <c r="P89" s="14">
        <v>51860.25</v>
      </c>
      <c r="Q89" s="14">
        <v>2037.7</v>
      </c>
      <c r="R89" s="14">
        <v>26308.15</v>
      </c>
      <c r="S89" s="14">
        <v>75.099999999999994</v>
      </c>
      <c r="T89" s="14">
        <v>1196</v>
      </c>
      <c r="U89" s="14">
        <v>4866.6499999999996</v>
      </c>
      <c r="V89" s="14">
        <v>200</v>
      </c>
      <c r="W89" s="14"/>
      <c r="X89" s="2">
        <f t="shared" si="4"/>
        <v>1564003.8599999996</v>
      </c>
      <c r="Y89" s="14">
        <v>19523.650000000001</v>
      </c>
      <c r="Z89" s="14"/>
      <c r="AA89" s="14">
        <v>102483</v>
      </c>
      <c r="AB89" s="14"/>
      <c r="AC89" s="14">
        <v>36272.5</v>
      </c>
      <c r="AD89" s="14">
        <v>20166.150000000001</v>
      </c>
      <c r="AE89" s="14"/>
      <c r="AF89" s="14"/>
      <c r="AG89" s="14"/>
      <c r="AH89" s="14"/>
      <c r="AI89" s="14"/>
      <c r="AJ89" s="14"/>
      <c r="AK89" s="14"/>
      <c r="AL89" s="48">
        <f t="shared" si="5"/>
        <v>178445.3</v>
      </c>
      <c r="AM89" s="22">
        <v>71</v>
      </c>
      <c r="AN89" s="14">
        <v>815</v>
      </c>
      <c r="AO89" s="14">
        <v>-12492.22</v>
      </c>
      <c r="AP89" s="14"/>
      <c r="AQ89" s="14">
        <v>-7.84</v>
      </c>
      <c r="AR89" s="44">
        <v>0.6</v>
      </c>
      <c r="AU89" s="46"/>
      <c r="AV89" s="46"/>
    </row>
    <row r="90" spans="1:48" x14ac:dyDescent="0.25">
      <c r="A90" s="12">
        <v>5534</v>
      </c>
      <c r="B90" s="13" t="s">
        <v>220</v>
      </c>
      <c r="C90" s="14">
        <v>380097.47</v>
      </c>
      <c r="D90" s="14">
        <v>65846.490000000005</v>
      </c>
      <c r="E90" s="14"/>
      <c r="F90" s="14"/>
      <c r="G90" s="14">
        <v>70310.05</v>
      </c>
      <c r="H90" s="14">
        <v>2512.4499999999998</v>
      </c>
      <c r="I90" s="14"/>
      <c r="J90" s="14">
        <v>11734.95</v>
      </c>
      <c r="K90" s="14">
        <v>1598.5</v>
      </c>
      <c r="L90" s="14">
        <v>66532.399999999994</v>
      </c>
      <c r="M90" s="3">
        <f t="shared" si="3"/>
        <v>598632.30999999994</v>
      </c>
      <c r="N90" s="14">
        <v>24554.6</v>
      </c>
      <c r="O90" s="14">
        <v>89050.2</v>
      </c>
      <c r="P90" s="14">
        <v>30.8</v>
      </c>
      <c r="Q90" s="14"/>
      <c r="R90" s="14"/>
      <c r="S90" s="14"/>
      <c r="T90" s="14"/>
      <c r="U90" s="14">
        <v>691.7</v>
      </c>
      <c r="V90" s="14">
        <v>256</v>
      </c>
      <c r="W90" s="14"/>
      <c r="X90" s="2">
        <f t="shared" si="4"/>
        <v>713215.60999999987</v>
      </c>
      <c r="Y90" s="14"/>
      <c r="Z90" s="14"/>
      <c r="AA90" s="14">
        <v>12654.9</v>
      </c>
      <c r="AB90" s="14"/>
      <c r="AC90" s="14">
        <v>11521.65</v>
      </c>
      <c r="AD90" s="14"/>
      <c r="AE90" s="14"/>
      <c r="AF90" s="14"/>
      <c r="AG90" s="14"/>
      <c r="AH90" s="14"/>
      <c r="AI90" s="14"/>
      <c r="AJ90" s="14"/>
      <c r="AK90" s="14"/>
      <c r="AL90" s="48">
        <f t="shared" si="5"/>
        <v>24176.55</v>
      </c>
      <c r="AM90" s="22">
        <v>73</v>
      </c>
      <c r="AN90" s="14">
        <v>265</v>
      </c>
      <c r="AO90" s="14">
        <v>-5636</v>
      </c>
      <c r="AP90" s="14"/>
      <c r="AQ90" s="14">
        <v>-6.33</v>
      </c>
      <c r="AR90" s="44">
        <v>1</v>
      </c>
      <c r="AU90" s="46"/>
      <c r="AV90" s="46"/>
    </row>
    <row r="91" spans="1:48" x14ac:dyDescent="0.25">
      <c r="A91" s="12">
        <v>5535</v>
      </c>
      <c r="B91" s="13" t="s">
        <v>34</v>
      </c>
      <c r="C91" s="14">
        <v>1284468.68</v>
      </c>
      <c r="D91" s="14">
        <v>174381.08</v>
      </c>
      <c r="E91" s="14"/>
      <c r="F91" s="14"/>
      <c r="G91" s="14">
        <v>23235.3</v>
      </c>
      <c r="H91" s="14">
        <v>4844.7</v>
      </c>
      <c r="I91" s="14"/>
      <c r="J91" s="14">
        <v>26060.87</v>
      </c>
      <c r="K91" s="14">
        <v>1149</v>
      </c>
      <c r="L91" s="14">
        <v>128200.7</v>
      </c>
      <c r="M91" s="3">
        <f t="shared" si="3"/>
        <v>1642340.33</v>
      </c>
      <c r="N91" s="14">
        <v>24150.85</v>
      </c>
      <c r="O91" s="14"/>
      <c r="P91" s="14">
        <v>29535</v>
      </c>
      <c r="Q91" s="14">
        <v>2026.4</v>
      </c>
      <c r="R91" s="14">
        <v>-14836.8</v>
      </c>
      <c r="S91" s="14">
        <v>62.5</v>
      </c>
      <c r="T91" s="14">
        <v>780</v>
      </c>
      <c r="U91" s="14">
        <v>6450</v>
      </c>
      <c r="V91" s="14"/>
      <c r="W91" s="14"/>
      <c r="X91" s="2">
        <f t="shared" si="4"/>
        <v>1690508.28</v>
      </c>
      <c r="Y91" s="14">
        <v>12000</v>
      </c>
      <c r="Z91" s="14"/>
      <c r="AA91" s="14">
        <v>88124</v>
      </c>
      <c r="AB91" s="14"/>
      <c r="AC91" s="14">
        <v>42283.8</v>
      </c>
      <c r="AD91" s="14">
        <v>3200</v>
      </c>
      <c r="AE91" s="14"/>
      <c r="AF91" s="14"/>
      <c r="AG91" s="14"/>
      <c r="AH91" s="14"/>
      <c r="AI91" s="14"/>
      <c r="AJ91" s="14"/>
      <c r="AK91" s="14"/>
      <c r="AL91" s="48">
        <f t="shared" si="5"/>
        <v>145607.79999999999</v>
      </c>
      <c r="AM91" s="22">
        <v>75</v>
      </c>
      <c r="AN91" s="14">
        <v>782</v>
      </c>
      <c r="AO91" s="14">
        <v>-20405.38</v>
      </c>
      <c r="AP91" s="14"/>
      <c r="AQ91" s="14">
        <v>-2.87</v>
      </c>
      <c r="AR91" s="44">
        <v>1</v>
      </c>
      <c r="AU91" s="46"/>
      <c r="AV91" s="46"/>
    </row>
    <row r="92" spans="1:48" x14ac:dyDescent="0.25">
      <c r="A92" s="12">
        <v>5537</v>
      </c>
      <c r="B92" s="13" t="s">
        <v>35</v>
      </c>
      <c r="C92" s="14">
        <v>1786805.38</v>
      </c>
      <c r="D92" s="14">
        <v>76759.06</v>
      </c>
      <c r="E92" s="14"/>
      <c r="F92" s="14">
        <v>5354.75</v>
      </c>
      <c r="G92" s="14">
        <v>11062.55</v>
      </c>
      <c r="H92" s="14">
        <v>434.7</v>
      </c>
      <c r="I92" s="14"/>
      <c r="J92" s="14">
        <v>7165.56</v>
      </c>
      <c r="K92" s="14">
        <v>739.5</v>
      </c>
      <c r="L92" s="14">
        <v>138326</v>
      </c>
      <c r="M92" s="3">
        <f t="shared" si="3"/>
        <v>2026647.5</v>
      </c>
      <c r="N92" s="14"/>
      <c r="O92" s="14">
        <v>15160.6</v>
      </c>
      <c r="P92" s="14">
        <v>32420</v>
      </c>
      <c r="Q92" s="14">
        <v>1397.55</v>
      </c>
      <c r="R92" s="14">
        <v>65797.2</v>
      </c>
      <c r="S92" s="14">
        <v>1125</v>
      </c>
      <c r="T92" s="14"/>
      <c r="U92" s="14">
        <v>4400</v>
      </c>
      <c r="V92" s="14">
        <v>495</v>
      </c>
      <c r="W92" s="14"/>
      <c r="X92" s="2">
        <f t="shared" si="4"/>
        <v>2147442.85</v>
      </c>
      <c r="Y92" s="14">
        <v>23142.65</v>
      </c>
      <c r="Z92" s="14"/>
      <c r="AA92" s="14">
        <v>193629.05</v>
      </c>
      <c r="AB92" s="14"/>
      <c r="AC92" s="14">
        <v>107834.57</v>
      </c>
      <c r="AD92" s="14">
        <v>23939.93</v>
      </c>
      <c r="AE92" s="14"/>
      <c r="AF92" s="14"/>
      <c r="AG92" s="14"/>
      <c r="AH92" s="14"/>
      <c r="AI92" s="14"/>
      <c r="AJ92" s="14"/>
      <c r="AK92" s="14"/>
      <c r="AL92" s="48">
        <f t="shared" si="5"/>
        <v>348546.2</v>
      </c>
      <c r="AM92" s="22">
        <v>73</v>
      </c>
      <c r="AN92" s="14">
        <v>1033</v>
      </c>
      <c r="AO92" s="14">
        <v>-5302.52</v>
      </c>
      <c r="AP92" s="14"/>
      <c r="AQ92" s="14">
        <v>-57.83</v>
      </c>
      <c r="AR92" s="44">
        <v>0.8</v>
      </c>
      <c r="AU92" s="46"/>
      <c r="AV92" s="46"/>
    </row>
    <row r="93" spans="1:48" x14ac:dyDescent="0.25">
      <c r="A93" s="12">
        <v>5539</v>
      </c>
      <c r="B93" s="13" t="s">
        <v>36</v>
      </c>
      <c r="C93" s="14">
        <v>1397462.33</v>
      </c>
      <c r="D93" s="14">
        <v>120915.72</v>
      </c>
      <c r="E93" s="14"/>
      <c r="F93" s="14"/>
      <c r="G93" s="14">
        <v>54734.400000000001</v>
      </c>
      <c r="H93" s="14">
        <v>256.55</v>
      </c>
      <c r="I93" s="14"/>
      <c r="J93" s="14">
        <v>5927.78</v>
      </c>
      <c r="K93" s="14">
        <v>1503</v>
      </c>
      <c r="L93" s="14">
        <v>126198.39999999999</v>
      </c>
      <c r="M93" s="3">
        <f t="shared" si="3"/>
        <v>1706998.18</v>
      </c>
      <c r="N93" s="14">
        <v>25545.599999999999</v>
      </c>
      <c r="O93" s="14"/>
      <c r="P93" s="14">
        <v>42858.2</v>
      </c>
      <c r="Q93" s="14">
        <v>-4652.3</v>
      </c>
      <c r="R93" s="14">
        <v>54661.45</v>
      </c>
      <c r="S93" s="14">
        <v>125</v>
      </c>
      <c r="T93" s="14"/>
      <c r="U93" s="14">
        <v>5975</v>
      </c>
      <c r="V93" s="14"/>
      <c r="W93" s="14"/>
      <c r="X93" s="2">
        <f t="shared" si="4"/>
        <v>1831511.13</v>
      </c>
      <c r="Y93" s="14">
        <v>47125.35</v>
      </c>
      <c r="Z93" s="14"/>
      <c r="AA93" s="14">
        <v>293539.90000000002</v>
      </c>
      <c r="AB93" s="14"/>
      <c r="AC93" s="14">
        <v>57410</v>
      </c>
      <c r="AD93" s="14">
        <v>29532</v>
      </c>
      <c r="AE93" s="14"/>
      <c r="AF93" s="14"/>
      <c r="AG93" s="14"/>
      <c r="AH93" s="14">
        <v>20008</v>
      </c>
      <c r="AI93" s="14"/>
      <c r="AJ93" s="14"/>
      <c r="AK93" s="14"/>
      <c r="AL93" s="48">
        <f t="shared" si="5"/>
        <v>447615.25</v>
      </c>
      <c r="AM93" s="22">
        <v>75</v>
      </c>
      <c r="AN93" s="14">
        <v>935</v>
      </c>
      <c r="AO93" s="14">
        <v>-27148.42</v>
      </c>
      <c r="AP93" s="14"/>
      <c r="AQ93" s="14">
        <v>-34.090000000000003</v>
      </c>
      <c r="AR93" s="44">
        <v>0.8</v>
      </c>
      <c r="AU93" s="46"/>
      <c r="AV93" s="46"/>
    </row>
    <row r="94" spans="1:48" x14ac:dyDescent="0.25">
      <c r="A94" s="12">
        <v>5540</v>
      </c>
      <c r="B94" s="13" t="s">
        <v>480</v>
      </c>
      <c r="C94" s="14">
        <v>2697676.76</v>
      </c>
      <c r="D94" s="14">
        <v>374036.96</v>
      </c>
      <c r="E94" s="14"/>
      <c r="F94" s="14"/>
      <c r="G94" s="14">
        <v>122969.60000000001</v>
      </c>
      <c r="H94" s="14">
        <v>1300.55</v>
      </c>
      <c r="I94" s="14"/>
      <c r="J94" s="14">
        <v>62616.4</v>
      </c>
      <c r="K94" s="14">
        <v>4388.5</v>
      </c>
      <c r="L94" s="14">
        <v>227585.75</v>
      </c>
      <c r="M94" s="3">
        <f t="shared" si="3"/>
        <v>3490574.5199999996</v>
      </c>
      <c r="N94" s="14">
        <v>5316.15</v>
      </c>
      <c r="O94" s="14">
        <v>66326.600000000006</v>
      </c>
      <c r="P94" s="14">
        <v>82952.2</v>
      </c>
      <c r="Q94" s="14">
        <v>34786.92</v>
      </c>
      <c r="R94" s="14">
        <v>55756</v>
      </c>
      <c r="S94" s="14">
        <v>1225</v>
      </c>
      <c r="T94" s="14"/>
      <c r="U94" s="14">
        <v>11300</v>
      </c>
      <c r="V94" s="14"/>
      <c r="W94" s="14"/>
      <c r="X94" s="2">
        <f t="shared" si="4"/>
        <v>3748237.3899999997</v>
      </c>
      <c r="Y94" s="14">
        <v>5200</v>
      </c>
      <c r="Z94" s="14"/>
      <c r="AA94" s="14">
        <v>146402.6</v>
      </c>
      <c r="AB94" s="14"/>
      <c r="AC94" s="14">
        <v>112199.4</v>
      </c>
      <c r="AD94" s="14">
        <v>3724.95</v>
      </c>
      <c r="AE94" s="14"/>
      <c r="AF94" s="14"/>
      <c r="AG94" s="14"/>
      <c r="AH94" s="14"/>
      <c r="AI94" s="14"/>
      <c r="AJ94" s="14"/>
      <c r="AK94" s="14"/>
      <c r="AL94" s="48">
        <f t="shared" si="5"/>
        <v>267526.95</v>
      </c>
      <c r="AM94" s="22">
        <v>74</v>
      </c>
      <c r="AN94" s="14">
        <v>1656</v>
      </c>
      <c r="AO94" s="14">
        <v>-80490.399999999994</v>
      </c>
      <c r="AP94" s="14">
        <v>-8946.2999999999993</v>
      </c>
      <c r="AQ94" s="14">
        <v>-75.56</v>
      </c>
      <c r="AR94" s="44">
        <v>0.8</v>
      </c>
      <c r="AU94" s="46"/>
      <c r="AV94" s="46"/>
    </row>
    <row r="95" spans="1:48" x14ac:dyDescent="0.25">
      <c r="A95" s="12">
        <v>5541</v>
      </c>
      <c r="B95" s="13" t="s">
        <v>479</v>
      </c>
      <c r="C95" s="14">
        <v>2150029.1</v>
      </c>
      <c r="D95" s="14">
        <v>281263.64</v>
      </c>
      <c r="E95" s="14"/>
      <c r="F95" s="14"/>
      <c r="G95" s="14">
        <v>174038.75</v>
      </c>
      <c r="H95" s="14">
        <v>655.29999999999995</v>
      </c>
      <c r="I95" s="14"/>
      <c r="J95" s="14">
        <v>35728.639999999999</v>
      </c>
      <c r="K95" s="14">
        <v>1571.5</v>
      </c>
      <c r="L95" s="14">
        <v>163916.35</v>
      </c>
      <c r="M95" s="3">
        <f t="shared" si="3"/>
        <v>2807203.2800000003</v>
      </c>
      <c r="N95" s="14">
        <v>11381.55</v>
      </c>
      <c r="O95" s="14">
        <v>13085.2</v>
      </c>
      <c r="P95" s="14">
        <v>76253.75</v>
      </c>
      <c r="Q95" s="14">
        <v>196.74</v>
      </c>
      <c r="R95" s="14">
        <v>32912.85</v>
      </c>
      <c r="S95" s="14"/>
      <c r="T95" s="14"/>
      <c r="U95" s="14">
        <v>7050</v>
      </c>
      <c r="V95" s="14"/>
      <c r="W95" s="14"/>
      <c r="X95" s="2">
        <f t="shared" si="4"/>
        <v>2948083.3700000006</v>
      </c>
      <c r="Y95" s="14">
        <v>19145</v>
      </c>
      <c r="Z95" s="14"/>
      <c r="AA95" s="14">
        <v>57253.95</v>
      </c>
      <c r="AB95" s="14"/>
      <c r="AC95" s="14">
        <v>70552.5</v>
      </c>
      <c r="AD95" s="14">
        <v>15029.7</v>
      </c>
      <c r="AE95" s="14"/>
      <c r="AF95" s="14"/>
      <c r="AG95" s="14"/>
      <c r="AH95" s="14"/>
      <c r="AI95" s="14"/>
      <c r="AJ95" s="14"/>
      <c r="AK95" s="14"/>
      <c r="AL95" s="48">
        <f t="shared" si="5"/>
        <v>161981.15000000002</v>
      </c>
      <c r="AM95" s="22">
        <v>77</v>
      </c>
      <c r="AN95" s="14">
        <v>1055</v>
      </c>
      <c r="AO95" s="14">
        <v>-44804.53</v>
      </c>
      <c r="AP95" s="14">
        <v>-20802.150000000001</v>
      </c>
      <c r="AQ95" s="14">
        <v>-1.18</v>
      </c>
      <c r="AR95" s="44">
        <v>1</v>
      </c>
      <c r="AU95" s="46"/>
      <c r="AV95" s="46"/>
    </row>
    <row r="96" spans="1:48" x14ac:dyDescent="0.25">
      <c r="A96" s="12">
        <v>5551</v>
      </c>
      <c r="B96" s="13" t="s">
        <v>37</v>
      </c>
      <c r="C96" s="14">
        <v>660884.15</v>
      </c>
      <c r="D96" s="14">
        <v>98331.44</v>
      </c>
      <c r="E96" s="14"/>
      <c r="F96" s="14"/>
      <c r="G96" s="14">
        <v>9982.75</v>
      </c>
      <c r="H96" s="14">
        <v>-121.05</v>
      </c>
      <c r="I96" s="14"/>
      <c r="J96" s="14">
        <v>19070.64</v>
      </c>
      <c r="K96" s="14">
        <v>4464.8999999999996</v>
      </c>
      <c r="L96" s="14">
        <v>62197.85</v>
      </c>
      <c r="M96" s="3">
        <f t="shared" si="3"/>
        <v>854810.68</v>
      </c>
      <c r="N96" s="14">
        <v>7693.2</v>
      </c>
      <c r="O96" s="14">
        <v>5715</v>
      </c>
      <c r="P96" s="14">
        <v>11699.75</v>
      </c>
      <c r="Q96" s="14"/>
      <c r="R96" s="14">
        <v>19773.900000000001</v>
      </c>
      <c r="S96" s="14"/>
      <c r="T96" s="14"/>
      <c r="U96" s="14">
        <v>1675</v>
      </c>
      <c r="V96" s="14"/>
      <c r="W96" s="14"/>
      <c r="X96" s="2">
        <f t="shared" si="4"/>
        <v>901367.53</v>
      </c>
      <c r="Y96" s="14"/>
      <c r="Z96" s="14">
        <v>1872</v>
      </c>
      <c r="AA96" s="14">
        <v>76092.3</v>
      </c>
      <c r="AB96" s="14"/>
      <c r="AC96" s="14">
        <v>25122.9</v>
      </c>
      <c r="AD96" s="14">
        <v>19380</v>
      </c>
      <c r="AE96" s="14"/>
      <c r="AF96" s="14"/>
      <c r="AG96" s="14">
        <v>1960</v>
      </c>
      <c r="AH96" s="14"/>
      <c r="AI96" s="14"/>
      <c r="AJ96" s="14"/>
      <c r="AK96" s="14"/>
      <c r="AL96" s="48">
        <f t="shared" si="5"/>
        <v>124427.20000000001</v>
      </c>
      <c r="AM96" s="22">
        <v>55</v>
      </c>
      <c r="AN96" s="14">
        <v>506</v>
      </c>
      <c r="AO96" s="14">
        <v>-1577.41</v>
      </c>
      <c r="AP96" s="14"/>
      <c r="AQ96" s="14">
        <v>-525.79</v>
      </c>
      <c r="AR96" s="44">
        <v>0.7</v>
      </c>
      <c r="AU96" s="46"/>
      <c r="AV96" s="46"/>
    </row>
    <row r="97" spans="1:48" x14ac:dyDescent="0.25">
      <c r="A97" s="12">
        <v>5552</v>
      </c>
      <c r="B97" s="13" t="s">
        <v>38</v>
      </c>
      <c r="C97" s="14">
        <v>849279.13</v>
      </c>
      <c r="D97" s="14">
        <v>120008.54</v>
      </c>
      <c r="E97" s="14"/>
      <c r="F97" s="14"/>
      <c r="G97" s="14">
        <v>1172.75</v>
      </c>
      <c r="H97" s="14">
        <v>1212.4000000000001</v>
      </c>
      <c r="I97" s="14">
        <v>18371.55</v>
      </c>
      <c r="J97" s="14">
        <v>-3517.36</v>
      </c>
      <c r="K97" s="14">
        <v>1477</v>
      </c>
      <c r="L97" s="14">
        <v>105258.25</v>
      </c>
      <c r="M97" s="3">
        <f t="shared" si="3"/>
        <v>1093262.2600000002</v>
      </c>
      <c r="N97" s="14">
        <v>49622.3</v>
      </c>
      <c r="O97" s="14">
        <v>128546.6</v>
      </c>
      <c r="P97" s="14">
        <v>33532.699999999997</v>
      </c>
      <c r="Q97" s="14"/>
      <c r="R97" s="14">
        <v>37771.15</v>
      </c>
      <c r="S97" s="14">
        <v>1580</v>
      </c>
      <c r="T97" s="14"/>
      <c r="U97" s="14">
        <v>5650</v>
      </c>
      <c r="V97" s="14"/>
      <c r="W97" s="14"/>
      <c r="X97" s="2">
        <f t="shared" si="4"/>
        <v>1349965.0100000002</v>
      </c>
      <c r="Y97" s="14">
        <v>4500</v>
      </c>
      <c r="Z97" s="14"/>
      <c r="AA97" s="14">
        <v>109061</v>
      </c>
      <c r="AB97" s="14"/>
      <c r="AC97" s="14">
        <v>73352.45</v>
      </c>
      <c r="AD97" s="14">
        <v>4390.25</v>
      </c>
      <c r="AE97" s="14"/>
      <c r="AF97" s="14"/>
      <c r="AG97" s="14">
        <v>61479.83</v>
      </c>
      <c r="AH97" s="14">
        <v>21411.45</v>
      </c>
      <c r="AI97" s="14"/>
      <c r="AJ97" s="14"/>
      <c r="AK97" s="14"/>
      <c r="AL97" s="48">
        <f t="shared" si="5"/>
        <v>274194.98000000004</v>
      </c>
      <c r="AM97" s="22">
        <v>70</v>
      </c>
      <c r="AN97" s="14">
        <v>606</v>
      </c>
      <c r="AO97" s="14">
        <v>-6461.98</v>
      </c>
      <c r="AP97" s="14"/>
      <c r="AQ97" s="14">
        <v>-7.75</v>
      </c>
      <c r="AR97" s="44">
        <v>1</v>
      </c>
      <c r="AU97" s="46"/>
      <c r="AV97" s="46"/>
    </row>
    <row r="98" spans="1:48" x14ac:dyDescent="0.25">
      <c r="A98" s="12">
        <v>5553</v>
      </c>
      <c r="B98" s="13" t="s">
        <v>39</v>
      </c>
      <c r="C98" s="14">
        <f>2871496.56-(1500000)/2</f>
        <v>2121496.56</v>
      </c>
      <c r="D98" s="14">
        <v>362171.28</v>
      </c>
      <c r="E98" s="14"/>
      <c r="F98" s="14"/>
      <c r="G98" s="14">
        <v>-56706.35</v>
      </c>
      <c r="H98" s="14">
        <v>24423.35</v>
      </c>
      <c r="I98" s="14"/>
      <c r="J98" s="14">
        <v>105556.78</v>
      </c>
      <c r="K98" s="14">
        <v>13468.5</v>
      </c>
      <c r="L98" s="14">
        <v>180303.2</v>
      </c>
      <c r="M98" s="3">
        <f t="shared" si="3"/>
        <v>2750713.32</v>
      </c>
      <c r="N98" s="14">
        <v>111459.85</v>
      </c>
      <c r="O98" s="14">
        <v>102500</v>
      </c>
      <c r="P98" s="14">
        <v>81584.850000000006</v>
      </c>
      <c r="Q98" s="14"/>
      <c r="R98" s="14">
        <v>51351.15</v>
      </c>
      <c r="S98" s="14">
        <v>62.5</v>
      </c>
      <c r="T98" s="14"/>
      <c r="U98" s="14">
        <v>4750</v>
      </c>
      <c r="V98" s="14">
        <v>948</v>
      </c>
      <c r="W98" s="14"/>
      <c r="X98" s="2">
        <f t="shared" si="4"/>
        <v>3103369.67</v>
      </c>
      <c r="Y98" s="14">
        <v>124001</v>
      </c>
      <c r="Z98" s="14"/>
      <c r="AA98" s="14">
        <v>51535.5</v>
      </c>
      <c r="AB98" s="14"/>
      <c r="AC98" s="14">
        <v>47182.400000000001</v>
      </c>
      <c r="AD98" s="14">
        <v>143304</v>
      </c>
      <c r="AE98" s="14"/>
      <c r="AF98" s="14"/>
      <c r="AG98" s="14"/>
      <c r="AH98" s="14"/>
      <c r="AI98" s="14"/>
      <c r="AJ98" s="14"/>
      <c r="AK98" s="14"/>
      <c r="AL98" s="48">
        <f t="shared" si="5"/>
        <v>366022.9</v>
      </c>
      <c r="AM98" s="22">
        <v>63</v>
      </c>
      <c r="AN98" s="14">
        <v>1048</v>
      </c>
      <c r="AO98" s="14">
        <v>-13846.22</v>
      </c>
      <c r="AP98" s="14"/>
      <c r="AQ98" s="14">
        <v>-801.77</v>
      </c>
      <c r="AR98" s="44">
        <v>1</v>
      </c>
      <c r="AU98" s="46"/>
      <c r="AV98" s="46"/>
    </row>
    <row r="99" spans="1:48" x14ac:dyDescent="0.25">
      <c r="A99" s="12">
        <v>5554</v>
      </c>
      <c r="B99" s="13" t="s">
        <v>40</v>
      </c>
      <c r="C99" s="14">
        <v>1643099.48</v>
      </c>
      <c r="D99" s="14">
        <v>384750.81</v>
      </c>
      <c r="E99" s="14"/>
      <c r="F99" s="14"/>
      <c r="G99" s="14">
        <v>41824.1</v>
      </c>
      <c r="H99" s="14">
        <v>-32.9</v>
      </c>
      <c r="I99" s="14"/>
      <c r="J99" s="14">
        <v>248.77</v>
      </c>
      <c r="K99" s="14">
        <v>6209.5</v>
      </c>
      <c r="L99" s="14">
        <v>154750.20000000001</v>
      </c>
      <c r="M99" s="3">
        <f t="shared" si="3"/>
        <v>2230849.9600000004</v>
      </c>
      <c r="N99" s="14"/>
      <c r="O99" s="14">
        <v>53138.8</v>
      </c>
      <c r="P99" s="14">
        <v>164108.79999999999</v>
      </c>
      <c r="Q99" s="14">
        <v>9731.92</v>
      </c>
      <c r="R99" s="14">
        <v>65468.5</v>
      </c>
      <c r="S99" s="14"/>
      <c r="T99" s="14"/>
      <c r="U99" s="14">
        <v>6150</v>
      </c>
      <c r="V99" s="14"/>
      <c r="W99" s="14"/>
      <c r="X99" s="2">
        <f t="shared" si="4"/>
        <v>2529447.98</v>
      </c>
      <c r="Y99" s="14"/>
      <c r="Z99" s="14"/>
      <c r="AA99" s="14">
        <v>108768</v>
      </c>
      <c r="AB99" s="14"/>
      <c r="AC99" s="14">
        <v>52118.2</v>
      </c>
      <c r="AD99" s="14"/>
      <c r="AE99" s="14"/>
      <c r="AF99" s="14"/>
      <c r="AG99" s="14">
        <v>18908.8</v>
      </c>
      <c r="AH99" s="14">
        <v>28605.35</v>
      </c>
      <c r="AI99" s="14"/>
      <c r="AJ99" s="14"/>
      <c r="AK99" s="14"/>
      <c r="AL99" s="48">
        <f t="shared" si="5"/>
        <v>208400.35</v>
      </c>
      <c r="AM99" s="22">
        <v>75</v>
      </c>
      <c r="AN99" s="14">
        <v>954</v>
      </c>
      <c r="AO99" s="14">
        <v>-12247.26</v>
      </c>
      <c r="AP99" s="14"/>
      <c r="AQ99" s="14">
        <v>-1502.05</v>
      </c>
      <c r="AR99" s="44">
        <v>1</v>
      </c>
      <c r="AU99" s="46"/>
      <c r="AV99" s="46"/>
    </row>
    <row r="100" spans="1:48" x14ac:dyDescent="0.25">
      <c r="A100" s="12">
        <v>5555</v>
      </c>
      <c r="B100" s="13" t="s">
        <v>41</v>
      </c>
      <c r="C100" s="14">
        <v>505470.82</v>
      </c>
      <c r="D100" s="14">
        <v>109658.95</v>
      </c>
      <c r="E100" s="14"/>
      <c r="F100" s="14"/>
      <c r="G100" s="14">
        <v>1825.2</v>
      </c>
      <c r="H100" s="14">
        <v>2005.15</v>
      </c>
      <c r="I100" s="14"/>
      <c r="J100" s="14">
        <v>10669.61</v>
      </c>
      <c r="K100" s="14">
        <v>1474.8</v>
      </c>
      <c r="L100" s="14">
        <v>63252.7</v>
      </c>
      <c r="M100" s="3">
        <f t="shared" si="3"/>
        <v>694357.23</v>
      </c>
      <c r="N100" s="14">
        <v>10192.85</v>
      </c>
      <c r="O100" s="14"/>
      <c r="P100" s="14">
        <v>32859.300000000003</v>
      </c>
      <c r="Q100" s="14">
        <v>555.95000000000005</v>
      </c>
      <c r="R100" s="14">
        <v>34194.800000000003</v>
      </c>
      <c r="S100" s="14"/>
      <c r="T100" s="14"/>
      <c r="U100" s="14">
        <v>1200</v>
      </c>
      <c r="V100" s="14"/>
      <c r="W100" s="14"/>
      <c r="X100" s="2">
        <f t="shared" si="4"/>
        <v>773360.13</v>
      </c>
      <c r="Y100" s="14">
        <v>2892</v>
      </c>
      <c r="Z100" s="14"/>
      <c r="AA100" s="14">
        <v>90423.7</v>
      </c>
      <c r="AB100" s="14"/>
      <c r="AC100" s="14">
        <v>17937.150000000001</v>
      </c>
      <c r="AD100" s="14">
        <v>56782.45</v>
      </c>
      <c r="AE100" s="14"/>
      <c r="AF100" s="14"/>
      <c r="AG100" s="14">
        <v>10124.9</v>
      </c>
      <c r="AH100" s="14"/>
      <c r="AI100" s="14"/>
      <c r="AJ100" s="14"/>
      <c r="AK100" s="14"/>
      <c r="AL100" s="48">
        <f t="shared" si="5"/>
        <v>178160.19999999998</v>
      </c>
      <c r="AM100" s="22">
        <v>71</v>
      </c>
      <c r="AN100" s="14">
        <v>337</v>
      </c>
      <c r="AO100" s="14">
        <v>-1747.62</v>
      </c>
      <c r="AP100" s="14"/>
      <c r="AQ100" s="14">
        <v>-14.8</v>
      </c>
      <c r="AR100" s="44">
        <v>1</v>
      </c>
      <c r="AU100" s="46"/>
      <c r="AV100" s="46"/>
    </row>
    <row r="101" spans="1:48" x14ac:dyDescent="0.25">
      <c r="A101" s="12">
        <v>5556</v>
      </c>
      <c r="B101" s="13" t="s">
        <v>42</v>
      </c>
      <c r="C101" s="14">
        <v>589682.69999999995</v>
      </c>
      <c r="D101" s="14">
        <v>66706.63</v>
      </c>
      <c r="E101" s="14"/>
      <c r="F101" s="14">
        <v>2170</v>
      </c>
      <c r="G101" s="14">
        <v>17442.349999999999</v>
      </c>
      <c r="H101" s="14">
        <v>17.100000000000001</v>
      </c>
      <c r="I101" s="14"/>
      <c r="J101" s="14">
        <v>11454.85</v>
      </c>
      <c r="K101" s="14">
        <v>522</v>
      </c>
      <c r="L101" s="14">
        <v>70862.149999999994</v>
      </c>
      <c r="M101" s="3">
        <f t="shared" si="3"/>
        <v>758857.77999999991</v>
      </c>
      <c r="N101" s="14">
        <v>11298.6</v>
      </c>
      <c r="O101" s="14">
        <v>2161.1999999999998</v>
      </c>
      <c r="P101" s="14">
        <v>25701.5</v>
      </c>
      <c r="Q101" s="14">
        <v>1423.1</v>
      </c>
      <c r="R101" s="14">
        <v>13162.55</v>
      </c>
      <c r="S101" s="14"/>
      <c r="T101" s="14">
        <v>200</v>
      </c>
      <c r="U101" s="14">
        <v>3290</v>
      </c>
      <c r="V101" s="14"/>
      <c r="W101" s="14"/>
      <c r="X101" s="2">
        <f t="shared" si="4"/>
        <v>816094.72999999986</v>
      </c>
      <c r="Y101" s="14">
        <v>26355</v>
      </c>
      <c r="Z101" s="14"/>
      <c r="AA101" s="14">
        <v>65923.149999999994</v>
      </c>
      <c r="AB101" s="14"/>
      <c r="AC101" s="14">
        <v>12173.55</v>
      </c>
      <c r="AD101" s="14">
        <v>15480</v>
      </c>
      <c r="AE101" s="14"/>
      <c r="AF101" s="14"/>
      <c r="AG101" s="14">
        <v>1613.35</v>
      </c>
      <c r="AH101" s="14"/>
      <c r="AI101" s="14"/>
      <c r="AJ101" s="14"/>
      <c r="AK101" s="14"/>
      <c r="AL101" s="48">
        <f t="shared" si="5"/>
        <v>121545.05</v>
      </c>
      <c r="AM101" s="22">
        <v>69</v>
      </c>
      <c r="AN101" s="14">
        <v>421</v>
      </c>
      <c r="AO101" s="14">
        <v>-3275.21</v>
      </c>
      <c r="AP101" s="14"/>
      <c r="AQ101" s="14"/>
      <c r="AR101" s="44">
        <v>1.2</v>
      </c>
      <c r="AU101" s="46"/>
      <c r="AV101" s="46"/>
    </row>
    <row r="102" spans="1:48" x14ac:dyDescent="0.25">
      <c r="A102" s="12">
        <v>5557</v>
      </c>
      <c r="B102" s="13" t="s">
        <v>43</v>
      </c>
      <c r="C102" s="14">
        <v>233524.45</v>
      </c>
      <c r="D102" s="14">
        <v>22353.86</v>
      </c>
      <c r="E102" s="14"/>
      <c r="F102" s="14">
        <v>970</v>
      </c>
      <c r="G102" s="14">
        <v>9296.5</v>
      </c>
      <c r="H102" s="14">
        <v>53.4</v>
      </c>
      <c r="I102" s="14"/>
      <c r="J102" s="14">
        <v>2349.4899999999998</v>
      </c>
      <c r="K102" s="14">
        <v>899.5</v>
      </c>
      <c r="L102" s="14">
        <v>24880.400000000001</v>
      </c>
      <c r="M102" s="3">
        <f t="shared" si="3"/>
        <v>294327.60000000003</v>
      </c>
      <c r="N102" s="14">
        <v>1075.8499999999999</v>
      </c>
      <c r="O102" s="14">
        <v>4522</v>
      </c>
      <c r="P102" s="14">
        <v>7480</v>
      </c>
      <c r="Q102" s="14"/>
      <c r="R102" s="14">
        <v>4736.3</v>
      </c>
      <c r="S102" s="14"/>
      <c r="T102" s="14">
        <v>100</v>
      </c>
      <c r="U102" s="14">
        <v>690</v>
      </c>
      <c r="V102" s="14"/>
      <c r="W102" s="14"/>
      <c r="X102" s="2">
        <f t="shared" si="4"/>
        <v>312931.75</v>
      </c>
      <c r="Y102" s="14">
        <v>6000</v>
      </c>
      <c r="Z102" s="14"/>
      <c r="AA102" s="14">
        <v>22200</v>
      </c>
      <c r="AB102" s="14"/>
      <c r="AC102" s="14">
        <v>19513.75</v>
      </c>
      <c r="AD102" s="14">
        <v>4264</v>
      </c>
      <c r="AE102" s="14"/>
      <c r="AF102" s="14"/>
      <c r="AG102" s="14"/>
      <c r="AH102" s="14"/>
      <c r="AI102" s="14"/>
      <c r="AJ102" s="14"/>
      <c r="AK102" s="14"/>
      <c r="AL102" s="48">
        <f t="shared" si="5"/>
        <v>51977.75</v>
      </c>
      <c r="AM102" s="22">
        <v>69</v>
      </c>
      <c r="AN102" s="14">
        <v>191</v>
      </c>
      <c r="AO102" s="14">
        <v>-4482.59</v>
      </c>
      <c r="AP102" s="14"/>
      <c r="AQ102" s="14"/>
      <c r="AR102" s="44">
        <v>1</v>
      </c>
      <c r="AU102" s="46"/>
      <c r="AV102" s="46"/>
    </row>
    <row r="103" spans="1:48" x14ac:dyDescent="0.25">
      <c r="A103" s="12">
        <v>5559</v>
      </c>
      <c r="B103" s="13" t="s">
        <v>44</v>
      </c>
      <c r="C103" s="14">
        <v>642193.59</v>
      </c>
      <c r="D103" s="14">
        <v>173331.48</v>
      </c>
      <c r="E103" s="14"/>
      <c r="F103" s="14"/>
      <c r="G103" s="14">
        <v>277436.90000000002</v>
      </c>
      <c r="H103" s="14">
        <v>1251.9000000000001</v>
      </c>
      <c r="I103" s="14"/>
      <c r="J103" s="14">
        <v>18855.61</v>
      </c>
      <c r="K103" s="14">
        <v>3295.5</v>
      </c>
      <c r="L103" s="14">
        <v>78697.3</v>
      </c>
      <c r="M103" s="3">
        <f t="shared" si="3"/>
        <v>1195062.28</v>
      </c>
      <c r="N103" s="14">
        <v>24437.05</v>
      </c>
      <c r="O103" s="14">
        <v>2631.5</v>
      </c>
      <c r="P103" s="14">
        <v>1540</v>
      </c>
      <c r="Q103" s="14"/>
      <c r="R103" s="14"/>
      <c r="S103" s="14"/>
      <c r="T103" s="14">
        <v>350</v>
      </c>
      <c r="U103" s="14">
        <v>960</v>
      </c>
      <c r="V103" s="14">
        <v>279.85000000000002</v>
      </c>
      <c r="W103" s="14"/>
      <c r="X103" s="2">
        <f t="shared" si="4"/>
        <v>1225260.6800000002</v>
      </c>
      <c r="Y103" s="14">
        <v>7300</v>
      </c>
      <c r="Z103" s="14"/>
      <c r="AA103" s="14">
        <v>85817.5</v>
      </c>
      <c r="AB103" s="14"/>
      <c r="AC103" s="14">
        <v>25795.15</v>
      </c>
      <c r="AD103" s="14">
        <v>10250</v>
      </c>
      <c r="AE103" s="14"/>
      <c r="AF103" s="14"/>
      <c r="AG103" s="14">
        <v>4494.2</v>
      </c>
      <c r="AH103" s="14"/>
      <c r="AI103" s="14"/>
      <c r="AJ103" s="14"/>
      <c r="AK103" s="14"/>
      <c r="AL103" s="48">
        <f t="shared" si="5"/>
        <v>133656.85</v>
      </c>
      <c r="AM103" s="22">
        <v>66</v>
      </c>
      <c r="AN103" s="14">
        <v>389</v>
      </c>
      <c r="AO103" s="14">
        <v>-7095.71</v>
      </c>
      <c r="AP103" s="14"/>
      <c r="AQ103" s="14">
        <v>-66.650000000000006</v>
      </c>
      <c r="AR103" s="44">
        <v>1</v>
      </c>
      <c r="AU103" s="46"/>
      <c r="AV103" s="46"/>
    </row>
    <row r="104" spans="1:48" x14ac:dyDescent="0.25">
      <c r="A104" s="12">
        <v>5560</v>
      </c>
      <c r="B104" s="13" t="s">
        <v>45</v>
      </c>
      <c r="C104" s="14">
        <v>365438.05</v>
      </c>
      <c r="D104" s="14">
        <v>27034.78</v>
      </c>
      <c r="E104" s="14"/>
      <c r="F104" s="14"/>
      <c r="G104" s="14">
        <v>322.60000000000002</v>
      </c>
      <c r="H104" s="14">
        <v>18.899999999999999</v>
      </c>
      <c r="I104" s="14"/>
      <c r="J104" s="14">
        <v>11176.67</v>
      </c>
      <c r="K104" s="14">
        <v>305</v>
      </c>
      <c r="L104" s="14">
        <v>37337.75</v>
      </c>
      <c r="M104" s="3">
        <f t="shared" si="3"/>
        <v>441633.74999999994</v>
      </c>
      <c r="N104" s="14"/>
      <c r="O104" s="14">
        <v>259.2</v>
      </c>
      <c r="P104" s="14">
        <v>19670.95</v>
      </c>
      <c r="Q104" s="14"/>
      <c r="R104" s="14">
        <v>11290.1</v>
      </c>
      <c r="S104" s="14"/>
      <c r="T104" s="14"/>
      <c r="U104" s="14">
        <v>1450</v>
      </c>
      <c r="V104" s="14"/>
      <c r="W104" s="14"/>
      <c r="X104" s="2">
        <f t="shared" si="4"/>
        <v>474303.99999999994</v>
      </c>
      <c r="Y104" s="14"/>
      <c r="Z104" s="14"/>
      <c r="AA104" s="14">
        <v>32143.599999999999</v>
      </c>
      <c r="AB104" s="14"/>
      <c r="AC104" s="14">
        <v>13153</v>
      </c>
      <c r="AD104" s="14"/>
      <c r="AE104" s="14"/>
      <c r="AF104" s="14"/>
      <c r="AG104" s="14">
        <v>1500.5</v>
      </c>
      <c r="AH104" s="14"/>
      <c r="AI104" s="14"/>
      <c r="AJ104" s="14"/>
      <c r="AK104" s="14"/>
      <c r="AL104" s="48">
        <f t="shared" si="5"/>
        <v>46797.1</v>
      </c>
      <c r="AM104" s="22">
        <v>68</v>
      </c>
      <c r="AN104" s="14">
        <v>232</v>
      </c>
      <c r="AO104" s="14">
        <v>-6694.16</v>
      </c>
      <c r="AP104" s="14"/>
      <c r="AQ104" s="14">
        <v>-1.77</v>
      </c>
      <c r="AR104" s="44">
        <v>1</v>
      </c>
      <c r="AU104" s="46"/>
      <c r="AV104" s="46"/>
    </row>
    <row r="105" spans="1:48" x14ac:dyDescent="0.25">
      <c r="A105" s="12">
        <v>5561</v>
      </c>
      <c r="B105" s="13" t="s">
        <v>46</v>
      </c>
      <c r="C105" s="14">
        <v>5746434.0700000003</v>
      </c>
      <c r="D105" s="14">
        <v>791083.58</v>
      </c>
      <c r="E105" s="14"/>
      <c r="F105" s="14"/>
      <c r="G105" s="14">
        <v>247410.71</v>
      </c>
      <c r="H105" s="14">
        <v>9769.65</v>
      </c>
      <c r="I105" s="14">
        <v>27733.85</v>
      </c>
      <c r="J105" s="14">
        <v>115318.48</v>
      </c>
      <c r="K105" s="14">
        <v>19132</v>
      </c>
      <c r="L105" s="14">
        <v>535221.30000000005</v>
      </c>
      <c r="M105" s="3">
        <f t="shared" si="3"/>
        <v>7492103.6400000006</v>
      </c>
      <c r="N105" s="14">
        <v>327346.25</v>
      </c>
      <c r="O105" s="14">
        <v>278768.09999999998</v>
      </c>
      <c r="P105" s="14">
        <v>243927</v>
      </c>
      <c r="Q105" s="14">
        <v>16187.98</v>
      </c>
      <c r="R105" s="14">
        <v>179464.85</v>
      </c>
      <c r="S105" s="14"/>
      <c r="T105" s="14">
        <v>17421.650000000001</v>
      </c>
      <c r="U105" s="14">
        <v>11285.45</v>
      </c>
      <c r="V105" s="14"/>
      <c r="W105" s="14"/>
      <c r="X105" s="2">
        <f t="shared" si="4"/>
        <v>8566504.9199999999</v>
      </c>
      <c r="Y105" s="14">
        <v>6223</v>
      </c>
      <c r="Z105" s="14"/>
      <c r="AA105" s="14">
        <v>551272.5</v>
      </c>
      <c r="AB105" s="14"/>
      <c r="AC105" s="14">
        <v>304399.25</v>
      </c>
      <c r="AD105" s="14">
        <v>58813.9</v>
      </c>
      <c r="AE105" s="14"/>
      <c r="AF105" s="14"/>
      <c r="AG105" s="14">
        <v>56360.6</v>
      </c>
      <c r="AH105" s="14">
        <v>93351.55</v>
      </c>
      <c r="AI105" s="14"/>
      <c r="AJ105" s="14"/>
      <c r="AK105" s="14"/>
      <c r="AL105" s="48">
        <f t="shared" si="5"/>
        <v>1070420.8</v>
      </c>
      <c r="AM105" s="22">
        <v>69</v>
      </c>
      <c r="AN105" s="14">
        <v>3303</v>
      </c>
      <c r="AO105" s="14">
        <v>-130213.23</v>
      </c>
      <c r="AP105" s="14">
        <v>-26584.85</v>
      </c>
      <c r="AQ105" s="14">
        <v>-2450.62</v>
      </c>
      <c r="AR105" s="44">
        <v>1</v>
      </c>
      <c r="AU105" s="46"/>
      <c r="AV105" s="46"/>
    </row>
    <row r="106" spans="1:48" x14ac:dyDescent="0.25">
      <c r="A106" s="12">
        <v>5562</v>
      </c>
      <c r="B106" s="13" t="s">
        <v>47</v>
      </c>
      <c r="C106" s="14">
        <v>150982.88</v>
      </c>
      <c r="D106" s="14">
        <v>100675.17</v>
      </c>
      <c r="E106" s="14"/>
      <c r="F106" s="14">
        <v>720</v>
      </c>
      <c r="G106" s="14">
        <v>1529.9</v>
      </c>
      <c r="H106" s="14">
        <v>90.55</v>
      </c>
      <c r="I106" s="14"/>
      <c r="J106" s="14">
        <v>4087.49</v>
      </c>
      <c r="K106" s="14">
        <v>1155.5</v>
      </c>
      <c r="L106" s="14">
        <v>30592.95</v>
      </c>
      <c r="M106" s="3">
        <f t="shared" si="3"/>
        <v>289834.43999999994</v>
      </c>
      <c r="N106" s="14"/>
      <c r="O106" s="14"/>
      <c r="P106" s="14">
        <v>1516</v>
      </c>
      <c r="Q106" s="14"/>
      <c r="R106" s="14">
        <v>8087.5</v>
      </c>
      <c r="S106" s="14"/>
      <c r="T106" s="14">
        <v>75</v>
      </c>
      <c r="U106" s="14">
        <v>525</v>
      </c>
      <c r="V106" s="14"/>
      <c r="W106" s="14"/>
      <c r="X106" s="2">
        <f t="shared" si="4"/>
        <v>300037.93999999994</v>
      </c>
      <c r="Y106" s="14"/>
      <c r="Z106" s="14"/>
      <c r="AA106" s="14">
        <v>39810</v>
      </c>
      <c r="AB106" s="14"/>
      <c r="AC106" s="14">
        <v>17872</v>
      </c>
      <c r="AD106" s="14"/>
      <c r="AE106" s="14"/>
      <c r="AF106" s="14"/>
      <c r="AG106" s="14">
        <v>6807.8</v>
      </c>
      <c r="AH106" s="14"/>
      <c r="AI106" s="14"/>
      <c r="AJ106" s="14"/>
      <c r="AK106" s="14"/>
      <c r="AL106" s="48">
        <f t="shared" si="5"/>
        <v>64489.8</v>
      </c>
      <c r="AM106" s="22">
        <v>70</v>
      </c>
      <c r="AN106" s="14">
        <v>119</v>
      </c>
      <c r="AO106" s="14">
        <v>-10548.13</v>
      </c>
      <c r="AP106" s="14"/>
      <c r="AQ106" s="14">
        <v>-2.25</v>
      </c>
      <c r="AR106" s="44">
        <v>1.2</v>
      </c>
      <c r="AU106" s="46"/>
      <c r="AV106" s="46"/>
    </row>
    <row r="107" spans="1:48" x14ac:dyDescent="0.25">
      <c r="A107" s="12">
        <v>5563</v>
      </c>
      <c r="B107" s="13" t="s">
        <v>318</v>
      </c>
      <c r="C107" s="14">
        <v>275221.17</v>
      </c>
      <c r="D107" s="14">
        <v>21979.56</v>
      </c>
      <c r="E107" s="14"/>
      <c r="F107" s="14">
        <v>552</v>
      </c>
      <c r="G107" s="14">
        <v>2012.55</v>
      </c>
      <c r="H107" s="14">
        <v>-1.1000000000000001</v>
      </c>
      <c r="I107" s="14"/>
      <c r="J107" s="14">
        <v>3110.75</v>
      </c>
      <c r="K107" s="14"/>
      <c r="L107" s="14">
        <v>19806.2</v>
      </c>
      <c r="M107" s="3">
        <f t="shared" si="3"/>
        <v>322681.13</v>
      </c>
      <c r="N107" s="14"/>
      <c r="O107" s="14">
        <v>153.1</v>
      </c>
      <c r="P107" s="14">
        <v>5469.25</v>
      </c>
      <c r="Q107" s="14"/>
      <c r="R107" s="14">
        <v>6949.35</v>
      </c>
      <c r="S107" s="14"/>
      <c r="T107" s="14">
        <v>200</v>
      </c>
      <c r="U107" s="14">
        <v>650</v>
      </c>
      <c r="V107" s="14"/>
      <c r="W107" s="14"/>
      <c r="X107" s="2">
        <f t="shared" si="4"/>
        <v>336102.82999999996</v>
      </c>
      <c r="Y107" s="14"/>
      <c r="Z107" s="14"/>
      <c r="AA107" s="14">
        <v>30424.5</v>
      </c>
      <c r="AB107" s="14"/>
      <c r="AC107" s="14">
        <v>10230</v>
      </c>
      <c r="AD107" s="14"/>
      <c r="AE107" s="14"/>
      <c r="AF107" s="14"/>
      <c r="AG107" s="14"/>
      <c r="AH107" s="14"/>
      <c r="AI107" s="14"/>
      <c r="AJ107" s="14"/>
      <c r="AK107" s="14"/>
      <c r="AL107" s="48">
        <f t="shared" si="5"/>
        <v>40654.5</v>
      </c>
      <c r="AM107" s="22">
        <v>78.5</v>
      </c>
      <c r="AN107" s="14">
        <v>153</v>
      </c>
      <c r="AO107" s="14">
        <v>-657.31</v>
      </c>
      <c r="AP107" s="14"/>
      <c r="AQ107" s="14"/>
      <c r="AR107" s="44">
        <v>1</v>
      </c>
      <c r="AU107" s="46"/>
      <c r="AV107" s="46"/>
    </row>
    <row r="108" spans="1:48" x14ac:dyDescent="0.25">
      <c r="A108" s="12">
        <v>5564</v>
      </c>
      <c r="B108" s="13" t="s">
        <v>319</v>
      </c>
      <c r="C108" s="14">
        <v>135586.49</v>
      </c>
      <c r="D108" s="14">
        <v>12042.06</v>
      </c>
      <c r="E108" s="14"/>
      <c r="F108" s="14"/>
      <c r="G108" s="14">
        <v>96.25</v>
      </c>
      <c r="H108" s="14">
        <v>12.05</v>
      </c>
      <c r="I108" s="14"/>
      <c r="J108" s="14">
        <v>1333.59</v>
      </c>
      <c r="K108" s="14"/>
      <c r="L108" s="14">
        <v>9702.4500000000007</v>
      </c>
      <c r="M108" s="3">
        <f t="shared" si="3"/>
        <v>158772.88999999998</v>
      </c>
      <c r="N108" s="14"/>
      <c r="O108" s="14"/>
      <c r="P108" s="14"/>
      <c r="Q108" s="14"/>
      <c r="R108" s="14"/>
      <c r="S108" s="14"/>
      <c r="T108" s="14">
        <v>300</v>
      </c>
      <c r="U108" s="14">
        <v>280</v>
      </c>
      <c r="V108" s="14"/>
      <c r="W108" s="14"/>
      <c r="X108" s="2">
        <f t="shared" si="4"/>
        <v>159352.88999999998</v>
      </c>
      <c r="Y108" s="14"/>
      <c r="Z108" s="14"/>
      <c r="AA108" s="14">
        <v>24855</v>
      </c>
      <c r="AB108" s="14"/>
      <c r="AC108" s="14">
        <v>7383.3</v>
      </c>
      <c r="AD108" s="14"/>
      <c r="AE108" s="14"/>
      <c r="AF108" s="14"/>
      <c r="AG108" s="14"/>
      <c r="AH108" s="14"/>
      <c r="AI108" s="14"/>
      <c r="AJ108" s="14"/>
      <c r="AK108" s="14"/>
      <c r="AL108" s="48">
        <f t="shared" si="5"/>
        <v>32238.3</v>
      </c>
      <c r="AM108" s="22">
        <v>76</v>
      </c>
      <c r="AN108" s="14">
        <v>102</v>
      </c>
      <c r="AO108" s="14">
        <v>-36.9</v>
      </c>
      <c r="AP108" s="14"/>
      <c r="AQ108" s="14">
        <v>-26.59</v>
      </c>
      <c r="AR108" s="44">
        <v>0.8</v>
      </c>
      <c r="AU108" s="46"/>
      <c r="AV108" s="46"/>
    </row>
    <row r="109" spans="1:48" x14ac:dyDescent="0.25">
      <c r="A109" s="12">
        <v>5565</v>
      </c>
      <c r="B109" s="13" t="s">
        <v>320</v>
      </c>
      <c r="C109" s="14">
        <v>779476.22</v>
      </c>
      <c r="D109" s="14">
        <v>75468.320000000007</v>
      </c>
      <c r="E109" s="14"/>
      <c r="F109" s="14"/>
      <c r="G109" s="14">
        <f>471062.3-(420000)/2</f>
        <v>261062.3</v>
      </c>
      <c r="H109" s="14">
        <v>66252.7</v>
      </c>
      <c r="I109" s="14"/>
      <c r="J109" s="14">
        <v>11627.95</v>
      </c>
      <c r="K109" s="14">
        <v>-4045.5</v>
      </c>
      <c r="L109" s="14">
        <v>63117.55</v>
      </c>
      <c r="M109" s="3">
        <f t="shared" si="3"/>
        <v>1252959.54</v>
      </c>
      <c r="N109" s="14">
        <v>55616.3</v>
      </c>
      <c r="O109" s="14"/>
      <c r="P109" s="14">
        <v>10808.4</v>
      </c>
      <c r="Q109" s="14"/>
      <c r="R109" s="14">
        <v>40270.15</v>
      </c>
      <c r="S109" s="14"/>
      <c r="T109" s="14">
        <v>2339.8000000000002</v>
      </c>
      <c r="U109" s="14">
        <v>3060</v>
      </c>
      <c r="V109" s="14"/>
      <c r="W109" s="14"/>
      <c r="X109" s="2">
        <f t="shared" si="4"/>
        <v>1365054.19</v>
      </c>
      <c r="Y109" s="14">
        <v>9100</v>
      </c>
      <c r="Z109" s="14"/>
      <c r="AA109" s="14">
        <v>73354.7</v>
      </c>
      <c r="AB109" s="14"/>
      <c r="AC109" s="14">
        <v>27379.3</v>
      </c>
      <c r="AD109" s="14">
        <v>4090</v>
      </c>
      <c r="AE109" s="14"/>
      <c r="AF109" s="14"/>
      <c r="AG109" s="14">
        <v>3849.35</v>
      </c>
      <c r="AH109" s="14">
        <v>35082.25</v>
      </c>
      <c r="AI109" s="14"/>
      <c r="AJ109" s="14"/>
      <c r="AK109" s="14"/>
      <c r="AL109" s="48">
        <f t="shared" si="5"/>
        <v>152855.6</v>
      </c>
      <c r="AM109" s="22">
        <v>65</v>
      </c>
      <c r="AN109" s="14">
        <v>493</v>
      </c>
      <c r="AO109" s="14">
        <v>-66603.73</v>
      </c>
      <c r="AP109" s="14"/>
      <c r="AQ109" s="14">
        <v>-0.1</v>
      </c>
      <c r="AR109" s="44">
        <v>0.5</v>
      </c>
      <c r="AU109" s="46"/>
      <c r="AV109" s="46"/>
    </row>
    <row r="110" spans="1:48" x14ac:dyDescent="0.25">
      <c r="A110" s="12">
        <v>5566</v>
      </c>
      <c r="B110" s="13" t="s">
        <v>321</v>
      </c>
      <c r="C110" s="14">
        <v>516207.4</v>
      </c>
      <c r="D110" s="14">
        <v>51542.85</v>
      </c>
      <c r="E110" s="14"/>
      <c r="F110" s="14">
        <v>2490</v>
      </c>
      <c r="G110" s="14">
        <v>5031.95</v>
      </c>
      <c r="H110" s="14">
        <v>1621.25</v>
      </c>
      <c r="I110" s="14"/>
      <c r="J110" s="14">
        <v>10345.200000000001</v>
      </c>
      <c r="K110" s="14">
        <v>2103</v>
      </c>
      <c r="L110" s="14">
        <v>69080.850000000006</v>
      </c>
      <c r="M110" s="3">
        <f t="shared" si="3"/>
        <v>658422.49999999988</v>
      </c>
      <c r="N110" s="14">
        <v>59855.6</v>
      </c>
      <c r="O110" s="14">
        <v>3824.1</v>
      </c>
      <c r="P110" s="14">
        <v>960.45</v>
      </c>
      <c r="Q110" s="14">
        <v>268.72000000000003</v>
      </c>
      <c r="R110" s="14">
        <v>67</v>
      </c>
      <c r="S110" s="14">
        <v>187.5</v>
      </c>
      <c r="T110" s="14">
        <v>1305</v>
      </c>
      <c r="U110" s="14">
        <v>1470</v>
      </c>
      <c r="V110" s="14"/>
      <c r="W110" s="14"/>
      <c r="X110" s="2">
        <f t="shared" si="4"/>
        <v>726360.86999999976</v>
      </c>
      <c r="Y110" s="14"/>
      <c r="Z110" s="14">
        <v>34397.9</v>
      </c>
      <c r="AA110" s="14"/>
      <c r="AB110" s="14"/>
      <c r="AC110" s="14">
        <v>36810.25</v>
      </c>
      <c r="AD110" s="14"/>
      <c r="AE110" s="14"/>
      <c r="AF110" s="14"/>
      <c r="AG110" s="14"/>
      <c r="AH110" s="14"/>
      <c r="AI110" s="14"/>
      <c r="AJ110" s="14"/>
      <c r="AK110" s="14"/>
      <c r="AL110" s="48">
        <f t="shared" si="5"/>
        <v>71208.149999999994</v>
      </c>
      <c r="AM110" s="22">
        <v>81</v>
      </c>
      <c r="AN110" s="14">
        <v>385</v>
      </c>
      <c r="AO110" s="14">
        <v>-2719.58</v>
      </c>
      <c r="AP110" s="14"/>
      <c r="AQ110" s="14"/>
      <c r="AR110" s="44">
        <v>1.5</v>
      </c>
      <c r="AU110" s="46"/>
      <c r="AV110" s="46"/>
    </row>
    <row r="111" spans="1:48" x14ac:dyDescent="0.25">
      <c r="A111" s="12">
        <v>5568</v>
      </c>
      <c r="B111" s="13" t="s">
        <v>147</v>
      </c>
      <c r="C111" s="14">
        <v>4874707.46</v>
      </c>
      <c r="D111" s="14">
        <v>680818.35</v>
      </c>
      <c r="E111" s="14"/>
      <c r="F111" s="14"/>
      <c r="G111" s="14">
        <v>325588.15000000002</v>
      </c>
      <c r="H111" s="14">
        <v>40145.699999999997</v>
      </c>
      <c r="I111" s="14">
        <v>15460.9</v>
      </c>
      <c r="J111" s="14">
        <v>185243</v>
      </c>
      <c r="K111" s="14">
        <v>33497</v>
      </c>
      <c r="L111" s="14">
        <v>540209.44999999995</v>
      </c>
      <c r="M111" s="3">
        <f t="shared" si="3"/>
        <v>6695670.0100000007</v>
      </c>
      <c r="N111" s="14">
        <v>2072950.7</v>
      </c>
      <c r="O111" s="14">
        <v>172138.5</v>
      </c>
      <c r="P111" s="14">
        <v>253546.95</v>
      </c>
      <c r="Q111" s="14">
        <v>47147.74</v>
      </c>
      <c r="R111" s="14">
        <v>173208.45</v>
      </c>
      <c r="S111" s="14">
        <v>14255.1</v>
      </c>
      <c r="T111" s="14"/>
      <c r="U111" s="14">
        <v>20437.5</v>
      </c>
      <c r="V111" s="14"/>
      <c r="W111" s="14">
        <v>1128.3</v>
      </c>
      <c r="X111" s="2">
        <f t="shared" si="4"/>
        <v>9450483.25</v>
      </c>
      <c r="Y111" s="14">
        <v>27498.65</v>
      </c>
      <c r="Z111" s="14"/>
      <c r="AA111" s="14">
        <v>1397653.8</v>
      </c>
      <c r="AB111" s="14"/>
      <c r="AC111" s="14">
        <v>556370.25</v>
      </c>
      <c r="AD111" s="14">
        <v>46973.1</v>
      </c>
      <c r="AE111" s="14"/>
      <c r="AF111" s="14"/>
      <c r="AG111" s="14">
        <v>55647.55</v>
      </c>
      <c r="AH111" s="14"/>
      <c r="AI111" s="14"/>
      <c r="AJ111" s="14">
        <v>82362.2</v>
      </c>
      <c r="AK111" s="14"/>
      <c r="AL111" s="48">
        <f t="shared" si="5"/>
        <v>2166505.5500000003</v>
      </c>
      <c r="AM111" s="22">
        <v>70</v>
      </c>
      <c r="AN111" s="14">
        <v>4763</v>
      </c>
      <c r="AO111" s="14">
        <v>-201523.41</v>
      </c>
      <c r="AP111" s="14"/>
      <c r="AQ111" s="14">
        <v>-842.26</v>
      </c>
      <c r="AR111" s="44">
        <v>1</v>
      </c>
      <c r="AU111" s="46"/>
      <c r="AV111" s="46"/>
    </row>
    <row r="112" spans="1:48" x14ac:dyDescent="0.25">
      <c r="A112" s="12">
        <v>5571</v>
      </c>
      <c r="B112" s="13" t="s">
        <v>477</v>
      </c>
      <c r="C112" s="14">
        <v>1244926.46</v>
      </c>
      <c r="D112" s="14">
        <v>119172.86</v>
      </c>
      <c r="E112" s="14"/>
      <c r="F112" s="14"/>
      <c r="G112" s="14">
        <v>9608.2000000000007</v>
      </c>
      <c r="H112" s="14">
        <v>-77.75</v>
      </c>
      <c r="I112" s="14"/>
      <c r="J112" s="14">
        <v>10825.69</v>
      </c>
      <c r="K112" s="14">
        <v>3815</v>
      </c>
      <c r="L112" s="14">
        <v>154556.1</v>
      </c>
      <c r="M112" s="3">
        <f t="shared" si="3"/>
        <v>1542826.56</v>
      </c>
      <c r="N112" s="14">
        <v>61436.35</v>
      </c>
      <c r="O112" s="14"/>
      <c r="P112" s="14">
        <v>54677.599999999999</v>
      </c>
      <c r="Q112" s="14">
        <v>3256.05</v>
      </c>
      <c r="R112" s="14">
        <v>40747.1</v>
      </c>
      <c r="S112" s="14">
        <v>120</v>
      </c>
      <c r="T112" s="14"/>
      <c r="U112" s="14">
        <v>9550</v>
      </c>
      <c r="V112" s="14"/>
      <c r="W112" s="14"/>
      <c r="X112" s="2">
        <f t="shared" si="4"/>
        <v>1712613.6600000004</v>
      </c>
      <c r="Y112" s="14">
        <v>54255.1</v>
      </c>
      <c r="Z112" s="14"/>
      <c r="AA112" s="14">
        <v>111993.1</v>
      </c>
      <c r="AB112" s="14"/>
      <c r="AC112" s="14">
        <v>22256.3</v>
      </c>
      <c r="AD112" s="14">
        <v>77170</v>
      </c>
      <c r="AE112" s="14"/>
      <c r="AF112" s="14"/>
      <c r="AG112" s="14">
        <v>15737.2</v>
      </c>
      <c r="AH112" s="14">
        <v>20628.7</v>
      </c>
      <c r="AI112" s="14"/>
      <c r="AJ112" s="14"/>
      <c r="AK112" s="14"/>
      <c r="AL112" s="48">
        <f t="shared" si="5"/>
        <v>302040.40000000002</v>
      </c>
      <c r="AM112" s="22">
        <v>73</v>
      </c>
      <c r="AN112" s="14">
        <v>811</v>
      </c>
      <c r="AO112" s="14">
        <v>-4376.8999999999996</v>
      </c>
      <c r="AP112" s="14"/>
      <c r="AQ112" s="14">
        <v>-15.04</v>
      </c>
      <c r="AR112" s="44">
        <v>1.2</v>
      </c>
      <c r="AU112" s="46"/>
      <c r="AV112" s="46"/>
    </row>
    <row r="113" spans="1:48" x14ac:dyDescent="0.25">
      <c r="A113" s="12">
        <v>5581</v>
      </c>
      <c r="B113" s="13" t="s">
        <v>423</v>
      </c>
      <c r="C113" s="14">
        <v>9257364.4100000001</v>
      </c>
      <c r="D113" s="14">
        <v>1402752.89</v>
      </c>
      <c r="E113" s="14"/>
      <c r="F113" s="14"/>
      <c r="G113" s="14">
        <v>239725</v>
      </c>
      <c r="H113" s="14">
        <v>6685.5</v>
      </c>
      <c r="I113" s="14">
        <v>122551.1</v>
      </c>
      <c r="J113" s="14">
        <v>274430.56</v>
      </c>
      <c r="K113" s="14">
        <v>21875.5</v>
      </c>
      <c r="L113" s="14">
        <v>1164509.55</v>
      </c>
      <c r="M113" s="3">
        <f t="shared" si="3"/>
        <v>12489894.510000002</v>
      </c>
      <c r="N113" s="14"/>
      <c r="O113" s="14">
        <v>54877.5</v>
      </c>
      <c r="P113" s="14">
        <v>460485.8</v>
      </c>
      <c r="Q113" s="14">
        <v>15981.53</v>
      </c>
      <c r="R113" s="14">
        <v>294549.15000000002</v>
      </c>
      <c r="S113" s="14">
        <v>156.25</v>
      </c>
      <c r="T113" s="14"/>
      <c r="U113" s="14">
        <v>15330</v>
      </c>
      <c r="V113" s="14"/>
      <c r="W113" s="14"/>
      <c r="X113" s="2">
        <f t="shared" si="4"/>
        <v>13331274.740000002</v>
      </c>
      <c r="Y113" s="14">
        <v>85201.62</v>
      </c>
      <c r="Z113" s="14"/>
      <c r="AA113" s="14">
        <v>624295.92000000004</v>
      </c>
      <c r="AB113" s="14"/>
      <c r="AC113" s="14">
        <v>547267.16</v>
      </c>
      <c r="AD113" s="14">
        <v>146264.03</v>
      </c>
      <c r="AE113" s="14"/>
      <c r="AF113" s="14"/>
      <c r="AG113" s="14">
        <v>11742.1</v>
      </c>
      <c r="AH113" s="14"/>
      <c r="AI113" s="14"/>
      <c r="AJ113" s="14">
        <v>74347.25</v>
      </c>
      <c r="AK113" s="14"/>
      <c r="AL113" s="48">
        <f t="shared" si="5"/>
        <v>1489118.0800000003</v>
      </c>
      <c r="AM113" s="22">
        <v>69.5</v>
      </c>
      <c r="AN113" s="14">
        <v>3602</v>
      </c>
      <c r="AO113" s="14">
        <v>-87446.64</v>
      </c>
      <c r="AP113" s="14"/>
      <c r="AQ113" s="14">
        <v>-4372.1000000000004</v>
      </c>
      <c r="AR113" s="44">
        <v>1.5</v>
      </c>
      <c r="AU113" s="46"/>
      <c r="AV113" s="46"/>
    </row>
    <row r="114" spans="1:48" x14ac:dyDescent="0.25">
      <c r="A114" s="12">
        <v>5582</v>
      </c>
      <c r="B114" s="13" t="s">
        <v>424</v>
      </c>
      <c r="C114" s="14">
        <v>8896714.3499999996</v>
      </c>
      <c r="D114" s="14">
        <v>843758.45</v>
      </c>
      <c r="E114" s="14"/>
      <c r="F114" s="14"/>
      <c r="G114" s="14">
        <v>892162.62</v>
      </c>
      <c r="H114" s="14">
        <v>460526.45</v>
      </c>
      <c r="I114" s="14">
        <v>37580.65</v>
      </c>
      <c r="J114" s="14">
        <v>470725.42</v>
      </c>
      <c r="K114" s="14">
        <v>37413</v>
      </c>
      <c r="L114" s="14">
        <v>733987</v>
      </c>
      <c r="M114" s="3">
        <f t="shared" si="3"/>
        <v>12372867.939999998</v>
      </c>
      <c r="N114" s="14">
        <v>603734.35</v>
      </c>
      <c r="O114" s="14">
        <v>65354.5</v>
      </c>
      <c r="P114" s="14">
        <v>459236.85</v>
      </c>
      <c r="Q114" s="14">
        <v>54403.77</v>
      </c>
      <c r="R114" s="14">
        <v>236385.7</v>
      </c>
      <c r="S114" s="14">
        <v>634.4</v>
      </c>
      <c r="T114" s="14">
        <v>1442</v>
      </c>
      <c r="U114" s="14">
        <v>15150</v>
      </c>
      <c r="V114" s="14"/>
      <c r="W114" s="14"/>
      <c r="X114" s="2">
        <f t="shared" si="4"/>
        <v>13809209.509999996</v>
      </c>
      <c r="Y114" s="14">
        <v>255472.7</v>
      </c>
      <c r="Z114" s="14">
        <v>14220.15</v>
      </c>
      <c r="AA114" s="14">
        <v>571281.4</v>
      </c>
      <c r="AB114" s="14"/>
      <c r="AC114" s="14">
        <v>479097.1</v>
      </c>
      <c r="AD114" s="14"/>
      <c r="AE114" s="14"/>
      <c r="AF114" s="14"/>
      <c r="AG114" s="14"/>
      <c r="AH114" s="14">
        <v>189553.35</v>
      </c>
      <c r="AI114" s="14"/>
      <c r="AJ114" s="14"/>
      <c r="AK114" s="14"/>
      <c r="AL114" s="48">
        <f t="shared" si="5"/>
        <v>1509624.7000000002</v>
      </c>
      <c r="AM114" s="22">
        <v>74.5</v>
      </c>
      <c r="AN114" s="14">
        <v>4297</v>
      </c>
      <c r="AO114" s="14">
        <v>-107561.04</v>
      </c>
      <c r="AP114" s="14"/>
      <c r="AQ114" s="14">
        <v>-1400.24</v>
      </c>
      <c r="AR114" s="44">
        <v>1</v>
      </c>
      <c r="AU114" s="46"/>
      <c r="AV114" s="46"/>
    </row>
    <row r="115" spans="1:48" x14ac:dyDescent="0.25">
      <c r="A115" s="12">
        <v>5583</v>
      </c>
      <c r="B115" s="13" t="s">
        <v>425</v>
      </c>
      <c r="C115" s="14">
        <v>11590545.550000001</v>
      </c>
      <c r="D115" s="14">
        <v>1365761.93</v>
      </c>
      <c r="E115" s="14"/>
      <c r="F115" s="14"/>
      <c r="G115" s="14">
        <v>5092648.45</v>
      </c>
      <c r="H115" s="14">
        <v>307857.90000000002</v>
      </c>
      <c r="I115" s="14"/>
      <c r="J115" s="14">
        <v>726320.2</v>
      </c>
      <c r="K115" s="14">
        <v>159156</v>
      </c>
      <c r="L115" s="14">
        <v>2041772.75</v>
      </c>
      <c r="M115" s="3">
        <f t="shared" si="3"/>
        <v>21284062.779999997</v>
      </c>
      <c r="N115" s="14">
        <v>1552944.55</v>
      </c>
      <c r="O115" s="14">
        <v>90009.9</v>
      </c>
      <c r="P115" s="14">
        <v>804714.9</v>
      </c>
      <c r="Q115" s="14">
        <v>78063.05</v>
      </c>
      <c r="R115" s="14">
        <v>476354.15</v>
      </c>
      <c r="S115" s="14">
        <v>837.5</v>
      </c>
      <c r="T115" s="14"/>
      <c r="U115" s="14">
        <v>44737.5</v>
      </c>
      <c r="V115" s="14">
        <v>546</v>
      </c>
      <c r="W115" s="14">
        <v>130449.75</v>
      </c>
      <c r="X115" s="2">
        <f t="shared" si="4"/>
        <v>24462720.079999994</v>
      </c>
      <c r="Y115" s="14">
        <v>408284</v>
      </c>
      <c r="Z115" s="14">
        <v>106725.85</v>
      </c>
      <c r="AA115" s="14"/>
      <c r="AB115" s="14"/>
      <c r="AC115" s="14">
        <v>936630.7</v>
      </c>
      <c r="AD115" s="14">
        <v>776171.16</v>
      </c>
      <c r="AE115" s="14">
        <v>813451.61</v>
      </c>
      <c r="AF115" s="14">
        <v>-828.5</v>
      </c>
      <c r="AG115" s="14">
        <v>187842.1</v>
      </c>
      <c r="AH115" s="14">
        <v>591822.1</v>
      </c>
      <c r="AI115" s="14"/>
      <c r="AJ115" s="14">
        <v>41915.85</v>
      </c>
      <c r="AK115" s="14"/>
      <c r="AL115" s="48">
        <f t="shared" si="5"/>
        <v>3862014.87</v>
      </c>
      <c r="AM115" s="22">
        <v>65</v>
      </c>
      <c r="AN115" s="14">
        <v>7542</v>
      </c>
      <c r="AO115" s="14">
        <v>-305920.89</v>
      </c>
      <c r="AP115" s="14"/>
      <c r="AQ115" s="14">
        <v>-1033.1600000000001</v>
      </c>
      <c r="AR115" s="44">
        <v>1</v>
      </c>
      <c r="AU115" s="46"/>
      <c r="AV115" s="46"/>
    </row>
    <row r="116" spans="1:48" x14ac:dyDescent="0.25">
      <c r="A116" s="12">
        <v>5584</v>
      </c>
      <c r="B116" s="13" t="s">
        <v>426</v>
      </c>
      <c r="C116" s="14">
        <v>21958763.670000002</v>
      </c>
      <c r="D116" s="14">
        <v>3977442.25</v>
      </c>
      <c r="E116" s="14"/>
      <c r="F116" s="14"/>
      <c r="G116" s="14">
        <v>1093903.7</v>
      </c>
      <c r="H116" s="14">
        <v>43030.75</v>
      </c>
      <c r="I116" s="14">
        <v>343593.03</v>
      </c>
      <c r="J116" s="14">
        <v>768147.68</v>
      </c>
      <c r="K116" s="14">
        <v>174937</v>
      </c>
      <c r="L116" s="14">
        <v>1928223.46</v>
      </c>
      <c r="M116" s="3">
        <f t="shared" si="3"/>
        <v>30288041.540000003</v>
      </c>
      <c r="N116" s="14">
        <v>154161.45000000001</v>
      </c>
      <c r="O116" s="14">
        <v>1361273.5</v>
      </c>
      <c r="P116" s="14">
        <v>1215434</v>
      </c>
      <c r="Q116" s="14">
        <v>31028.22</v>
      </c>
      <c r="R116" s="14">
        <v>671671.65</v>
      </c>
      <c r="S116" s="14">
        <v>818.75</v>
      </c>
      <c r="T116" s="14">
        <v>29241</v>
      </c>
      <c r="U116" s="14">
        <v>34320</v>
      </c>
      <c r="V116" s="14">
        <v>393.3</v>
      </c>
      <c r="W116" s="14"/>
      <c r="X116" s="2">
        <f t="shared" si="4"/>
        <v>33786383.409999996</v>
      </c>
      <c r="Y116" s="14">
        <v>363090.05</v>
      </c>
      <c r="Z116" s="14"/>
      <c r="AA116" s="14">
        <v>512594.35</v>
      </c>
      <c r="AB116" s="14"/>
      <c r="AC116" s="14">
        <v>713021.1</v>
      </c>
      <c r="AD116" s="14"/>
      <c r="AE116" s="14"/>
      <c r="AF116" s="14"/>
      <c r="AG116" s="14"/>
      <c r="AH116" s="14">
        <v>245738.47</v>
      </c>
      <c r="AI116" s="14"/>
      <c r="AJ116" s="14"/>
      <c r="AK116" s="14"/>
      <c r="AL116" s="48">
        <f t="shared" si="5"/>
        <v>1834443.97</v>
      </c>
      <c r="AM116" s="22">
        <v>66</v>
      </c>
      <c r="AN116" s="14">
        <v>9185</v>
      </c>
      <c r="AO116" s="14">
        <v>-216937.36</v>
      </c>
      <c r="AP116" s="14"/>
      <c r="AQ116" s="14">
        <v>-11174.34</v>
      </c>
      <c r="AR116" s="44">
        <v>1</v>
      </c>
      <c r="AU116" s="46"/>
      <c r="AV116" s="46"/>
    </row>
    <row r="117" spans="1:48" x14ac:dyDescent="0.25">
      <c r="A117" s="12">
        <v>5585</v>
      </c>
      <c r="B117" s="13" t="s">
        <v>427</v>
      </c>
      <c r="C117" s="14">
        <v>5022574.3</v>
      </c>
      <c r="D117" s="14">
        <v>2619864.16</v>
      </c>
      <c r="E117" s="14"/>
      <c r="F117" s="14"/>
      <c r="G117" s="14">
        <v>95839.85</v>
      </c>
      <c r="H117" s="14">
        <v>763.85</v>
      </c>
      <c r="I117" s="14">
        <v>336191.6</v>
      </c>
      <c r="J117" s="14">
        <v>-70955.75</v>
      </c>
      <c r="K117" s="14">
        <v>5022</v>
      </c>
      <c r="L117" s="14">
        <v>447917</v>
      </c>
      <c r="M117" s="3">
        <f t="shared" si="3"/>
        <v>8457217.0099999979</v>
      </c>
      <c r="N117" s="14">
        <v>2778.95</v>
      </c>
      <c r="O117" s="14">
        <v>204874.5</v>
      </c>
      <c r="P117" s="14">
        <v>151862.35</v>
      </c>
      <c r="Q117" s="14">
        <v>2065.14</v>
      </c>
      <c r="R117" s="14">
        <v>189083.5</v>
      </c>
      <c r="S117" s="14"/>
      <c r="T117" s="14"/>
      <c r="U117" s="14">
        <v>6690</v>
      </c>
      <c r="V117" s="14"/>
      <c r="W117" s="14"/>
      <c r="X117" s="2">
        <f t="shared" si="4"/>
        <v>9014571.4499999974</v>
      </c>
      <c r="Y117" s="14">
        <v>94167.8</v>
      </c>
      <c r="Z117" s="14"/>
      <c r="AA117" s="14">
        <v>281565.05</v>
      </c>
      <c r="AB117" s="14"/>
      <c r="AC117" s="14">
        <v>150488.29999999999</v>
      </c>
      <c r="AD117" s="14"/>
      <c r="AE117" s="14"/>
      <c r="AF117" s="14"/>
      <c r="AG117" s="14"/>
      <c r="AH117" s="14"/>
      <c r="AI117" s="14"/>
      <c r="AJ117" s="14"/>
      <c r="AK117" s="14"/>
      <c r="AL117" s="48">
        <f t="shared" si="5"/>
        <v>526221.14999999991</v>
      </c>
      <c r="AM117" s="22">
        <v>53</v>
      </c>
      <c r="AN117" s="14">
        <v>1405</v>
      </c>
      <c r="AO117" s="14">
        <v>-19725.86</v>
      </c>
      <c r="AP117" s="14"/>
      <c r="AQ117" s="14">
        <v>-3128.64</v>
      </c>
      <c r="AR117" s="44">
        <v>1</v>
      </c>
      <c r="AU117" s="46"/>
      <c r="AV117" s="46"/>
    </row>
    <row r="118" spans="1:48" x14ac:dyDescent="0.25">
      <c r="A118" s="12">
        <v>5586</v>
      </c>
      <c r="B118" s="13" t="s">
        <v>148</v>
      </c>
      <c r="C118" s="14">
        <v>281482973.88999999</v>
      </c>
      <c r="D118" s="14">
        <v>33996173.700000003</v>
      </c>
      <c r="E118" s="14"/>
      <c r="F118" s="14"/>
      <c r="G118" s="14">
        <v>91421548.799999997</v>
      </c>
      <c r="H118" s="14">
        <v>5320896.6500000004</v>
      </c>
      <c r="I118" s="14">
        <v>4526664.26</v>
      </c>
      <c r="J118" s="14">
        <v>28276234.800000001</v>
      </c>
      <c r="K118" s="14">
        <v>5027736</v>
      </c>
      <c r="L118" s="14">
        <v>32342872.300000001</v>
      </c>
      <c r="M118" s="3">
        <f t="shared" si="3"/>
        <v>482395100.39999998</v>
      </c>
      <c r="N118" s="14">
        <v>10512662.449999999</v>
      </c>
      <c r="O118" s="14">
        <v>13168590.65</v>
      </c>
      <c r="P118" s="14">
        <v>8943912.6999999993</v>
      </c>
      <c r="Q118" s="14">
        <v>2923790.37</v>
      </c>
      <c r="R118" s="14">
        <v>6074642.5</v>
      </c>
      <c r="S118" s="14">
        <v>31.25</v>
      </c>
      <c r="T118" s="14"/>
      <c r="U118" s="14">
        <v>342730</v>
      </c>
      <c r="V118" s="14">
        <v>5261084.9000000004</v>
      </c>
      <c r="W118" s="14"/>
      <c r="X118" s="2">
        <f t="shared" si="4"/>
        <v>529622545.21999991</v>
      </c>
      <c r="Y118" s="14">
        <v>2943727.35</v>
      </c>
      <c r="Z118" s="14"/>
      <c r="AA118" s="14">
        <v>14236152.35</v>
      </c>
      <c r="AB118" s="14"/>
      <c r="AC118" s="14">
        <v>21367276.350000001</v>
      </c>
      <c r="AD118" s="14">
        <v>8412968.0999999996</v>
      </c>
      <c r="AE118" s="14"/>
      <c r="AF118" s="14"/>
      <c r="AG118" s="14">
        <v>3066891.44</v>
      </c>
      <c r="AH118" s="14">
        <v>7729156.4900000002</v>
      </c>
      <c r="AI118" s="14">
        <v>7558073.0499999998</v>
      </c>
      <c r="AJ118" s="14">
        <v>1681663.53</v>
      </c>
      <c r="AK118" s="14">
        <v>1681644.88</v>
      </c>
      <c r="AL118" s="48">
        <f t="shared" si="5"/>
        <v>68677553.539999992</v>
      </c>
      <c r="AM118" s="22">
        <v>79</v>
      </c>
      <c r="AN118" s="14">
        <v>134937</v>
      </c>
      <c r="AO118" s="14">
        <v>-8430238.9199999999</v>
      </c>
      <c r="AP118" s="14"/>
      <c r="AQ118" s="14">
        <v>-206845.15</v>
      </c>
      <c r="AR118" s="44">
        <v>1.5</v>
      </c>
      <c r="AU118" s="46"/>
      <c r="AV118" s="46"/>
    </row>
    <row r="119" spans="1:48" x14ac:dyDescent="0.25">
      <c r="A119" s="12">
        <v>5587</v>
      </c>
      <c r="B119" s="13" t="s">
        <v>149</v>
      </c>
      <c r="C119" s="14">
        <v>19899997.789999999</v>
      </c>
      <c r="D119" s="14">
        <v>2883652.57</v>
      </c>
      <c r="E119" s="14"/>
      <c r="F119" s="14"/>
      <c r="G119" s="14">
        <v>3250117.2</v>
      </c>
      <c r="H119" s="14">
        <v>447170.3</v>
      </c>
      <c r="I119" s="14">
        <v>89175.05</v>
      </c>
      <c r="J119" s="14">
        <v>468295.99</v>
      </c>
      <c r="K119" s="14">
        <v>173689.5</v>
      </c>
      <c r="L119" s="14">
        <v>1992866.75</v>
      </c>
      <c r="M119" s="3">
        <f t="shared" si="3"/>
        <v>29204965.149999999</v>
      </c>
      <c r="N119" s="14">
        <v>506518.25</v>
      </c>
      <c r="O119" s="14">
        <v>837970.6</v>
      </c>
      <c r="P119" s="14">
        <v>1747466.05</v>
      </c>
      <c r="Q119" s="14">
        <v>79595.45</v>
      </c>
      <c r="R119" s="14">
        <v>367371.45</v>
      </c>
      <c r="S119" s="14">
        <v>174.5</v>
      </c>
      <c r="T119" s="14">
        <v>2340</v>
      </c>
      <c r="U119" s="14">
        <v>33450</v>
      </c>
      <c r="V119" s="14"/>
      <c r="W119" s="14"/>
      <c r="X119" s="2">
        <f t="shared" si="4"/>
        <v>32779851.449999999</v>
      </c>
      <c r="Y119" s="14">
        <v>348472</v>
      </c>
      <c r="Z119" s="14"/>
      <c r="AA119" s="14">
        <v>1351410.5</v>
      </c>
      <c r="AB119" s="14"/>
      <c r="AC119" s="14">
        <v>601234.56999999995</v>
      </c>
      <c r="AD119" s="14"/>
      <c r="AE119" s="14"/>
      <c r="AF119" s="14"/>
      <c r="AG119" s="14"/>
      <c r="AH119" s="14">
        <v>291846.46000000002</v>
      </c>
      <c r="AI119" s="14"/>
      <c r="AJ119" s="14"/>
      <c r="AK119" s="14"/>
      <c r="AL119" s="48">
        <f t="shared" si="5"/>
        <v>2592963.5299999998</v>
      </c>
      <c r="AM119" s="22">
        <v>75</v>
      </c>
      <c r="AN119" s="14">
        <v>7271</v>
      </c>
      <c r="AO119" s="14">
        <v>-402509.5</v>
      </c>
      <c r="AP119" s="14"/>
      <c r="AQ119" s="14">
        <v>-16231.38</v>
      </c>
      <c r="AR119" s="44">
        <v>1.2</v>
      </c>
      <c r="AU119" s="46"/>
      <c r="AV119" s="46"/>
    </row>
    <row r="120" spans="1:48" x14ac:dyDescent="0.25">
      <c r="A120" s="12">
        <v>5588</v>
      </c>
      <c r="B120" s="13" t="s">
        <v>150</v>
      </c>
      <c r="C120" s="14">
        <v>5787909.3499999996</v>
      </c>
      <c r="D120" s="14">
        <v>1669415.97</v>
      </c>
      <c r="E120" s="14"/>
      <c r="F120" s="14"/>
      <c r="G120" s="14">
        <v>730710.1</v>
      </c>
      <c r="H120" s="14">
        <v>207141.55</v>
      </c>
      <c r="I120" s="14">
        <v>358764.17</v>
      </c>
      <c r="J120" s="14">
        <v>165800.16</v>
      </c>
      <c r="K120" s="14">
        <v>36739.5</v>
      </c>
      <c r="L120" s="14">
        <v>330066.34999999998</v>
      </c>
      <c r="M120" s="3">
        <f t="shared" si="3"/>
        <v>9286547.1499999985</v>
      </c>
      <c r="N120" s="14">
        <v>18905.45</v>
      </c>
      <c r="O120" s="14">
        <v>14758.7</v>
      </c>
      <c r="P120" s="14">
        <v>9185</v>
      </c>
      <c r="Q120" s="14">
        <v>34004.75</v>
      </c>
      <c r="R120" s="14">
        <v>13581.25</v>
      </c>
      <c r="S120" s="14">
        <v>260</v>
      </c>
      <c r="T120" s="14"/>
      <c r="U120" s="14">
        <v>5437.5</v>
      </c>
      <c r="V120" s="14"/>
      <c r="W120" s="14"/>
      <c r="X120" s="2">
        <f t="shared" si="4"/>
        <v>9382679.799999997</v>
      </c>
      <c r="Y120" s="14"/>
      <c r="Z120" s="14">
        <v>1787</v>
      </c>
      <c r="AA120" s="14">
        <v>113056</v>
      </c>
      <c r="AB120" s="14"/>
      <c r="AC120" s="14">
        <v>129627</v>
      </c>
      <c r="AD120" s="14"/>
      <c r="AE120" s="14">
        <v>1745</v>
      </c>
      <c r="AF120" s="14"/>
      <c r="AG120" s="14"/>
      <c r="AH120" s="14"/>
      <c r="AI120" s="14">
        <v>32208</v>
      </c>
      <c r="AJ120" s="14"/>
      <c r="AK120" s="14">
        <v>16104</v>
      </c>
      <c r="AL120" s="48">
        <f t="shared" si="5"/>
        <v>294527</v>
      </c>
      <c r="AM120" s="22">
        <v>61.5</v>
      </c>
      <c r="AN120" s="14">
        <v>1485</v>
      </c>
      <c r="AO120" s="14">
        <v>-41925.31</v>
      </c>
      <c r="AP120" s="14"/>
      <c r="AQ120" s="14">
        <v>-23511.37</v>
      </c>
      <c r="AR120" s="44">
        <v>0.7</v>
      </c>
      <c r="AU120" s="46"/>
      <c r="AV120" s="46"/>
    </row>
    <row r="121" spans="1:48" x14ac:dyDescent="0.25">
      <c r="A121" s="12">
        <v>5589</v>
      </c>
      <c r="B121" s="13" t="s">
        <v>151</v>
      </c>
      <c r="C121" s="14">
        <v>18205349.5</v>
      </c>
      <c r="D121" s="14">
        <v>1849114.58</v>
      </c>
      <c r="E121" s="14"/>
      <c r="F121" s="14"/>
      <c r="G121" s="14">
        <v>9957127.5999999996</v>
      </c>
      <c r="H121" s="14">
        <v>588390.75</v>
      </c>
      <c r="I121" s="14">
        <v>32826.199999999997</v>
      </c>
      <c r="J121" s="14">
        <v>1734884.87</v>
      </c>
      <c r="K121" s="14">
        <v>323358</v>
      </c>
      <c r="L121" s="14">
        <v>1734970.6</v>
      </c>
      <c r="M121" s="3">
        <f t="shared" si="3"/>
        <v>34426022.100000001</v>
      </c>
      <c r="N121" s="14">
        <v>1442728.6</v>
      </c>
      <c r="O121" s="14">
        <v>735063.5</v>
      </c>
      <c r="P121" s="14">
        <v>1528649.05</v>
      </c>
      <c r="Q121" s="14">
        <v>568438.1</v>
      </c>
      <c r="R121" s="14">
        <v>355131.45</v>
      </c>
      <c r="S121" s="14">
        <v>737.5</v>
      </c>
      <c r="T121" s="14"/>
      <c r="U121" s="14">
        <v>36600</v>
      </c>
      <c r="V121" s="14"/>
      <c r="W121" s="14"/>
      <c r="X121" s="2">
        <f t="shared" si="4"/>
        <v>39093370.300000004</v>
      </c>
      <c r="Y121" s="14">
        <v>108502.6</v>
      </c>
      <c r="Z121" s="14"/>
      <c r="AA121" s="14">
        <v>1852367.4</v>
      </c>
      <c r="AB121" s="14"/>
      <c r="AC121" s="14">
        <v>833745.6</v>
      </c>
      <c r="AD121" s="14"/>
      <c r="AE121" s="14"/>
      <c r="AF121" s="14">
        <v>323.2</v>
      </c>
      <c r="AG121" s="14"/>
      <c r="AH121" s="14">
        <v>365864.07</v>
      </c>
      <c r="AI121" s="14"/>
      <c r="AJ121" s="14">
        <v>94079.35</v>
      </c>
      <c r="AK121" s="14"/>
      <c r="AL121" s="48">
        <f t="shared" si="5"/>
        <v>3254882.22</v>
      </c>
      <c r="AM121" s="22">
        <v>73.5</v>
      </c>
      <c r="AN121" s="14">
        <v>11782</v>
      </c>
      <c r="AO121" s="14">
        <v>-1003835.5</v>
      </c>
      <c r="AP121" s="14"/>
      <c r="AQ121" s="14">
        <v>-3124.18</v>
      </c>
      <c r="AR121" s="44">
        <v>1</v>
      </c>
      <c r="AU121" s="46"/>
      <c r="AV121" s="46"/>
    </row>
    <row r="122" spans="1:48" x14ac:dyDescent="0.25">
      <c r="A122" s="12">
        <v>5590</v>
      </c>
      <c r="B122" s="13" t="s">
        <v>152</v>
      </c>
      <c r="C122" s="14">
        <v>55029205.439999998</v>
      </c>
      <c r="D122" s="14">
        <v>14439476.060000001</v>
      </c>
      <c r="E122" s="14"/>
      <c r="F122" s="14"/>
      <c r="G122" s="14">
        <v>8149571.2000000002</v>
      </c>
      <c r="H122" s="14">
        <v>283744.34999999998</v>
      </c>
      <c r="I122" s="14">
        <v>2637484.9300000002</v>
      </c>
      <c r="J122" s="14">
        <v>1483221.57</v>
      </c>
      <c r="K122" s="14">
        <v>403703.5</v>
      </c>
      <c r="L122" s="14">
        <v>3066488.3</v>
      </c>
      <c r="M122" s="3">
        <f t="shared" si="3"/>
        <v>85492895.349999994</v>
      </c>
      <c r="N122" s="14">
        <v>118526</v>
      </c>
      <c r="O122" s="14">
        <v>5723813.5</v>
      </c>
      <c r="P122" s="14">
        <v>3248077.9</v>
      </c>
      <c r="Q122" s="14">
        <v>292623.14</v>
      </c>
      <c r="R122" s="14">
        <v>2257616.75</v>
      </c>
      <c r="S122" s="14">
        <v>2659.65</v>
      </c>
      <c r="T122" s="14"/>
      <c r="U122" s="14">
        <v>48900</v>
      </c>
      <c r="V122" s="14"/>
      <c r="W122" s="14"/>
      <c r="X122" s="2">
        <f t="shared" si="4"/>
        <v>97185112.290000007</v>
      </c>
      <c r="Y122" s="14">
        <v>479095.18</v>
      </c>
      <c r="Z122" s="14"/>
      <c r="AA122" s="14">
        <v>3348168.99</v>
      </c>
      <c r="AB122" s="14"/>
      <c r="AC122" s="14">
        <v>2642360.9900000002</v>
      </c>
      <c r="AD122" s="14">
        <v>437735.86</v>
      </c>
      <c r="AE122" s="14"/>
      <c r="AF122" s="14"/>
      <c r="AG122" s="14">
        <v>39235.72</v>
      </c>
      <c r="AH122" s="14">
        <v>350000.41</v>
      </c>
      <c r="AI122" s="14">
        <v>514999.13</v>
      </c>
      <c r="AJ122" s="14"/>
      <c r="AK122" s="14"/>
      <c r="AL122" s="48">
        <f t="shared" si="5"/>
        <v>7811596.2800000003</v>
      </c>
      <c r="AM122" s="22">
        <v>63</v>
      </c>
      <c r="AN122" s="14">
        <v>17811</v>
      </c>
      <c r="AO122" s="14">
        <v>-857905.75</v>
      </c>
      <c r="AP122" s="14"/>
      <c r="AQ122" s="14">
        <v>-140766.15</v>
      </c>
      <c r="AR122" s="44">
        <v>0.7</v>
      </c>
      <c r="AU122" s="46"/>
      <c r="AV122" s="46"/>
    </row>
    <row r="123" spans="1:48" x14ac:dyDescent="0.25">
      <c r="A123" s="12">
        <v>5591</v>
      </c>
      <c r="B123" s="13" t="s">
        <v>430</v>
      </c>
      <c r="C123" s="14">
        <v>29280274.710000001</v>
      </c>
      <c r="D123" s="14">
        <v>2691022.69</v>
      </c>
      <c r="E123" s="14"/>
      <c r="F123" s="14"/>
      <c r="G123" s="14">
        <v>4621894.3</v>
      </c>
      <c r="H123" s="14">
        <v>552038.30000000005</v>
      </c>
      <c r="I123" s="14"/>
      <c r="J123" s="14">
        <v>3007106.98</v>
      </c>
      <c r="K123" s="14">
        <v>570782.5</v>
      </c>
      <c r="L123" s="14">
        <v>4564826.1500000004</v>
      </c>
      <c r="M123" s="3">
        <f t="shared" si="3"/>
        <v>45287945.629999995</v>
      </c>
      <c r="N123" s="14">
        <v>2177057.7000000002</v>
      </c>
      <c r="O123" s="14">
        <v>264140</v>
      </c>
      <c r="P123" s="14">
        <v>574666.85</v>
      </c>
      <c r="Q123" s="14">
        <v>470418.13</v>
      </c>
      <c r="R123" s="14">
        <v>195701.9</v>
      </c>
      <c r="S123" s="14">
        <v>4587.5</v>
      </c>
      <c r="T123" s="14"/>
      <c r="U123" s="14">
        <v>46900</v>
      </c>
      <c r="V123" s="14">
        <v>100251.4</v>
      </c>
      <c r="W123" s="14">
        <v>51961</v>
      </c>
      <c r="X123" s="2">
        <f t="shared" si="4"/>
        <v>49173630.109999999</v>
      </c>
      <c r="Y123" s="14">
        <v>204716.79999999999</v>
      </c>
      <c r="Z123" s="14"/>
      <c r="AA123" s="14">
        <v>1321933.3500000001</v>
      </c>
      <c r="AB123" s="14">
        <v>21048</v>
      </c>
      <c r="AC123" s="14">
        <v>2272976.12</v>
      </c>
      <c r="AD123" s="14"/>
      <c r="AE123" s="14"/>
      <c r="AF123" s="14"/>
      <c r="AG123" s="14">
        <v>2613.85</v>
      </c>
      <c r="AH123" s="14">
        <v>562344.14</v>
      </c>
      <c r="AI123" s="14"/>
      <c r="AJ123" s="14"/>
      <c r="AK123" s="14">
        <v>80334.710000000006</v>
      </c>
      <c r="AL123" s="48">
        <f t="shared" si="5"/>
        <v>4465966.9700000007</v>
      </c>
      <c r="AM123" s="22">
        <v>78.5</v>
      </c>
      <c r="AN123" s="14">
        <v>20362</v>
      </c>
      <c r="AO123" s="14">
        <v>-1518948.24</v>
      </c>
      <c r="AP123" s="14"/>
      <c r="AQ123" s="14">
        <v>-3899.55</v>
      </c>
      <c r="AR123" s="44">
        <v>1.4</v>
      </c>
      <c r="AU123" s="46"/>
      <c r="AV123" s="46"/>
    </row>
    <row r="124" spans="1:48" x14ac:dyDescent="0.25">
      <c r="A124" s="12">
        <v>5592</v>
      </c>
      <c r="B124" s="13" t="s">
        <v>245</v>
      </c>
      <c r="C124" s="14">
        <v>5662336.0599999996</v>
      </c>
      <c r="D124" s="14">
        <v>649560.02</v>
      </c>
      <c r="E124" s="14"/>
      <c r="F124" s="14"/>
      <c r="G124" s="14">
        <v>612388.4</v>
      </c>
      <c r="H124" s="14">
        <v>5613.1</v>
      </c>
      <c r="I124" s="14">
        <v>19455.8</v>
      </c>
      <c r="J124" s="14">
        <v>85143.31</v>
      </c>
      <c r="K124" s="14">
        <v>83295</v>
      </c>
      <c r="L124" s="14">
        <v>639323.19999999995</v>
      </c>
      <c r="M124" s="3">
        <f t="shared" si="3"/>
        <v>7757114.8899999997</v>
      </c>
      <c r="N124" s="14">
        <v>229362.6</v>
      </c>
      <c r="O124" s="14">
        <v>2835</v>
      </c>
      <c r="P124" s="14">
        <v>208475.15</v>
      </c>
      <c r="Q124" s="14">
        <v>51681.67</v>
      </c>
      <c r="R124" s="14">
        <v>645041.35</v>
      </c>
      <c r="S124" s="14">
        <v>331.25</v>
      </c>
      <c r="T124" s="14">
        <v>1601</v>
      </c>
      <c r="U124" s="14">
        <v>15975</v>
      </c>
      <c r="V124" s="14"/>
      <c r="W124" s="14"/>
      <c r="X124" s="2">
        <f t="shared" si="4"/>
        <v>8912417.9100000001</v>
      </c>
      <c r="Y124" s="14">
        <v>22666.799999999999</v>
      </c>
      <c r="Z124" s="14">
        <v>22427.15</v>
      </c>
      <c r="AA124" s="14">
        <v>151662.59</v>
      </c>
      <c r="AB124" s="14"/>
      <c r="AC124" s="14">
        <v>220051.99</v>
      </c>
      <c r="AD124" s="14">
        <v>6083.75</v>
      </c>
      <c r="AE124" s="14">
        <v>14419.27</v>
      </c>
      <c r="AF124" s="14"/>
      <c r="AG124" s="14"/>
      <c r="AH124" s="14">
        <v>102021.66</v>
      </c>
      <c r="AI124" s="14">
        <v>58301.27</v>
      </c>
      <c r="AJ124" s="14">
        <v>43725.96</v>
      </c>
      <c r="AK124" s="14"/>
      <c r="AL124" s="48">
        <f t="shared" si="5"/>
        <v>641360.43999999994</v>
      </c>
      <c r="AM124" s="22">
        <v>70</v>
      </c>
      <c r="AN124" s="14">
        <v>3351</v>
      </c>
      <c r="AO124" s="14">
        <v>-85547.24</v>
      </c>
      <c r="AP124" s="14"/>
      <c r="AQ124" s="14">
        <v>-4080.64</v>
      </c>
      <c r="AR124" s="44">
        <v>1</v>
      </c>
      <c r="AU124" s="46"/>
      <c r="AV124" s="46"/>
    </row>
    <row r="125" spans="1:48" x14ac:dyDescent="0.25">
      <c r="A125" s="12">
        <v>5601</v>
      </c>
      <c r="B125" s="13" t="s">
        <v>332</v>
      </c>
      <c r="C125" s="14">
        <v>5103556.3099999996</v>
      </c>
      <c r="D125" s="14">
        <v>948529.45</v>
      </c>
      <c r="E125" s="14"/>
      <c r="F125" s="14"/>
      <c r="G125" s="14">
        <v>212626.15</v>
      </c>
      <c r="H125" s="14">
        <v>6892.3</v>
      </c>
      <c r="I125" s="14">
        <v>-16752.3</v>
      </c>
      <c r="J125" s="14">
        <v>117107.69</v>
      </c>
      <c r="K125" s="14">
        <v>8891</v>
      </c>
      <c r="L125" s="14">
        <v>397141.25</v>
      </c>
      <c r="M125" s="3">
        <f t="shared" si="3"/>
        <v>6777991.8500000006</v>
      </c>
      <c r="N125" s="14">
        <v>53917.5</v>
      </c>
      <c r="O125" s="14">
        <v>222283.4</v>
      </c>
      <c r="P125" s="14">
        <v>190490.3</v>
      </c>
      <c r="Q125" s="14">
        <v>5097.82</v>
      </c>
      <c r="R125" s="14">
        <v>206850.4</v>
      </c>
      <c r="S125" s="14">
        <v>281.25</v>
      </c>
      <c r="T125" s="14"/>
      <c r="U125" s="14">
        <v>7875</v>
      </c>
      <c r="V125" s="14"/>
      <c r="W125" s="14"/>
      <c r="X125" s="2">
        <f t="shared" si="4"/>
        <v>7464787.5200000014</v>
      </c>
      <c r="Y125" s="14"/>
      <c r="Z125" s="14">
        <v>30837.3</v>
      </c>
      <c r="AA125" s="14">
        <v>272512.59999999998</v>
      </c>
      <c r="AB125" s="14">
        <v>239526.8</v>
      </c>
      <c r="AC125" s="14">
        <v>134521.35</v>
      </c>
      <c r="AD125" s="14"/>
      <c r="AE125" s="14">
        <v>27537.4</v>
      </c>
      <c r="AF125" s="14"/>
      <c r="AG125" s="14">
        <v>70609.7</v>
      </c>
      <c r="AH125" s="14"/>
      <c r="AI125" s="14">
        <v>49942.8</v>
      </c>
      <c r="AJ125" s="14"/>
      <c r="AK125" s="14"/>
      <c r="AL125" s="48">
        <f>SUM(Z125:AK125)</f>
        <v>825487.95</v>
      </c>
      <c r="AM125" s="22">
        <v>64</v>
      </c>
      <c r="AN125" s="14">
        <v>2218</v>
      </c>
      <c r="AO125" s="14">
        <v>-94240.93</v>
      </c>
      <c r="AP125" s="14"/>
      <c r="AQ125" s="14">
        <v>-2451.25</v>
      </c>
      <c r="AR125" s="44">
        <v>1</v>
      </c>
      <c r="AU125" s="46"/>
      <c r="AV125" s="46"/>
    </row>
    <row r="126" spans="1:48" x14ac:dyDescent="0.25">
      <c r="A126" s="12">
        <v>5604</v>
      </c>
      <c r="B126" s="13" t="s">
        <v>171</v>
      </c>
      <c r="C126" s="14">
        <v>3413643.01</v>
      </c>
      <c r="D126" s="14">
        <v>396385.93</v>
      </c>
      <c r="E126" s="14"/>
      <c r="F126" s="14"/>
      <c r="G126" s="14">
        <v>270110.75</v>
      </c>
      <c r="H126" s="14">
        <v>-22172.45</v>
      </c>
      <c r="I126" s="14">
        <v>16687.75</v>
      </c>
      <c r="J126" s="14">
        <v>113948.82</v>
      </c>
      <c r="K126" s="14">
        <v>22190</v>
      </c>
      <c r="L126" s="14">
        <v>335678.05</v>
      </c>
      <c r="M126" s="3">
        <f t="shared" si="3"/>
        <v>4546471.8599999994</v>
      </c>
      <c r="N126" s="14">
        <v>6750.8</v>
      </c>
      <c r="O126" s="14">
        <v>1597</v>
      </c>
      <c r="P126" s="14">
        <v>164254.85</v>
      </c>
      <c r="Q126" s="14">
        <v>14444.97</v>
      </c>
      <c r="R126" s="14">
        <v>112373.9</v>
      </c>
      <c r="S126" s="14">
        <v>362.5</v>
      </c>
      <c r="T126" s="14">
        <v>1540</v>
      </c>
      <c r="U126" s="14">
        <v>20925</v>
      </c>
      <c r="V126" s="14"/>
      <c r="W126" s="14">
        <v>465.6</v>
      </c>
      <c r="X126" s="2">
        <f t="shared" si="4"/>
        <v>4869186.4799999986</v>
      </c>
      <c r="Y126" s="14">
        <v>110395.85</v>
      </c>
      <c r="Z126" s="14">
        <v>6252.75</v>
      </c>
      <c r="AA126" s="14">
        <v>363039.1</v>
      </c>
      <c r="AB126" s="14"/>
      <c r="AC126" s="14">
        <v>102229.65</v>
      </c>
      <c r="AD126" s="14">
        <v>39523.599999999999</v>
      </c>
      <c r="AE126" s="14">
        <v>2880</v>
      </c>
      <c r="AF126" s="14"/>
      <c r="AG126" s="14">
        <v>12797.45</v>
      </c>
      <c r="AH126" s="14"/>
      <c r="AI126" s="14"/>
      <c r="AJ126" s="14"/>
      <c r="AK126" s="14"/>
      <c r="AL126" s="48">
        <f t="shared" si="5"/>
        <v>637118.39999999991</v>
      </c>
      <c r="AM126" s="22">
        <v>68</v>
      </c>
      <c r="AN126" s="14">
        <v>2085</v>
      </c>
      <c r="AO126" s="14">
        <v>-105822.34</v>
      </c>
      <c r="AP126" s="14"/>
      <c r="AQ126" s="14">
        <v>-94.9</v>
      </c>
      <c r="AR126" s="44">
        <v>1</v>
      </c>
      <c r="AU126" s="46"/>
      <c r="AV126" s="46"/>
    </row>
    <row r="127" spans="1:48" x14ac:dyDescent="0.25">
      <c r="A127" s="12">
        <v>5606</v>
      </c>
      <c r="B127" s="13" t="s">
        <v>172</v>
      </c>
      <c r="C127" s="14">
        <v>30341581.760000002</v>
      </c>
      <c r="D127" s="14">
        <v>6161644.8899999997</v>
      </c>
      <c r="E127" s="14"/>
      <c r="F127" s="14"/>
      <c r="G127" s="14">
        <v>856939.55</v>
      </c>
      <c r="H127" s="14">
        <v>52967.55</v>
      </c>
      <c r="I127" s="14">
        <v>1289309.25</v>
      </c>
      <c r="J127" s="14">
        <v>495942.40000000002</v>
      </c>
      <c r="K127" s="14">
        <v>126842</v>
      </c>
      <c r="L127" s="14">
        <v>1819024.25</v>
      </c>
      <c r="M127" s="3">
        <f t="shared" si="3"/>
        <v>41144251.649999991</v>
      </c>
      <c r="N127" s="14">
        <v>83906.4</v>
      </c>
      <c r="O127" s="14">
        <v>4657943.5</v>
      </c>
      <c r="P127" s="14">
        <v>1204786.6499999999</v>
      </c>
      <c r="Q127" s="14">
        <v>266358.36</v>
      </c>
      <c r="R127" s="14">
        <v>1661257.1</v>
      </c>
      <c r="S127" s="14">
        <v>881.25</v>
      </c>
      <c r="T127" s="14"/>
      <c r="U127" s="14">
        <v>42100</v>
      </c>
      <c r="V127" s="14">
        <v>1039.7</v>
      </c>
      <c r="W127" s="14">
        <v>6175.65</v>
      </c>
      <c r="X127" s="2">
        <f t="shared" si="4"/>
        <v>49068700.25999999</v>
      </c>
      <c r="Y127" s="14">
        <v>701449.85</v>
      </c>
      <c r="Z127" s="14"/>
      <c r="AA127" s="14">
        <v>1222453.8500000001</v>
      </c>
      <c r="AB127" s="14"/>
      <c r="AC127" s="14">
        <v>1410853.32</v>
      </c>
      <c r="AD127" s="14">
        <v>489724.1</v>
      </c>
      <c r="AE127" s="14"/>
      <c r="AF127" s="14"/>
      <c r="AG127" s="14">
        <v>13929.5</v>
      </c>
      <c r="AH127" s="14">
        <v>275297.95</v>
      </c>
      <c r="AI127" s="14">
        <v>196010.1</v>
      </c>
      <c r="AJ127" s="14">
        <v>78404.05</v>
      </c>
      <c r="AK127" s="14"/>
      <c r="AL127" s="48">
        <f t="shared" si="5"/>
        <v>4388122.7200000007</v>
      </c>
      <c r="AM127" s="22">
        <v>56</v>
      </c>
      <c r="AN127" s="14">
        <v>9739</v>
      </c>
      <c r="AO127" s="14">
        <v>-578306.67000000004</v>
      </c>
      <c r="AP127" s="14"/>
      <c r="AQ127" s="14">
        <v>-33528.300000000003</v>
      </c>
      <c r="AR127" s="44">
        <v>0.7</v>
      </c>
      <c r="AU127" s="46"/>
      <c r="AV127" s="46"/>
    </row>
    <row r="128" spans="1:48" x14ac:dyDescent="0.25">
      <c r="A128" s="12">
        <v>5607</v>
      </c>
      <c r="B128" s="13" t="s">
        <v>334</v>
      </c>
      <c r="C128" s="14">
        <v>4538071.93</v>
      </c>
      <c r="D128" s="14">
        <v>705634.09</v>
      </c>
      <c r="E128" s="14"/>
      <c r="F128" s="14"/>
      <c r="G128" s="14">
        <v>711160.95</v>
      </c>
      <c r="H128" s="14">
        <v>46571.7</v>
      </c>
      <c r="I128" s="14">
        <v>76798</v>
      </c>
      <c r="J128" s="14">
        <v>231266.95</v>
      </c>
      <c r="K128" s="14">
        <v>52015.5</v>
      </c>
      <c r="L128" s="14">
        <v>626852.44999999995</v>
      </c>
      <c r="M128" s="3">
        <f t="shared" si="3"/>
        <v>6988371.5700000003</v>
      </c>
      <c r="N128" s="14">
        <v>140910.85</v>
      </c>
      <c r="O128" s="14"/>
      <c r="P128" s="14">
        <v>259202.2</v>
      </c>
      <c r="Q128" s="14">
        <v>54765.96</v>
      </c>
      <c r="R128" s="14">
        <v>172248.75</v>
      </c>
      <c r="S128" s="14">
        <v>218.75</v>
      </c>
      <c r="T128" s="14"/>
      <c r="U128" s="14">
        <v>19550</v>
      </c>
      <c r="V128" s="14"/>
      <c r="W128" s="14"/>
      <c r="X128" s="2">
        <f t="shared" si="4"/>
        <v>7635268.0800000001</v>
      </c>
      <c r="Y128" s="14">
        <v>105996.2</v>
      </c>
      <c r="Z128" s="14"/>
      <c r="AA128" s="14">
        <v>171676.85</v>
      </c>
      <c r="AB128" s="14">
        <v>322404</v>
      </c>
      <c r="AC128" s="14">
        <v>150523</v>
      </c>
      <c r="AD128" s="14">
        <v>219766.9</v>
      </c>
      <c r="AE128" s="14"/>
      <c r="AF128" s="14"/>
      <c r="AG128" s="14">
        <v>43342</v>
      </c>
      <c r="AH128" s="14">
        <v>141845.45000000001</v>
      </c>
      <c r="AI128" s="14"/>
      <c r="AJ128" s="14"/>
      <c r="AK128" s="14"/>
      <c r="AL128" s="48">
        <f t="shared" si="5"/>
        <v>1155554.4000000001</v>
      </c>
      <c r="AM128" s="22">
        <v>68</v>
      </c>
      <c r="AN128" s="14">
        <v>2858</v>
      </c>
      <c r="AO128" s="14">
        <v>-101741.41</v>
      </c>
      <c r="AP128" s="14"/>
      <c r="AQ128" s="14">
        <v>-985.34</v>
      </c>
      <c r="AR128" s="44">
        <v>1.1499999999999999</v>
      </c>
      <c r="AU128" s="46"/>
      <c r="AV128" s="46"/>
    </row>
    <row r="129" spans="1:48" x14ac:dyDescent="0.25">
      <c r="A129" s="12">
        <v>5609</v>
      </c>
      <c r="B129" s="13" t="s">
        <v>156</v>
      </c>
      <c r="C129" s="14">
        <v>836104.26</v>
      </c>
      <c r="D129" s="14">
        <v>113880.1</v>
      </c>
      <c r="E129" s="14"/>
      <c r="F129" s="14"/>
      <c r="G129" s="14">
        <v>21520.6</v>
      </c>
      <c r="H129" s="14">
        <v>339.3</v>
      </c>
      <c r="I129" s="14"/>
      <c r="J129" s="14">
        <v>7777.46</v>
      </c>
      <c r="K129" s="14">
        <v>1366.5</v>
      </c>
      <c r="L129" s="14">
        <v>48300.6</v>
      </c>
      <c r="M129" s="3">
        <f t="shared" si="3"/>
        <v>1029288.82</v>
      </c>
      <c r="N129" s="14"/>
      <c r="O129" s="14">
        <v>87719.9</v>
      </c>
      <c r="P129" s="14">
        <v>9177.7000000000007</v>
      </c>
      <c r="Q129" s="14"/>
      <c r="R129" s="14">
        <v>5781.25</v>
      </c>
      <c r="S129" s="14">
        <v>31.25</v>
      </c>
      <c r="T129" s="14"/>
      <c r="U129" s="14">
        <v>600</v>
      </c>
      <c r="V129" s="14"/>
      <c r="W129" s="14"/>
      <c r="X129" s="2">
        <f t="shared" si="4"/>
        <v>1132598.92</v>
      </c>
      <c r="Y129" s="14"/>
      <c r="Z129" s="14"/>
      <c r="AA129" s="14">
        <v>33932</v>
      </c>
      <c r="AB129" s="14">
        <v>35437.300000000003</v>
      </c>
      <c r="AC129" s="14">
        <v>22928.76</v>
      </c>
      <c r="AD129" s="14"/>
      <c r="AE129" s="14"/>
      <c r="AF129" s="14"/>
      <c r="AG129" s="14">
        <v>7706</v>
      </c>
      <c r="AH129" s="14">
        <v>6453.6</v>
      </c>
      <c r="AI129" s="14"/>
      <c r="AJ129" s="14"/>
      <c r="AK129" s="14"/>
      <c r="AL129" s="48">
        <f t="shared" si="5"/>
        <v>106457.66</v>
      </c>
      <c r="AM129" s="22">
        <v>63.5</v>
      </c>
      <c r="AN129" s="14">
        <v>360</v>
      </c>
      <c r="AO129" s="14">
        <v>-5364.15</v>
      </c>
      <c r="AP129" s="14"/>
      <c r="AQ129" s="14">
        <v>-162.15</v>
      </c>
      <c r="AR129" s="44">
        <v>1</v>
      </c>
      <c r="AU129" s="46"/>
      <c r="AV129" s="46"/>
    </row>
    <row r="130" spans="1:48" x14ac:dyDescent="0.25">
      <c r="A130" s="12">
        <v>5610</v>
      </c>
      <c r="B130" s="13" t="s">
        <v>157</v>
      </c>
      <c r="C130" s="14">
        <v>1011095.1</v>
      </c>
      <c r="D130" s="14">
        <v>115236.17</v>
      </c>
      <c r="E130" s="14"/>
      <c r="F130" s="14"/>
      <c r="G130" s="14">
        <v>4444.8</v>
      </c>
      <c r="H130" s="14">
        <v>3614.7</v>
      </c>
      <c r="I130" s="14">
        <v>85888.15</v>
      </c>
      <c r="J130" s="14">
        <v>9239.2000000000007</v>
      </c>
      <c r="K130" s="14">
        <v>6587.5</v>
      </c>
      <c r="L130" s="14">
        <v>77885.05</v>
      </c>
      <c r="M130" s="3">
        <f t="shared" si="3"/>
        <v>1313990.67</v>
      </c>
      <c r="N130" s="14"/>
      <c r="O130" s="14"/>
      <c r="P130" s="14">
        <v>22106.05</v>
      </c>
      <c r="Q130" s="14"/>
      <c r="R130" s="14">
        <v>29817.1</v>
      </c>
      <c r="S130" s="14">
        <v>62.5</v>
      </c>
      <c r="T130" s="14"/>
      <c r="U130" s="14">
        <v>4425</v>
      </c>
      <c r="V130" s="14"/>
      <c r="W130" s="14"/>
      <c r="X130" s="2">
        <f t="shared" si="4"/>
        <v>1370401.32</v>
      </c>
      <c r="Y130" s="14">
        <v>9207.5</v>
      </c>
      <c r="Z130" s="14"/>
      <c r="AA130" s="14">
        <v>55602</v>
      </c>
      <c r="AB130" s="14"/>
      <c r="AC130" s="14"/>
      <c r="AD130" s="14">
        <v>18415.05</v>
      </c>
      <c r="AE130" s="14"/>
      <c r="AF130" s="14"/>
      <c r="AG130" s="14"/>
      <c r="AH130" s="14"/>
      <c r="AI130" s="14"/>
      <c r="AJ130" s="14"/>
      <c r="AK130" s="14"/>
      <c r="AL130" s="48">
        <f t="shared" si="5"/>
        <v>83224.55</v>
      </c>
      <c r="AM130" s="22">
        <v>62</v>
      </c>
      <c r="AN130" s="14">
        <v>383</v>
      </c>
      <c r="AO130" s="14">
        <v>-12320.9</v>
      </c>
      <c r="AP130" s="14"/>
      <c r="AQ130" s="14">
        <v>-1251.57</v>
      </c>
      <c r="AR130" s="44">
        <v>1</v>
      </c>
      <c r="AU130" s="46"/>
      <c r="AV130" s="46"/>
    </row>
    <row r="131" spans="1:48" x14ac:dyDescent="0.25">
      <c r="A131" s="12">
        <v>5611</v>
      </c>
      <c r="B131" s="13" t="s">
        <v>331</v>
      </c>
      <c r="C131" s="14">
        <v>6242532.1399999997</v>
      </c>
      <c r="D131" s="14">
        <v>1187986.93</v>
      </c>
      <c r="E131" s="14"/>
      <c r="F131" s="14"/>
      <c r="G131" s="14">
        <v>532520.4</v>
      </c>
      <c r="H131" s="14">
        <v>27024</v>
      </c>
      <c r="I131" s="14">
        <v>43016.6</v>
      </c>
      <c r="J131" s="14">
        <v>192844.12</v>
      </c>
      <c r="K131" s="14">
        <v>16503</v>
      </c>
      <c r="L131" s="14">
        <v>601789.5</v>
      </c>
      <c r="M131" s="3">
        <f t="shared" si="3"/>
        <v>8844216.6899999995</v>
      </c>
      <c r="N131" s="14">
        <v>93366.8</v>
      </c>
      <c r="O131" s="14">
        <v>228645.4</v>
      </c>
      <c r="P131" s="14">
        <v>286887.65000000002</v>
      </c>
      <c r="Q131" s="14">
        <v>43624.72</v>
      </c>
      <c r="R131" s="14">
        <v>303108.8</v>
      </c>
      <c r="S131" s="14">
        <v>300</v>
      </c>
      <c r="T131" s="14"/>
      <c r="U131" s="14">
        <v>21665</v>
      </c>
      <c r="V131" s="14">
        <v>2762.1</v>
      </c>
      <c r="W131" s="14"/>
      <c r="X131" s="2">
        <f t="shared" si="4"/>
        <v>9824577.160000002</v>
      </c>
      <c r="Y131" s="14">
        <v>94325.7</v>
      </c>
      <c r="Z131" s="14">
        <v>1072.8</v>
      </c>
      <c r="AA131" s="14"/>
      <c r="AB131" s="14"/>
      <c r="AC131" s="14">
        <v>310499.3</v>
      </c>
      <c r="AD131" s="14">
        <v>12596.25</v>
      </c>
      <c r="AE131" s="14">
        <v>1783.1</v>
      </c>
      <c r="AF131" s="14"/>
      <c r="AG131" s="14"/>
      <c r="AH131" s="14"/>
      <c r="AI131" s="14"/>
      <c r="AJ131" s="14"/>
      <c r="AK131" s="14"/>
      <c r="AL131" s="48">
        <f t="shared" si="5"/>
        <v>420277.14999999997</v>
      </c>
      <c r="AM131" s="22">
        <v>67</v>
      </c>
      <c r="AN131" s="14">
        <v>3304</v>
      </c>
      <c r="AO131" s="14">
        <v>-156040.35999999999</v>
      </c>
      <c r="AP131" s="14"/>
      <c r="AQ131" s="14">
        <v>-869.8</v>
      </c>
      <c r="AR131" s="44">
        <v>1</v>
      </c>
      <c r="AU131" s="46"/>
      <c r="AV131" s="46"/>
    </row>
    <row r="132" spans="1:48" x14ac:dyDescent="0.25">
      <c r="A132" s="12">
        <v>5613</v>
      </c>
      <c r="B132" s="13" t="s">
        <v>476</v>
      </c>
      <c r="C132" s="14">
        <v>12916323.68</v>
      </c>
      <c r="D132" s="14">
        <v>3214164.61</v>
      </c>
      <c r="E132" s="14"/>
      <c r="F132" s="14"/>
      <c r="G132" s="14">
        <v>217014.7</v>
      </c>
      <c r="H132" s="14">
        <v>43021.1</v>
      </c>
      <c r="I132" s="14">
        <v>251209.32</v>
      </c>
      <c r="J132" s="14">
        <v>274822.02</v>
      </c>
      <c r="K132" s="14">
        <v>30839.5</v>
      </c>
      <c r="L132" s="14">
        <v>1763567.3</v>
      </c>
      <c r="M132" s="3">
        <f t="shared" si="3"/>
        <v>18710962.23</v>
      </c>
      <c r="N132" s="14">
        <v>39091.699999999997</v>
      </c>
      <c r="O132" s="14">
        <v>630527.80000000005</v>
      </c>
      <c r="P132" s="14">
        <f>954319.55-254319.55</f>
        <v>700000</v>
      </c>
      <c r="Q132" s="14">
        <v>69854.11</v>
      </c>
      <c r="R132" s="14">
        <f>1037617-237617</f>
        <v>800000</v>
      </c>
      <c r="S132" s="14">
        <v>425</v>
      </c>
      <c r="T132" s="14"/>
      <c r="U132" s="14">
        <v>24100</v>
      </c>
      <c r="V132" s="14"/>
      <c r="W132" s="14"/>
      <c r="X132" s="2">
        <f t="shared" si="4"/>
        <v>20974960.84</v>
      </c>
      <c r="Y132" s="14">
        <v>-89470.399999999994</v>
      </c>
      <c r="Z132" s="14"/>
      <c r="AA132" s="14">
        <v>818821.6</v>
      </c>
      <c r="AB132" s="14">
        <v>340808</v>
      </c>
      <c r="AC132" s="14">
        <v>99730.35</v>
      </c>
      <c r="AD132" s="14"/>
      <c r="AE132" s="14"/>
      <c r="AF132" s="14"/>
      <c r="AG132" s="14">
        <v>149780.04999999999</v>
      </c>
      <c r="AH132" s="14"/>
      <c r="AI132" s="14"/>
      <c r="AJ132" s="14"/>
      <c r="AK132" s="14"/>
      <c r="AL132" s="48">
        <f t="shared" si="5"/>
        <v>1319669.6000000001</v>
      </c>
      <c r="AM132" s="22">
        <v>61</v>
      </c>
      <c r="AN132" s="14">
        <v>5247</v>
      </c>
      <c r="AO132" s="14">
        <v>-149729.23000000001</v>
      </c>
      <c r="AP132" s="14"/>
      <c r="AQ132" s="14">
        <v>-8039.1</v>
      </c>
      <c r="AR132" s="44">
        <v>1.5</v>
      </c>
      <c r="AU132" s="46"/>
      <c r="AV132" s="46"/>
    </row>
    <row r="133" spans="1:48" x14ac:dyDescent="0.25">
      <c r="A133" s="12">
        <v>5621</v>
      </c>
      <c r="B133" s="13" t="s">
        <v>439</v>
      </c>
      <c r="C133" s="14">
        <v>962625.73</v>
      </c>
      <c r="D133" s="14">
        <v>140964.04</v>
      </c>
      <c r="E133" s="14"/>
      <c r="F133" s="14"/>
      <c r="G133" s="14">
        <v>649402.44999999995</v>
      </c>
      <c r="H133" s="14">
        <v>2956</v>
      </c>
      <c r="I133" s="14"/>
      <c r="J133" s="14">
        <v>64728.53</v>
      </c>
      <c r="K133" s="14">
        <v>9076</v>
      </c>
      <c r="L133" s="14">
        <v>302130.7</v>
      </c>
      <c r="M133" s="3">
        <f t="shared" si="3"/>
        <v>2131883.4500000002</v>
      </c>
      <c r="N133" s="14">
        <v>144149.65</v>
      </c>
      <c r="O133" s="14">
        <v>2926.9</v>
      </c>
      <c r="P133" s="14">
        <v>102534</v>
      </c>
      <c r="Q133" s="14">
        <v>2344.4499999999998</v>
      </c>
      <c r="R133" s="14">
        <v>56362.35</v>
      </c>
      <c r="S133" s="14"/>
      <c r="T133" s="14">
        <v>650</v>
      </c>
      <c r="U133" s="14">
        <v>2880</v>
      </c>
      <c r="V133" s="14"/>
      <c r="W133" s="14"/>
      <c r="X133" s="2">
        <f t="shared" si="4"/>
        <v>2443730.8000000003</v>
      </c>
      <c r="Y133" s="14">
        <v>9424</v>
      </c>
      <c r="Z133" s="14"/>
      <c r="AA133" s="14">
        <v>161635</v>
      </c>
      <c r="AB133" s="14"/>
      <c r="AC133" s="14">
        <v>41580</v>
      </c>
      <c r="AD133" s="14">
        <v>14069</v>
      </c>
      <c r="AE133" s="14"/>
      <c r="AF133" s="14"/>
      <c r="AG133" s="14"/>
      <c r="AH133" s="14">
        <v>101948</v>
      </c>
      <c r="AI133" s="14"/>
      <c r="AJ133" s="14"/>
      <c r="AK133" s="14"/>
      <c r="AL133" s="48">
        <f t="shared" si="5"/>
        <v>328656</v>
      </c>
      <c r="AM133" s="22">
        <v>62</v>
      </c>
      <c r="AN133" s="14">
        <v>528</v>
      </c>
      <c r="AO133" s="14">
        <v>-13453.91</v>
      </c>
      <c r="AP133" s="14"/>
      <c r="AQ133" s="14">
        <v>-228.54</v>
      </c>
      <c r="AR133" s="44">
        <v>1.1000000000000001</v>
      </c>
      <c r="AU133" s="46"/>
      <c r="AV133" s="46"/>
    </row>
    <row r="134" spans="1:48" x14ac:dyDescent="0.25">
      <c r="A134" s="12">
        <v>5622</v>
      </c>
      <c r="B134" s="13" t="s">
        <v>175</v>
      </c>
      <c r="C134" s="14">
        <v>1338421</v>
      </c>
      <c r="D134" s="14">
        <v>203567.85</v>
      </c>
      <c r="E134" s="14"/>
      <c r="F134" s="14"/>
      <c r="G134" s="14">
        <v>176103.55</v>
      </c>
      <c r="H134" s="14">
        <v>1957.6</v>
      </c>
      <c r="I134" s="14"/>
      <c r="J134" s="14">
        <v>4017.66</v>
      </c>
      <c r="K134" s="14">
        <v>4925</v>
      </c>
      <c r="L134" s="14">
        <v>125859</v>
      </c>
      <c r="M134" s="3">
        <f t="shared" si="3"/>
        <v>1854851.6600000001</v>
      </c>
      <c r="N134" s="14">
        <v>28375.7</v>
      </c>
      <c r="O134" s="14"/>
      <c r="P134" s="14">
        <v>30048.9</v>
      </c>
      <c r="Q134" s="14">
        <v>1670.14</v>
      </c>
      <c r="R134" s="14">
        <v>28011.7</v>
      </c>
      <c r="S134" s="14"/>
      <c r="T134" s="14"/>
      <c r="U134" s="14">
        <v>2260</v>
      </c>
      <c r="V134" s="14"/>
      <c r="W134" s="14"/>
      <c r="X134" s="2">
        <f t="shared" si="4"/>
        <v>1945218.0999999999</v>
      </c>
      <c r="Y134" s="14">
        <v>19136.5</v>
      </c>
      <c r="Z134" s="14"/>
      <c r="AA134" s="14">
        <v>176668.65</v>
      </c>
      <c r="AB134" s="14"/>
      <c r="AC134" s="14">
        <v>63235.9</v>
      </c>
      <c r="AD134" s="14">
        <v>17360</v>
      </c>
      <c r="AE134" s="14"/>
      <c r="AF134" s="14"/>
      <c r="AG134" s="14"/>
      <c r="AH134" s="14"/>
      <c r="AI134" s="14"/>
      <c r="AJ134" s="14"/>
      <c r="AK134" s="14"/>
      <c r="AL134" s="48">
        <f t="shared" si="5"/>
        <v>276401.05</v>
      </c>
      <c r="AM134" s="22">
        <v>66</v>
      </c>
      <c r="AN134" s="14">
        <v>511</v>
      </c>
      <c r="AO134" s="14">
        <v>-160.82</v>
      </c>
      <c r="AP134" s="14"/>
      <c r="AQ134" s="14">
        <v>-25.93</v>
      </c>
      <c r="AR134" s="44">
        <v>1</v>
      </c>
      <c r="AU134" s="46"/>
      <c r="AV134" s="46"/>
    </row>
    <row r="135" spans="1:48" x14ac:dyDescent="0.25">
      <c r="A135" s="12">
        <v>5623</v>
      </c>
      <c r="B135" s="13" t="s">
        <v>176</v>
      </c>
      <c r="C135" s="14">
        <v>2454563.0499999998</v>
      </c>
      <c r="D135" s="14">
        <v>1433734.03</v>
      </c>
      <c r="E135" s="14"/>
      <c r="F135" s="14"/>
      <c r="G135" s="14">
        <v>-86156.25</v>
      </c>
      <c r="H135" s="14">
        <v>113863.25</v>
      </c>
      <c r="I135" s="14">
        <v>208050</v>
      </c>
      <c r="J135" s="14">
        <v>161990.88</v>
      </c>
      <c r="K135" s="14">
        <v>3166.5</v>
      </c>
      <c r="L135" s="14">
        <v>235282.4</v>
      </c>
      <c r="M135" s="3">
        <f t="shared" si="3"/>
        <v>4524493.8600000003</v>
      </c>
      <c r="N135" s="14">
        <v>398.45</v>
      </c>
      <c r="O135" s="14">
        <v>182468.6</v>
      </c>
      <c r="P135" s="14">
        <v>150588.95000000001</v>
      </c>
      <c r="Q135" s="14">
        <v>-461.45</v>
      </c>
      <c r="R135" s="14">
        <v>280376.7</v>
      </c>
      <c r="S135" s="14"/>
      <c r="T135" s="14">
        <v>750</v>
      </c>
      <c r="U135" s="14">
        <v>1137.5</v>
      </c>
      <c r="V135" s="14"/>
      <c r="W135" s="14"/>
      <c r="X135" s="2">
        <f t="shared" si="4"/>
        <v>5139752.6100000003</v>
      </c>
      <c r="Y135" s="14">
        <v>-1616</v>
      </c>
      <c r="Z135" s="14"/>
      <c r="AA135" s="14">
        <v>143236.9</v>
      </c>
      <c r="AB135" s="14"/>
      <c r="AC135" s="14">
        <v>90088.4</v>
      </c>
      <c r="AD135" s="14">
        <v>-1185.5</v>
      </c>
      <c r="AE135" s="14"/>
      <c r="AF135" s="14"/>
      <c r="AG135" s="14"/>
      <c r="AH135" s="14"/>
      <c r="AI135" s="14"/>
      <c r="AJ135" s="14"/>
      <c r="AK135" s="14"/>
      <c r="AL135" s="48">
        <f t="shared" si="5"/>
        <v>230523.8</v>
      </c>
      <c r="AM135" s="22">
        <v>53</v>
      </c>
      <c r="AN135" s="14">
        <v>624</v>
      </c>
      <c r="AO135" s="14">
        <v>-3359.29</v>
      </c>
      <c r="AP135" s="14"/>
      <c r="AQ135" s="14">
        <v>-19079.59</v>
      </c>
      <c r="AR135" s="44">
        <v>0.8</v>
      </c>
      <c r="AU135" s="46"/>
      <c r="AV135" s="46"/>
    </row>
    <row r="136" spans="1:48" x14ac:dyDescent="0.25">
      <c r="A136" s="12">
        <v>5624</v>
      </c>
      <c r="B136" s="13" t="s">
        <v>491</v>
      </c>
      <c r="C136" s="14">
        <f>11612809+261883</f>
        <v>11874692</v>
      </c>
      <c r="D136" s="14">
        <v>1153670.8500000001</v>
      </c>
      <c r="E136" s="14"/>
      <c r="F136" s="14"/>
      <c r="G136" s="14">
        <v>3753369.91</v>
      </c>
      <c r="H136" s="14">
        <v>145685.35</v>
      </c>
      <c r="I136" s="14"/>
      <c r="J136" s="14">
        <v>785335.9</v>
      </c>
      <c r="K136" s="14">
        <v>164076.5</v>
      </c>
      <c r="L136" s="14">
        <v>1689426</v>
      </c>
      <c r="M136" s="3">
        <f t="shared" ref="M136:M194" si="6">SUM(C136:L136)</f>
        <v>19566256.509999998</v>
      </c>
      <c r="N136" s="14">
        <v>1218010.7</v>
      </c>
      <c r="O136" s="14">
        <v>2229859.7999999998</v>
      </c>
      <c r="P136" s="14">
        <v>1395907.4</v>
      </c>
      <c r="Q136" s="14">
        <v>51983.07</v>
      </c>
      <c r="R136" s="14">
        <v>882876.7</v>
      </c>
      <c r="S136" s="14"/>
      <c r="T136" s="14"/>
      <c r="U136" s="14">
        <v>30400</v>
      </c>
      <c r="V136" s="14"/>
      <c r="W136" s="14"/>
      <c r="X136" s="2">
        <f t="shared" ref="X136:X194" si="7">SUM(M136:W136)</f>
        <v>25375294.179999996</v>
      </c>
      <c r="Y136" s="14">
        <v>1123292.8500000001</v>
      </c>
      <c r="Z136" s="14"/>
      <c r="AA136" s="14">
        <v>1490047.82</v>
      </c>
      <c r="AB136" s="14"/>
      <c r="AC136" s="14">
        <v>942515.4</v>
      </c>
      <c r="AD136" s="14">
        <v>723360</v>
      </c>
      <c r="AE136" s="14"/>
      <c r="AF136" s="14"/>
      <c r="AG136" s="14">
        <v>256397.7</v>
      </c>
      <c r="AH136" s="14">
        <v>496502.65</v>
      </c>
      <c r="AI136" s="14"/>
      <c r="AJ136" s="14"/>
      <c r="AK136" s="14"/>
      <c r="AL136" s="48">
        <f t="shared" ref="AL136:AL194" si="8">SUM(Y136:AK136)</f>
        <v>5032116.4200000009</v>
      </c>
      <c r="AM136" s="22">
        <v>62</v>
      </c>
      <c r="AN136" s="14">
        <v>8215</v>
      </c>
      <c r="AO136" s="14">
        <v>-242520</v>
      </c>
      <c r="AP136" s="14"/>
      <c r="AQ136" s="14">
        <v>-20879.64</v>
      </c>
      <c r="AR136" s="44">
        <v>1</v>
      </c>
      <c r="AU136" s="46"/>
      <c r="AV136" s="46"/>
    </row>
    <row r="137" spans="1:48" x14ac:dyDescent="0.25">
      <c r="A137" s="12">
        <v>5625</v>
      </c>
      <c r="B137" s="13" t="s">
        <v>335</v>
      </c>
      <c r="C137" s="14">
        <v>993616.89</v>
      </c>
      <c r="D137" s="14">
        <v>134488.70000000001</v>
      </c>
      <c r="E137" s="14"/>
      <c r="F137" s="14"/>
      <c r="G137" s="14">
        <v>9151.25</v>
      </c>
      <c r="H137" s="14">
        <v>486.25</v>
      </c>
      <c r="I137" s="14">
        <v>49537.55</v>
      </c>
      <c r="J137" s="14">
        <v>-14334.28</v>
      </c>
      <c r="K137" s="14">
        <v>5595</v>
      </c>
      <c r="L137" s="14">
        <v>99564.95</v>
      </c>
      <c r="M137" s="3">
        <f t="shared" si="6"/>
        <v>1278106.31</v>
      </c>
      <c r="N137" s="14"/>
      <c r="O137" s="14"/>
      <c r="P137" s="14">
        <v>46750</v>
      </c>
      <c r="Q137" s="14"/>
      <c r="R137" s="14">
        <v>56465.7</v>
      </c>
      <c r="S137" s="14"/>
      <c r="T137" s="14">
        <v>1700</v>
      </c>
      <c r="U137" s="14">
        <v>760</v>
      </c>
      <c r="V137" s="14"/>
      <c r="W137" s="14"/>
      <c r="X137" s="2">
        <f t="shared" si="7"/>
        <v>1383782.01</v>
      </c>
      <c r="Y137" s="14"/>
      <c r="Z137" s="14"/>
      <c r="AA137" s="14">
        <v>56704.2</v>
      </c>
      <c r="AB137" s="14"/>
      <c r="AC137" s="14">
        <v>43705.65</v>
      </c>
      <c r="AD137" s="14"/>
      <c r="AE137" s="14"/>
      <c r="AF137" s="14"/>
      <c r="AG137" s="14"/>
      <c r="AH137" s="14"/>
      <c r="AI137" s="14"/>
      <c r="AJ137" s="14"/>
      <c r="AK137" s="14"/>
      <c r="AL137" s="48">
        <f t="shared" si="8"/>
        <v>100409.85</v>
      </c>
      <c r="AM137" s="22">
        <v>78</v>
      </c>
      <c r="AN137" s="14">
        <v>377</v>
      </c>
      <c r="AO137" s="14">
        <v>-48.01</v>
      </c>
      <c r="AP137" s="14"/>
      <c r="AQ137" s="14"/>
      <c r="AR137" s="44">
        <v>1.2</v>
      </c>
      <c r="AU137" s="46"/>
      <c r="AV137" s="46"/>
    </row>
    <row r="138" spans="1:48" x14ac:dyDescent="0.25">
      <c r="A138" s="12">
        <v>5627</v>
      </c>
      <c r="B138" s="13" t="s">
        <v>285</v>
      </c>
      <c r="C138" s="14">
        <v>9524686.1500000004</v>
      </c>
      <c r="D138" s="14">
        <v>624748.61</v>
      </c>
      <c r="E138" s="14"/>
      <c r="F138" s="14"/>
      <c r="G138" s="14">
        <v>876318.45</v>
      </c>
      <c r="H138" s="14">
        <v>97709.25</v>
      </c>
      <c r="I138" s="14"/>
      <c r="J138" s="14">
        <v>1052456.1299999999</v>
      </c>
      <c r="K138" s="14">
        <v>223872</v>
      </c>
      <c r="L138" s="14">
        <v>1172450.3</v>
      </c>
      <c r="M138" s="3">
        <f t="shared" si="6"/>
        <v>13572240.890000001</v>
      </c>
      <c r="N138" s="14">
        <v>422979.5</v>
      </c>
      <c r="O138" s="14">
        <v>30787.5</v>
      </c>
      <c r="P138" s="14">
        <v>262184.05</v>
      </c>
      <c r="Q138" s="14">
        <v>117131.63</v>
      </c>
      <c r="R138" s="14">
        <v>92715.35</v>
      </c>
      <c r="S138" s="14"/>
      <c r="T138" s="14"/>
      <c r="U138" s="14">
        <v>27675</v>
      </c>
      <c r="V138" s="14">
        <v>1707</v>
      </c>
      <c r="W138" s="14">
        <v>2636.2</v>
      </c>
      <c r="X138" s="2">
        <f t="shared" si="7"/>
        <v>14530057.120000001</v>
      </c>
      <c r="Y138" s="14">
        <v>255368.55</v>
      </c>
      <c r="Z138" s="14"/>
      <c r="AA138" s="14">
        <v>564924.15</v>
      </c>
      <c r="AB138" s="14"/>
      <c r="AC138" s="14">
        <v>394626.2</v>
      </c>
      <c r="AD138" s="14"/>
      <c r="AE138" s="14"/>
      <c r="AF138" s="14"/>
      <c r="AG138" s="14">
        <v>18435.259999999998</v>
      </c>
      <c r="AH138" s="14"/>
      <c r="AI138" s="14"/>
      <c r="AJ138" s="14"/>
      <c r="AK138" s="14"/>
      <c r="AL138" s="48">
        <f t="shared" si="8"/>
        <v>1233354.1599999999</v>
      </c>
      <c r="AM138" s="22">
        <v>79</v>
      </c>
      <c r="AN138" s="14">
        <v>7374</v>
      </c>
      <c r="AO138" s="14">
        <v>-459715.05</v>
      </c>
      <c r="AP138" s="14"/>
      <c r="AQ138" s="14">
        <v>-398.83</v>
      </c>
      <c r="AR138" s="44">
        <v>1.5</v>
      </c>
      <c r="AU138" s="46"/>
      <c r="AV138" s="46"/>
    </row>
    <row r="139" spans="1:48" x14ac:dyDescent="0.25">
      <c r="A139" s="12">
        <v>5628</v>
      </c>
      <c r="B139" s="13" t="s">
        <v>286</v>
      </c>
      <c r="C139" s="14">
        <v>1064224.6000000001</v>
      </c>
      <c r="D139" s="14"/>
      <c r="E139" s="14"/>
      <c r="F139" s="14"/>
      <c r="G139" s="14">
        <v>14828.95</v>
      </c>
      <c r="H139" s="14">
        <v>87.25</v>
      </c>
      <c r="I139" s="14"/>
      <c r="J139" s="14">
        <v>21649.25</v>
      </c>
      <c r="K139" s="14">
        <v>859.5</v>
      </c>
      <c r="L139" s="14">
        <v>65095.75</v>
      </c>
      <c r="M139" s="3">
        <f t="shared" si="6"/>
        <v>1166745.3</v>
      </c>
      <c r="N139" s="14">
        <v>4636.45</v>
      </c>
      <c r="O139" s="14"/>
      <c r="P139" s="14"/>
      <c r="Q139" s="14">
        <v>5148.6499999999996</v>
      </c>
      <c r="R139" s="14"/>
      <c r="S139" s="14"/>
      <c r="T139" s="14"/>
      <c r="U139" s="14"/>
      <c r="V139" s="14"/>
      <c r="W139" s="14"/>
      <c r="X139" s="2">
        <f t="shared" si="7"/>
        <v>1176530.3999999999</v>
      </c>
      <c r="Y139" s="14">
        <v>15075</v>
      </c>
      <c r="Z139" s="14">
        <v>1917</v>
      </c>
      <c r="AA139" s="14">
        <v>66407.8</v>
      </c>
      <c r="AB139" s="14"/>
      <c r="AC139" s="14">
        <v>20526.7</v>
      </c>
      <c r="AD139" s="14"/>
      <c r="AE139" s="14"/>
      <c r="AF139" s="14"/>
      <c r="AG139" s="14"/>
      <c r="AH139" s="14">
        <v>7632.35</v>
      </c>
      <c r="AI139" s="14"/>
      <c r="AJ139" s="14"/>
      <c r="AK139" s="14"/>
      <c r="AL139" s="48">
        <f t="shared" si="8"/>
        <v>111558.85</v>
      </c>
      <c r="AM139" s="22">
        <v>62</v>
      </c>
      <c r="AN139" s="14">
        <v>331</v>
      </c>
      <c r="AO139" s="14">
        <v>-6182.63</v>
      </c>
      <c r="AP139" s="14"/>
      <c r="AQ139" s="14"/>
      <c r="AR139" s="44">
        <v>0.8</v>
      </c>
      <c r="AU139" s="46"/>
      <c r="AV139" s="46"/>
    </row>
    <row r="140" spans="1:48" x14ac:dyDescent="0.25">
      <c r="A140" s="12">
        <v>5629</v>
      </c>
      <c r="B140" s="13" t="s">
        <v>179</v>
      </c>
      <c r="C140" s="14">
        <v>488139.88</v>
      </c>
      <c r="D140" s="14">
        <v>52374</v>
      </c>
      <c r="E140" s="14"/>
      <c r="F140" s="14"/>
      <c r="G140" s="14">
        <v>-1217.6500000000001</v>
      </c>
      <c r="H140" s="14">
        <v>292.14999999999998</v>
      </c>
      <c r="I140" s="14"/>
      <c r="J140" s="14">
        <v>-1380.18</v>
      </c>
      <c r="K140" s="14">
        <v>458</v>
      </c>
      <c r="L140" s="14">
        <v>29018.1</v>
      </c>
      <c r="M140" s="3">
        <f t="shared" si="6"/>
        <v>567684.29999999993</v>
      </c>
      <c r="N140" s="14"/>
      <c r="O140" s="14"/>
      <c r="P140" s="14">
        <v>990</v>
      </c>
      <c r="Q140" s="14">
        <v>969</v>
      </c>
      <c r="R140" s="14">
        <v>20246</v>
      </c>
      <c r="S140" s="14"/>
      <c r="T140" s="14"/>
      <c r="U140" s="14">
        <v>450</v>
      </c>
      <c r="V140" s="14"/>
      <c r="W140" s="14"/>
      <c r="X140" s="2">
        <f t="shared" si="7"/>
        <v>590339.29999999993</v>
      </c>
      <c r="Y140" s="14">
        <v>28108.6</v>
      </c>
      <c r="Z140" s="14"/>
      <c r="AA140" s="14">
        <v>34753.5</v>
      </c>
      <c r="AB140" s="14"/>
      <c r="AC140" s="14">
        <v>13255.85</v>
      </c>
      <c r="AD140" s="14">
        <v>22121.7</v>
      </c>
      <c r="AE140" s="14"/>
      <c r="AF140" s="14"/>
      <c r="AG140" s="14"/>
      <c r="AH140" s="14"/>
      <c r="AI140" s="14"/>
      <c r="AJ140" s="14"/>
      <c r="AK140" s="14"/>
      <c r="AL140" s="48">
        <f t="shared" si="8"/>
        <v>98239.65</v>
      </c>
      <c r="AM140" s="22">
        <v>75</v>
      </c>
      <c r="AN140" s="14">
        <v>160</v>
      </c>
      <c r="AO140" s="14">
        <v>-10.87</v>
      </c>
      <c r="AP140" s="14"/>
      <c r="AQ140" s="14"/>
      <c r="AR140" s="44">
        <v>1</v>
      </c>
      <c r="AU140" s="46"/>
      <c r="AV140" s="46"/>
    </row>
    <row r="141" spans="1:48" x14ac:dyDescent="0.25">
      <c r="A141" s="12">
        <v>5631</v>
      </c>
      <c r="B141" s="13" t="s">
        <v>180</v>
      </c>
      <c r="C141" s="14">
        <v>1661019.7</v>
      </c>
      <c r="D141" s="14">
        <v>307626.5</v>
      </c>
      <c r="E141" s="14"/>
      <c r="F141" s="14"/>
      <c r="G141" s="14">
        <v>31351.35</v>
      </c>
      <c r="H141" s="14">
        <v>10694.75</v>
      </c>
      <c r="I141" s="14">
        <v>107078.8</v>
      </c>
      <c r="J141" s="14">
        <v>67396.210000000006</v>
      </c>
      <c r="K141" s="14">
        <v>2290</v>
      </c>
      <c r="L141" s="14">
        <v>169456.7</v>
      </c>
      <c r="M141" s="3">
        <f t="shared" si="6"/>
        <v>2356914.0100000002</v>
      </c>
      <c r="N141" s="14"/>
      <c r="O141" s="14">
        <v>83000</v>
      </c>
      <c r="P141" s="14">
        <v>176193.6</v>
      </c>
      <c r="Q141" s="14"/>
      <c r="R141" s="14">
        <v>288956.84999999998</v>
      </c>
      <c r="S141" s="14"/>
      <c r="T141" s="14">
        <v>762.5</v>
      </c>
      <c r="U141" s="14">
        <v>1350</v>
      </c>
      <c r="V141" s="14"/>
      <c r="W141" s="14"/>
      <c r="X141" s="2">
        <f t="shared" si="7"/>
        <v>2907176.9600000004</v>
      </c>
      <c r="Y141" s="14">
        <v>82025.600000000006</v>
      </c>
      <c r="Z141" s="14"/>
      <c r="AA141" s="14">
        <v>116557.7</v>
      </c>
      <c r="AB141" s="14"/>
      <c r="AC141" s="14">
        <v>45189.9</v>
      </c>
      <c r="AD141" s="14"/>
      <c r="AE141" s="14"/>
      <c r="AF141" s="14"/>
      <c r="AG141" s="14"/>
      <c r="AH141" s="14"/>
      <c r="AI141" s="14"/>
      <c r="AJ141" s="14"/>
      <c r="AK141" s="14"/>
      <c r="AL141" s="48">
        <f t="shared" si="8"/>
        <v>243773.19999999998</v>
      </c>
      <c r="AM141" s="22">
        <v>68</v>
      </c>
      <c r="AN141" s="14">
        <v>714</v>
      </c>
      <c r="AO141" s="14">
        <v>-28557.16</v>
      </c>
      <c r="AP141" s="14"/>
      <c r="AQ141" s="14">
        <v>-1508.4</v>
      </c>
      <c r="AR141" s="44">
        <v>1</v>
      </c>
      <c r="AU141" s="46"/>
      <c r="AV141" s="46"/>
    </row>
    <row r="142" spans="1:48" x14ac:dyDescent="0.25">
      <c r="A142" s="12">
        <v>5632</v>
      </c>
      <c r="B142" s="13" t="s">
        <v>181</v>
      </c>
      <c r="C142" s="14">
        <v>3030981.84</v>
      </c>
      <c r="D142" s="14">
        <v>697619.09</v>
      </c>
      <c r="E142" s="14"/>
      <c r="F142" s="14"/>
      <c r="G142" s="14">
        <v>211559.95</v>
      </c>
      <c r="H142" s="14">
        <v>13071.3</v>
      </c>
      <c r="I142" s="14"/>
      <c r="J142" s="14">
        <v>141070.09</v>
      </c>
      <c r="K142" s="14">
        <v>24259.5</v>
      </c>
      <c r="L142" s="14">
        <v>319504.75</v>
      </c>
      <c r="M142" s="3">
        <f t="shared" si="6"/>
        <v>4438066.5199999996</v>
      </c>
      <c r="N142" s="14">
        <v>63740.2</v>
      </c>
      <c r="O142" s="14">
        <v>14846</v>
      </c>
      <c r="P142" s="14">
        <v>147242.9</v>
      </c>
      <c r="Q142" s="14">
        <v>44285.74</v>
      </c>
      <c r="R142" s="14">
        <v>89450.3</v>
      </c>
      <c r="S142" s="14"/>
      <c r="T142" s="14"/>
      <c r="U142" s="14">
        <v>4025</v>
      </c>
      <c r="V142" s="14"/>
      <c r="W142" s="14"/>
      <c r="X142" s="2">
        <f t="shared" si="7"/>
        <v>4801656.66</v>
      </c>
      <c r="Y142" s="14">
        <v>10505</v>
      </c>
      <c r="Z142" s="14">
        <v>5422.3</v>
      </c>
      <c r="AA142" s="14">
        <v>217412.7</v>
      </c>
      <c r="AB142" s="14">
        <v>74135.5</v>
      </c>
      <c r="AC142" s="14">
        <v>110330</v>
      </c>
      <c r="AD142" s="14"/>
      <c r="AE142" s="14"/>
      <c r="AF142" s="14"/>
      <c r="AG142" s="14"/>
      <c r="AH142" s="14">
        <v>57772.800000000003</v>
      </c>
      <c r="AI142" s="14"/>
      <c r="AJ142" s="14"/>
      <c r="AK142" s="14"/>
      <c r="AL142" s="48">
        <f t="shared" si="8"/>
        <v>475578.3</v>
      </c>
      <c r="AM142" s="22">
        <v>62</v>
      </c>
      <c r="AN142" s="14">
        <v>1651</v>
      </c>
      <c r="AO142" s="14">
        <v>-104862.68</v>
      </c>
      <c r="AP142" s="14"/>
      <c r="AQ142" s="14">
        <v>-314.43</v>
      </c>
      <c r="AR142" s="44">
        <v>1</v>
      </c>
      <c r="AU142" s="46"/>
      <c r="AV142" s="46"/>
    </row>
    <row r="143" spans="1:48" x14ac:dyDescent="0.25">
      <c r="A143" s="12">
        <v>5633</v>
      </c>
      <c r="B143" s="13" t="s">
        <v>182</v>
      </c>
      <c r="C143" s="14">
        <v>5266008.4000000004</v>
      </c>
      <c r="D143" s="14">
        <v>1213325.1000000001</v>
      </c>
      <c r="E143" s="14"/>
      <c r="F143" s="14"/>
      <c r="G143" s="14">
        <v>672820.55</v>
      </c>
      <c r="H143" s="14">
        <v>84510.35</v>
      </c>
      <c r="I143" s="14"/>
      <c r="J143" s="14">
        <v>-128977.85</v>
      </c>
      <c r="K143" s="14">
        <v>21130</v>
      </c>
      <c r="L143" s="14">
        <v>531956.30000000005</v>
      </c>
      <c r="M143" s="3">
        <f t="shared" si="6"/>
        <v>7660772.8499999996</v>
      </c>
      <c r="N143" s="14">
        <v>151361.35</v>
      </c>
      <c r="O143" s="14">
        <v>51762.7</v>
      </c>
      <c r="P143" s="14">
        <v>377820.75</v>
      </c>
      <c r="Q143" s="14">
        <v>8110.75</v>
      </c>
      <c r="R143" s="14">
        <v>153567.75</v>
      </c>
      <c r="S143" s="14">
        <v>475</v>
      </c>
      <c r="T143" s="14">
        <v>2195</v>
      </c>
      <c r="U143" s="14">
        <v>8082</v>
      </c>
      <c r="V143" s="14"/>
      <c r="W143" s="14"/>
      <c r="X143" s="2">
        <f t="shared" si="7"/>
        <v>8414148.1499999985</v>
      </c>
      <c r="Y143" s="14">
        <v>148800</v>
      </c>
      <c r="Z143" s="14"/>
      <c r="AA143" s="14">
        <v>377290.47</v>
      </c>
      <c r="AB143" s="14"/>
      <c r="AC143" s="14">
        <v>130217.2</v>
      </c>
      <c r="AD143" s="14"/>
      <c r="AE143" s="14"/>
      <c r="AF143" s="14"/>
      <c r="AG143" s="14"/>
      <c r="AH143" s="14"/>
      <c r="AI143" s="14"/>
      <c r="AJ143" s="14"/>
      <c r="AK143" s="14"/>
      <c r="AL143" s="48">
        <f t="shared" si="8"/>
        <v>656307.66999999993</v>
      </c>
      <c r="AM143" s="22">
        <v>62</v>
      </c>
      <c r="AN143" s="14">
        <v>2631</v>
      </c>
      <c r="AO143" s="14">
        <v>-42049.3</v>
      </c>
      <c r="AP143" s="14"/>
      <c r="AQ143" s="14"/>
      <c r="AR143" s="44">
        <v>1</v>
      </c>
      <c r="AU143" s="46"/>
      <c r="AV143" s="46"/>
    </row>
    <row r="144" spans="1:48" x14ac:dyDescent="0.25">
      <c r="A144" s="12">
        <v>5634</v>
      </c>
      <c r="B144" s="13" t="s">
        <v>183</v>
      </c>
      <c r="C144" s="14">
        <v>6298527.8700000001</v>
      </c>
      <c r="D144" s="14">
        <v>1200297.6200000001</v>
      </c>
      <c r="E144" s="14"/>
      <c r="F144" s="14"/>
      <c r="G144" s="14">
        <v>142319.9</v>
      </c>
      <c r="H144" s="14">
        <v>3906.35</v>
      </c>
      <c r="I144" s="14">
        <v>56786.5</v>
      </c>
      <c r="J144" s="14">
        <v>94492.26</v>
      </c>
      <c r="K144" s="14">
        <v>15918.5</v>
      </c>
      <c r="L144" s="14">
        <v>479176.15</v>
      </c>
      <c r="M144" s="3">
        <f t="shared" si="6"/>
        <v>8291425.1500000004</v>
      </c>
      <c r="N144" s="14">
        <v>12832.1</v>
      </c>
      <c r="O144" s="14">
        <v>72319</v>
      </c>
      <c r="P144" s="14">
        <v>260831.95</v>
      </c>
      <c r="Q144" s="14">
        <v>4932.6499999999996</v>
      </c>
      <c r="R144" s="14">
        <v>163959.54999999999</v>
      </c>
      <c r="S144" s="14"/>
      <c r="T144" s="14">
        <v>1397</v>
      </c>
      <c r="U144" s="14">
        <v>7485</v>
      </c>
      <c r="V144" s="14"/>
      <c r="W144" s="14"/>
      <c r="X144" s="2">
        <f t="shared" si="7"/>
        <v>8815182.4000000004</v>
      </c>
      <c r="Y144" s="14">
        <v>145114.9</v>
      </c>
      <c r="Z144" s="14"/>
      <c r="AA144" s="14">
        <v>530023.19999999995</v>
      </c>
      <c r="AB144" s="14"/>
      <c r="AC144" s="14">
        <v>173497.35</v>
      </c>
      <c r="AD144" s="14">
        <v>96414.9</v>
      </c>
      <c r="AE144" s="14"/>
      <c r="AF144" s="14"/>
      <c r="AG144" s="14"/>
      <c r="AH144" s="14"/>
      <c r="AI144" s="14"/>
      <c r="AJ144" s="14"/>
      <c r="AK144" s="14"/>
      <c r="AL144" s="48">
        <f t="shared" si="8"/>
        <v>945050.35</v>
      </c>
      <c r="AM144" s="22">
        <v>68</v>
      </c>
      <c r="AN144" s="14">
        <v>2585</v>
      </c>
      <c r="AO144" s="14">
        <v>-22422.2</v>
      </c>
      <c r="AP144" s="14"/>
      <c r="AQ144" s="14">
        <v>-1041.8800000000001</v>
      </c>
      <c r="AR144" s="44">
        <v>1</v>
      </c>
      <c r="AU144" s="46"/>
      <c r="AV144" s="46"/>
    </row>
    <row r="145" spans="1:48" x14ac:dyDescent="0.25">
      <c r="A145" s="12">
        <v>5635</v>
      </c>
      <c r="B145" s="13" t="s">
        <v>184</v>
      </c>
      <c r="C145" s="14">
        <v>18489114.43</v>
      </c>
      <c r="D145" s="14">
        <v>2402817.2000000002</v>
      </c>
      <c r="E145" s="14"/>
      <c r="F145" s="14"/>
      <c r="G145" s="14">
        <v>3492269.6</v>
      </c>
      <c r="H145" s="14">
        <v>1019986.45</v>
      </c>
      <c r="I145" s="14">
        <v>-58726.91</v>
      </c>
      <c r="J145" s="14">
        <v>1743764.18</v>
      </c>
      <c r="K145" s="14">
        <v>237347.5</v>
      </c>
      <c r="L145" s="14">
        <v>1884982.85</v>
      </c>
      <c r="M145" s="3">
        <f t="shared" si="6"/>
        <v>29211555.300000001</v>
      </c>
      <c r="N145" s="14">
        <v>1941766.45</v>
      </c>
      <c r="O145" s="14">
        <v>161281.29999999999</v>
      </c>
      <c r="P145" s="14">
        <v>399090.4</v>
      </c>
      <c r="Q145" s="14">
        <v>86771.46</v>
      </c>
      <c r="R145" s="14">
        <v>376309.45</v>
      </c>
      <c r="S145" s="14"/>
      <c r="T145" s="14">
        <v>47721.05</v>
      </c>
      <c r="U145" s="14">
        <v>39600</v>
      </c>
      <c r="V145" s="14">
        <v>98831.07</v>
      </c>
      <c r="W145" s="14"/>
      <c r="X145" s="2">
        <f t="shared" si="7"/>
        <v>32362926.48</v>
      </c>
      <c r="Y145" s="14">
        <v>137542.5</v>
      </c>
      <c r="Z145" s="14"/>
      <c r="AA145" s="14">
        <v>1388926.96</v>
      </c>
      <c r="AB145" s="14"/>
      <c r="AC145" s="14">
        <v>1270065.6000000001</v>
      </c>
      <c r="AD145" s="14"/>
      <c r="AE145" s="14"/>
      <c r="AF145" s="14"/>
      <c r="AG145" s="14">
        <v>323157.5</v>
      </c>
      <c r="AH145" s="14">
        <v>1134285.1000000001</v>
      </c>
      <c r="AI145" s="14"/>
      <c r="AJ145" s="14"/>
      <c r="AK145" s="14">
        <v>162040.5</v>
      </c>
      <c r="AL145" s="48">
        <f t="shared" si="8"/>
        <v>4416018.16</v>
      </c>
      <c r="AM145" s="22">
        <v>62</v>
      </c>
      <c r="AN145" s="14">
        <v>12288</v>
      </c>
      <c r="AO145" s="14">
        <v>-248471.89</v>
      </c>
      <c r="AP145" s="14"/>
      <c r="AQ145" s="14">
        <v>-3623.97</v>
      </c>
      <c r="AR145" s="44">
        <v>0.95</v>
      </c>
      <c r="AU145" s="46"/>
      <c r="AV145" s="46"/>
    </row>
    <row r="146" spans="1:48" x14ac:dyDescent="0.25">
      <c r="A146" s="12">
        <v>5636</v>
      </c>
      <c r="B146" s="13" t="s">
        <v>185</v>
      </c>
      <c r="C146" s="14">
        <v>5688880.5999999996</v>
      </c>
      <c r="D146" s="14">
        <v>833364.45</v>
      </c>
      <c r="E146" s="14"/>
      <c r="F146" s="14"/>
      <c r="G146" s="14">
        <v>1459352.2</v>
      </c>
      <c r="H146" s="14">
        <v>130213.85</v>
      </c>
      <c r="I146" s="14">
        <v>68348.100000000006</v>
      </c>
      <c r="J146" s="14">
        <v>441345.13</v>
      </c>
      <c r="K146" s="14">
        <v>101585</v>
      </c>
      <c r="L146" s="14">
        <v>993636.15</v>
      </c>
      <c r="M146" s="3">
        <f t="shared" si="6"/>
        <v>9716725.4800000004</v>
      </c>
      <c r="N146" s="14">
        <v>581441.30000000005</v>
      </c>
      <c r="O146" s="14">
        <v>71537.399999999994</v>
      </c>
      <c r="P146" s="14">
        <v>382246.35</v>
      </c>
      <c r="Q146" s="14">
        <v>10612.7</v>
      </c>
      <c r="R146" s="14">
        <v>113621.1</v>
      </c>
      <c r="S146" s="14"/>
      <c r="T146" s="14">
        <v>27931.1</v>
      </c>
      <c r="U146" s="14">
        <v>6900</v>
      </c>
      <c r="V146" s="14"/>
      <c r="W146" s="14"/>
      <c r="X146" s="2">
        <f t="shared" si="7"/>
        <v>10911015.43</v>
      </c>
      <c r="Y146" s="14">
        <v>150191.65</v>
      </c>
      <c r="Z146" s="14">
        <v>249037.9</v>
      </c>
      <c r="AA146" s="14">
        <v>214607.75</v>
      </c>
      <c r="AB146" s="14"/>
      <c r="AC146" s="14">
        <v>117713.5</v>
      </c>
      <c r="AD146" s="14">
        <v>127144.2</v>
      </c>
      <c r="AE146" s="14"/>
      <c r="AF146" s="14"/>
      <c r="AG146" s="14"/>
      <c r="AH146" s="14">
        <v>172936.8</v>
      </c>
      <c r="AI146" s="14"/>
      <c r="AJ146" s="14"/>
      <c r="AK146" s="14"/>
      <c r="AL146" s="48">
        <f t="shared" si="8"/>
        <v>1031631.8</v>
      </c>
      <c r="AM146" s="22">
        <v>61</v>
      </c>
      <c r="AN146" s="14">
        <v>2932</v>
      </c>
      <c r="AO146" s="14">
        <v>-36164.75</v>
      </c>
      <c r="AP146" s="14"/>
      <c r="AQ146" s="14">
        <v>-5651.85</v>
      </c>
      <c r="AR146" s="44">
        <v>1</v>
      </c>
      <c r="AU146" s="46"/>
      <c r="AV146" s="46"/>
    </row>
    <row r="147" spans="1:48" x14ac:dyDescent="0.25">
      <c r="A147" s="12">
        <v>5637</v>
      </c>
      <c r="B147" s="13" t="s">
        <v>186</v>
      </c>
      <c r="C147" s="14">
        <v>1873005.6</v>
      </c>
      <c r="D147" s="14">
        <v>228675.66</v>
      </c>
      <c r="E147" s="14"/>
      <c r="F147" s="14"/>
      <c r="G147" s="14">
        <v>16052</v>
      </c>
      <c r="H147" s="14">
        <v>1363.1</v>
      </c>
      <c r="I147" s="14"/>
      <c r="J147" s="14">
        <v>70350.11</v>
      </c>
      <c r="K147" s="14">
        <v>3729.5</v>
      </c>
      <c r="L147" s="14">
        <v>255044.35</v>
      </c>
      <c r="M147" s="3">
        <f t="shared" si="6"/>
        <v>2448220.3200000003</v>
      </c>
      <c r="N147" s="14">
        <v>254087.65</v>
      </c>
      <c r="O147" s="14">
        <v>50024</v>
      </c>
      <c r="P147" s="14">
        <v>92665.65</v>
      </c>
      <c r="Q147" s="14">
        <v>-1836.62</v>
      </c>
      <c r="R147" s="14">
        <v>99699.35</v>
      </c>
      <c r="S147" s="14">
        <v>782.5</v>
      </c>
      <c r="T147" s="14"/>
      <c r="U147" s="14">
        <v>3000</v>
      </c>
      <c r="V147" s="14"/>
      <c r="W147" s="14"/>
      <c r="X147" s="2">
        <f t="shared" si="7"/>
        <v>2946642.85</v>
      </c>
      <c r="Y147" s="14">
        <v>13602.7</v>
      </c>
      <c r="Z147" s="14"/>
      <c r="AA147" s="14">
        <v>154610.5</v>
      </c>
      <c r="AB147" s="14"/>
      <c r="AC147" s="14">
        <v>89065.3</v>
      </c>
      <c r="AD147" s="14">
        <v>14965.45</v>
      </c>
      <c r="AE147" s="14"/>
      <c r="AF147" s="14"/>
      <c r="AG147" s="14"/>
      <c r="AH147" s="14">
        <v>39634.300000000003</v>
      </c>
      <c r="AI147" s="14"/>
      <c r="AJ147" s="14"/>
      <c r="AK147" s="14"/>
      <c r="AL147" s="48">
        <f t="shared" si="8"/>
        <v>311878.25</v>
      </c>
      <c r="AM147" s="22">
        <v>74.5</v>
      </c>
      <c r="AN147" s="14">
        <v>981</v>
      </c>
      <c r="AO147" s="14">
        <v>-46022.7</v>
      </c>
      <c r="AP147" s="14"/>
      <c r="AQ147" s="14">
        <v>-229.79</v>
      </c>
      <c r="AR147" s="44">
        <v>1.5</v>
      </c>
      <c r="AU147" s="46"/>
      <c r="AV147" s="46"/>
    </row>
    <row r="148" spans="1:48" x14ac:dyDescent="0.25">
      <c r="A148" s="12">
        <v>5638</v>
      </c>
      <c r="B148" s="13" t="s">
        <v>187</v>
      </c>
      <c r="C148" s="14">
        <v>5282996.2300000004</v>
      </c>
      <c r="D148" s="14">
        <v>1307959.75</v>
      </c>
      <c r="E148" s="14"/>
      <c r="F148" s="14"/>
      <c r="G148" s="14">
        <v>800870</v>
      </c>
      <c r="H148" s="14">
        <v>67487.649999999994</v>
      </c>
      <c r="I148" s="14">
        <v>144011.41</v>
      </c>
      <c r="J148" s="14">
        <v>146460.03</v>
      </c>
      <c r="K148" s="14">
        <v>51758</v>
      </c>
      <c r="L148" s="14">
        <v>582600.4</v>
      </c>
      <c r="M148" s="3">
        <f t="shared" si="6"/>
        <v>8384143.4700000016</v>
      </c>
      <c r="N148" s="14">
        <v>129820.9</v>
      </c>
      <c r="O148" s="14">
        <v>1503271.3</v>
      </c>
      <c r="P148" s="14">
        <v>105204</v>
      </c>
      <c r="Q148" s="14">
        <v>6848.1</v>
      </c>
      <c r="R148" s="14">
        <v>175603.9</v>
      </c>
      <c r="S148" s="14"/>
      <c r="T148" s="14"/>
      <c r="U148" s="14">
        <v>12200</v>
      </c>
      <c r="V148" s="14"/>
      <c r="W148" s="14"/>
      <c r="X148" s="2">
        <f t="shared" si="7"/>
        <v>10317091.670000002</v>
      </c>
      <c r="Y148" s="14">
        <v>45086.400000000001</v>
      </c>
      <c r="Z148" s="14"/>
      <c r="AA148" s="14">
        <v>489061.2</v>
      </c>
      <c r="AB148" s="14"/>
      <c r="AC148" s="14">
        <v>281297.3</v>
      </c>
      <c r="AD148" s="14"/>
      <c r="AE148" s="14"/>
      <c r="AF148" s="14"/>
      <c r="AG148" s="14"/>
      <c r="AH148" s="14"/>
      <c r="AI148" s="14"/>
      <c r="AJ148" s="14"/>
      <c r="AK148" s="14"/>
      <c r="AL148" s="48">
        <f t="shared" si="8"/>
        <v>815444.89999999991</v>
      </c>
      <c r="AM148" s="22">
        <v>55</v>
      </c>
      <c r="AN148" s="14">
        <v>2536</v>
      </c>
      <c r="AO148" s="14">
        <v>-663.02</v>
      </c>
      <c r="AP148" s="14"/>
      <c r="AQ148" s="14">
        <v>-4172.17</v>
      </c>
      <c r="AR148" s="44">
        <v>1</v>
      </c>
      <c r="AU148" s="46"/>
      <c r="AV148" s="46"/>
    </row>
    <row r="149" spans="1:48" x14ac:dyDescent="0.25">
      <c r="A149" s="12">
        <v>5639</v>
      </c>
      <c r="B149" s="13" t="s">
        <v>188</v>
      </c>
      <c r="C149" s="14">
        <v>1884609.63</v>
      </c>
      <c r="D149" s="14">
        <v>410844.9</v>
      </c>
      <c r="E149" s="14"/>
      <c r="F149" s="14"/>
      <c r="G149" s="14">
        <v>82591.199999999997</v>
      </c>
      <c r="H149" s="14">
        <v>2822.45</v>
      </c>
      <c r="I149" s="14"/>
      <c r="J149" s="14">
        <v>27626.17</v>
      </c>
      <c r="K149" s="14">
        <v>3232</v>
      </c>
      <c r="L149" s="14">
        <v>219701.45</v>
      </c>
      <c r="M149" s="3">
        <f t="shared" si="6"/>
        <v>2631427.8000000003</v>
      </c>
      <c r="N149" s="14"/>
      <c r="O149" s="14">
        <v>27528.6</v>
      </c>
      <c r="P149" s="14">
        <v>122241.75</v>
      </c>
      <c r="Q149" s="14">
        <v>323.14</v>
      </c>
      <c r="R149" s="14">
        <v>125088.4</v>
      </c>
      <c r="S149" s="14"/>
      <c r="T149" s="14"/>
      <c r="U149" s="14">
        <v>1975</v>
      </c>
      <c r="V149" s="14"/>
      <c r="W149" s="14"/>
      <c r="X149" s="2">
        <f t="shared" si="7"/>
        <v>2908584.6900000004</v>
      </c>
      <c r="Y149" s="14">
        <v>40758.6</v>
      </c>
      <c r="Z149" s="14"/>
      <c r="AA149" s="14">
        <v>107295.7</v>
      </c>
      <c r="AB149" s="14"/>
      <c r="AC149" s="14">
        <v>60508.3</v>
      </c>
      <c r="AD149" s="14"/>
      <c r="AE149" s="14"/>
      <c r="AF149" s="14"/>
      <c r="AG149" s="14"/>
      <c r="AH149" s="14"/>
      <c r="AI149" s="14"/>
      <c r="AJ149" s="14"/>
      <c r="AK149" s="14"/>
      <c r="AL149" s="48">
        <f t="shared" si="8"/>
        <v>208562.59999999998</v>
      </c>
      <c r="AM149" s="22">
        <v>61</v>
      </c>
      <c r="AN149" s="14">
        <v>760</v>
      </c>
      <c r="AO149" s="14">
        <v>-6386.52</v>
      </c>
      <c r="AP149" s="14"/>
      <c r="AQ149" s="14"/>
      <c r="AR149" s="44">
        <v>1.25</v>
      </c>
      <c r="AU149" s="46"/>
      <c r="AV149" s="46"/>
    </row>
    <row r="150" spans="1:48" x14ac:dyDescent="0.25">
      <c r="A150" s="12">
        <v>5640</v>
      </c>
      <c r="B150" s="13" t="s">
        <v>189</v>
      </c>
      <c r="C150" s="14">
        <v>2097230.14</v>
      </c>
      <c r="D150" s="14">
        <v>501418.66</v>
      </c>
      <c r="E150" s="14"/>
      <c r="F150" s="14"/>
      <c r="G150" s="14">
        <v>199297.55</v>
      </c>
      <c r="H150" s="14">
        <v>3004.2</v>
      </c>
      <c r="I150" s="14">
        <v>60120.82</v>
      </c>
      <c r="J150" s="14">
        <v>-38575.050000000003</v>
      </c>
      <c r="K150" s="14">
        <v>1498.5</v>
      </c>
      <c r="L150" s="14">
        <v>173729.65</v>
      </c>
      <c r="M150" s="3">
        <f t="shared" si="6"/>
        <v>2997724.47</v>
      </c>
      <c r="N150" s="14">
        <v>18171.5</v>
      </c>
      <c r="O150" s="14">
        <v>217086.5</v>
      </c>
      <c r="P150" s="14">
        <v>37730</v>
      </c>
      <c r="Q150" s="14">
        <v>1796.8</v>
      </c>
      <c r="R150" s="14">
        <v>13027.6</v>
      </c>
      <c r="S150" s="14"/>
      <c r="T150" s="14"/>
      <c r="U150" s="14">
        <v>4700</v>
      </c>
      <c r="V150" s="14"/>
      <c r="W150" s="14"/>
      <c r="X150" s="2">
        <f t="shared" si="7"/>
        <v>3290236.87</v>
      </c>
      <c r="Y150" s="14">
        <v>22400</v>
      </c>
      <c r="Z150" s="14"/>
      <c r="AA150" s="14">
        <v>67498.100000000006</v>
      </c>
      <c r="AB150" s="14"/>
      <c r="AC150" s="14">
        <v>37290</v>
      </c>
      <c r="AD150" s="14"/>
      <c r="AE150" s="14"/>
      <c r="AF150" s="14"/>
      <c r="AG150" s="14"/>
      <c r="AH150" s="14"/>
      <c r="AI150" s="14"/>
      <c r="AJ150" s="14"/>
      <c r="AK150" s="14"/>
      <c r="AL150" s="48">
        <f t="shared" si="8"/>
        <v>127188.1</v>
      </c>
      <c r="AM150" s="22">
        <v>66</v>
      </c>
      <c r="AN150" s="14">
        <v>646</v>
      </c>
      <c r="AO150" s="14">
        <v>-5784.96</v>
      </c>
      <c r="AP150" s="14"/>
      <c r="AQ150" s="14">
        <v>-3220.58</v>
      </c>
      <c r="AR150" s="44">
        <v>1</v>
      </c>
      <c r="AU150" s="46"/>
      <c r="AV150" s="46"/>
    </row>
    <row r="151" spans="1:48" x14ac:dyDescent="0.25">
      <c r="A151" s="12">
        <v>5642</v>
      </c>
      <c r="B151" s="13" t="s">
        <v>190</v>
      </c>
      <c r="C151" s="14">
        <v>32574621.390000001</v>
      </c>
      <c r="D151" s="14">
        <v>4836183.2699999996</v>
      </c>
      <c r="E151" s="14"/>
      <c r="F151" s="14"/>
      <c r="G151" s="14">
        <v>6012572.9500000002</v>
      </c>
      <c r="H151" s="14">
        <v>484645.4</v>
      </c>
      <c r="I151" s="14">
        <v>320341</v>
      </c>
      <c r="J151" s="14">
        <v>2230683.2000000002</v>
      </c>
      <c r="K151" s="14">
        <v>397545.5</v>
      </c>
      <c r="L151" s="14">
        <v>2924442.15</v>
      </c>
      <c r="M151" s="3">
        <f t="shared" si="6"/>
        <v>49781034.859999999</v>
      </c>
      <c r="N151" s="14">
        <v>1193384.05</v>
      </c>
      <c r="O151" s="14">
        <f>4249449.4-2013800</f>
        <v>2235649.4000000004</v>
      </c>
      <c r="P151" s="14">
        <v>1141891.05</v>
      </c>
      <c r="Q151" s="14">
        <v>122510.89</v>
      </c>
      <c r="R151" s="14">
        <v>818165.3</v>
      </c>
      <c r="S151" s="14">
        <v>70813</v>
      </c>
      <c r="T151" s="14"/>
      <c r="U151" s="14">
        <v>42530</v>
      </c>
      <c r="V151" s="14"/>
      <c r="W151" s="14"/>
      <c r="X151" s="2">
        <f t="shared" si="7"/>
        <v>55405978.54999999</v>
      </c>
      <c r="Y151" s="14">
        <v>178945.1</v>
      </c>
      <c r="Z151" s="14"/>
      <c r="AA151" s="14">
        <v>4267566.7</v>
      </c>
      <c r="AB151" s="14"/>
      <c r="AC151" s="14">
        <v>1058699.6000000001</v>
      </c>
      <c r="AD151" s="14">
        <v>178945.1</v>
      </c>
      <c r="AE151" s="14"/>
      <c r="AF151" s="14"/>
      <c r="AG151" s="14">
        <v>213153.5</v>
      </c>
      <c r="AH151" s="14"/>
      <c r="AI151" s="14"/>
      <c r="AJ151" s="14"/>
      <c r="AK151" s="14"/>
      <c r="AL151" s="48">
        <f t="shared" si="8"/>
        <v>5897310</v>
      </c>
      <c r="AM151" s="22">
        <v>68.5</v>
      </c>
      <c r="AN151" s="14">
        <v>15623</v>
      </c>
      <c r="AO151" s="14">
        <v>-885440.77</v>
      </c>
      <c r="AP151" s="14"/>
      <c r="AQ151" s="14">
        <v>-14566.03</v>
      </c>
      <c r="AR151" s="44">
        <v>1</v>
      </c>
      <c r="AU151" s="46"/>
      <c r="AV151" s="46"/>
    </row>
    <row r="152" spans="1:48" x14ac:dyDescent="0.25">
      <c r="A152" s="12">
        <v>5643</v>
      </c>
      <c r="B152" s="13" t="s">
        <v>191</v>
      </c>
      <c r="C152" s="14">
        <v>10998745.59</v>
      </c>
      <c r="D152" s="14">
        <v>2032707.1</v>
      </c>
      <c r="E152" s="14"/>
      <c r="F152" s="14"/>
      <c r="G152" s="14">
        <v>1264029.6000000001</v>
      </c>
      <c r="H152" s="14">
        <v>38946.65</v>
      </c>
      <c r="I152" s="14">
        <v>233582.95</v>
      </c>
      <c r="J152" s="14">
        <v>444402.24</v>
      </c>
      <c r="K152" s="14">
        <v>77686.5</v>
      </c>
      <c r="L152" s="14">
        <v>1027181.85</v>
      </c>
      <c r="M152" s="3">
        <f t="shared" si="6"/>
        <v>16117282.479999999</v>
      </c>
      <c r="N152" s="14">
        <v>160776.25</v>
      </c>
      <c r="O152" s="14">
        <v>57979.1</v>
      </c>
      <c r="P152" s="14">
        <v>466985.55</v>
      </c>
      <c r="Q152" s="14">
        <v>45774.82</v>
      </c>
      <c r="R152" s="14">
        <v>297315.55</v>
      </c>
      <c r="S152" s="14">
        <v>152.5</v>
      </c>
      <c r="T152" s="14">
        <v>3640</v>
      </c>
      <c r="U152" s="14">
        <v>17640</v>
      </c>
      <c r="V152" s="14"/>
      <c r="W152" s="14"/>
      <c r="X152" s="2">
        <f t="shared" si="7"/>
        <v>17167546.25</v>
      </c>
      <c r="Y152" s="14">
        <v>238581.1</v>
      </c>
      <c r="Z152" s="14"/>
      <c r="AA152" s="14">
        <v>855481.02</v>
      </c>
      <c r="AB152" s="14"/>
      <c r="AC152" s="14">
        <v>406601.55</v>
      </c>
      <c r="AD152" s="14"/>
      <c r="AE152" s="14"/>
      <c r="AF152" s="14"/>
      <c r="AG152" s="14"/>
      <c r="AH152" s="14">
        <v>110434.3</v>
      </c>
      <c r="AI152" s="14"/>
      <c r="AJ152" s="14"/>
      <c r="AK152" s="14"/>
      <c r="AL152" s="48">
        <f t="shared" si="8"/>
        <v>1611097.9700000002</v>
      </c>
      <c r="AM152" s="22">
        <v>64</v>
      </c>
      <c r="AN152" s="14">
        <v>5263</v>
      </c>
      <c r="AO152" s="14">
        <v>-171988.52</v>
      </c>
      <c r="AP152" s="14"/>
      <c r="AQ152" s="14">
        <v>-4282.45</v>
      </c>
      <c r="AR152" s="44">
        <v>1</v>
      </c>
      <c r="AU152" s="46"/>
      <c r="AV152" s="46"/>
    </row>
    <row r="153" spans="1:48" x14ac:dyDescent="0.25">
      <c r="A153" s="12">
        <v>5644</v>
      </c>
      <c r="B153" s="13" t="s">
        <v>346</v>
      </c>
      <c r="C153" s="14">
        <v>962903.63</v>
      </c>
      <c r="D153" s="14">
        <v>125224.44</v>
      </c>
      <c r="E153" s="14"/>
      <c r="F153" s="14"/>
      <c r="G153" s="14">
        <v>28898.85</v>
      </c>
      <c r="H153" s="14">
        <v>-257.14999999999998</v>
      </c>
      <c r="I153" s="14"/>
      <c r="J153" s="14">
        <v>4237.1099999999997</v>
      </c>
      <c r="K153" s="14">
        <v>366</v>
      </c>
      <c r="L153" s="14">
        <v>65545.55</v>
      </c>
      <c r="M153" s="3">
        <f t="shared" si="6"/>
        <v>1186918.4300000004</v>
      </c>
      <c r="N153" s="14">
        <v>7214.6</v>
      </c>
      <c r="O153" s="14"/>
      <c r="P153" s="14">
        <v>44931</v>
      </c>
      <c r="Q153" s="14"/>
      <c r="R153" s="14">
        <v>52721.599999999999</v>
      </c>
      <c r="S153" s="14"/>
      <c r="T153" s="14">
        <v>560</v>
      </c>
      <c r="U153" s="14">
        <v>2600</v>
      </c>
      <c r="V153" s="14"/>
      <c r="W153" s="14"/>
      <c r="X153" s="2">
        <f t="shared" si="7"/>
        <v>1294945.6300000006</v>
      </c>
      <c r="Y153" s="14">
        <v>12127</v>
      </c>
      <c r="Z153" s="14"/>
      <c r="AA153" s="14">
        <v>64140.2</v>
      </c>
      <c r="AB153" s="14"/>
      <c r="AC153" s="14">
        <v>30560</v>
      </c>
      <c r="AD153" s="14">
        <v>7502</v>
      </c>
      <c r="AE153" s="14"/>
      <c r="AF153" s="14"/>
      <c r="AG153" s="14"/>
      <c r="AH153" s="14">
        <v>7223.7</v>
      </c>
      <c r="AI153" s="14"/>
      <c r="AJ153" s="14"/>
      <c r="AK153" s="14"/>
      <c r="AL153" s="48">
        <f t="shared" si="8"/>
        <v>121552.9</v>
      </c>
      <c r="AM153" s="22">
        <v>76</v>
      </c>
      <c r="AN153" s="14">
        <v>360</v>
      </c>
      <c r="AO153" s="14">
        <v>-1708.78</v>
      </c>
      <c r="AP153" s="14"/>
      <c r="AQ153" s="14">
        <v>-0.47</v>
      </c>
      <c r="AR153" s="44">
        <v>1</v>
      </c>
      <c r="AU153" s="46"/>
      <c r="AV153" s="46"/>
    </row>
    <row r="154" spans="1:48" x14ac:dyDescent="0.25">
      <c r="A154" s="12">
        <v>5645</v>
      </c>
      <c r="B154" s="13" t="s">
        <v>347</v>
      </c>
      <c r="C154" s="14">
        <v>845581.44</v>
      </c>
      <c r="D154" s="14">
        <v>144025.57999999999</v>
      </c>
      <c r="E154" s="14"/>
      <c r="F154" s="14"/>
      <c r="G154" s="14">
        <v>233929.7</v>
      </c>
      <c r="H154" s="14">
        <v>17086.75</v>
      </c>
      <c r="I154" s="14"/>
      <c r="J154" s="14">
        <v>43484.57</v>
      </c>
      <c r="K154" s="14">
        <v>7817</v>
      </c>
      <c r="L154" s="14">
        <v>109033.7</v>
      </c>
      <c r="M154" s="3">
        <f t="shared" si="6"/>
        <v>1400958.74</v>
      </c>
      <c r="N154" s="14">
        <v>51663.6</v>
      </c>
      <c r="O154" s="14">
        <v>6750.3</v>
      </c>
      <c r="P154" s="14">
        <v>18205</v>
      </c>
      <c r="Q154" s="14">
        <v>3685.64</v>
      </c>
      <c r="R154" s="14">
        <v>17342.95</v>
      </c>
      <c r="S154" s="14"/>
      <c r="T154" s="14"/>
      <c r="U154" s="14">
        <v>750</v>
      </c>
      <c r="V154" s="14"/>
      <c r="W154" s="14"/>
      <c r="X154" s="2">
        <f t="shared" si="7"/>
        <v>1499356.23</v>
      </c>
      <c r="Y154" s="14">
        <v>12417.65</v>
      </c>
      <c r="Z154" s="14"/>
      <c r="AA154" s="14">
        <v>111386.9</v>
      </c>
      <c r="AB154" s="14"/>
      <c r="AC154" s="14">
        <v>48398</v>
      </c>
      <c r="AD154" s="14">
        <v>17630.8</v>
      </c>
      <c r="AE154" s="14"/>
      <c r="AF154" s="14"/>
      <c r="AG154" s="14"/>
      <c r="AH154" s="14">
        <v>26594</v>
      </c>
      <c r="AI154" s="14"/>
      <c r="AJ154" s="14"/>
      <c r="AK154" s="14"/>
      <c r="AL154" s="48">
        <f t="shared" si="8"/>
        <v>216427.34999999998</v>
      </c>
      <c r="AM154" s="22">
        <v>56</v>
      </c>
      <c r="AN154" s="14">
        <v>459</v>
      </c>
      <c r="AO154" s="14">
        <v>-10663.26</v>
      </c>
      <c r="AP154" s="14"/>
      <c r="AQ154" s="14">
        <v>-37.65</v>
      </c>
      <c r="AR154" s="44">
        <v>0.8</v>
      </c>
      <c r="AU154" s="46"/>
      <c r="AV154" s="46"/>
    </row>
    <row r="155" spans="1:48" x14ac:dyDescent="0.25">
      <c r="A155" s="12">
        <v>5646</v>
      </c>
      <c r="B155" s="13" t="s">
        <v>348</v>
      </c>
      <c r="C155" s="14">
        <v>9601453.1600000001</v>
      </c>
      <c r="D155" s="14">
        <v>2588666.0499999998</v>
      </c>
      <c r="E155" s="14"/>
      <c r="F155" s="14"/>
      <c r="G155" s="14">
        <v>428444.05</v>
      </c>
      <c r="H155" s="14">
        <v>1678668.6</v>
      </c>
      <c r="I155" s="14">
        <v>624273.18000000005</v>
      </c>
      <c r="J155" s="14">
        <v>734525.25</v>
      </c>
      <c r="K155" s="14">
        <v>119824.5</v>
      </c>
      <c r="L155" s="14">
        <v>1426965.45</v>
      </c>
      <c r="M155" s="3">
        <f t="shared" si="6"/>
        <v>17202820.240000002</v>
      </c>
      <c r="N155" s="14">
        <v>493653.25</v>
      </c>
      <c r="O155" s="14">
        <v>1443954.6</v>
      </c>
      <c r="P155" s="14">
        <v>870874.45</v>
      </c>
      <c r="Q155" s="14">
        <v>58825.46</v>
      </c>
      <c r="R155" s="14">
        <v>623458.15</v>
      </c>
      <c r="S155" s="14"/>
      <c r="T155" s="14">
        <v>4570</v>
      </c>
      <c r="U155" s="14">
        <v>48600</v>
      </c>
      <c r="V155" s="14"/>
      <c r="W155" s="14"/>
      <c r="X155" s="2">
        <f t="shared" si="7"/>
        <v>20746756.150000002</v>
      </c>
      <c r="Y155" s="14">
        <v>443693.77</v>
      </c>
      <c r="Z155" s="14"/>
      <c r="AA155" s="14">
        <v>866570.02</v>
      </c>
      <c r="AB155" s="14"/>
      <c r="AC155" s="14">
        <v>532039.05000000005</v>
      </c>
      <c r="AD155" s="14">
        <v>185414.38</v>
      </c>
      <c r="AE155" s="14"/>
      <c r="AF155" s="14"/>
      <c r="AG155" s="14">
        <v>36772</v>
      </c>
      <c r="AH155" s="14"/>
      <c r="AI155" s="14"/>
      <c r="AJ155" s="14"/>
      <c r="AK155" s="14"/>
      <c r="AL155" s="48">
        <f t="shared" si="8"/>
        <v>2064489.2200000002</v>
      </c>
      <c r="AM155" s="22">
        <v>55</v>
      </c>
      <c r="AN155" s="14">
        <v>5604</v>
      </c>
      <c r="AO155" s="14">
        <v>-350425.71</v>
      </c>
      <c r="AP155" s="14"/>
      <c r="AQ155" s="14">
        <v>-8749.7099999999991</v>
      </c>
      <c r="AR155" s="44">
        <v>1</v>
      </c>
      <c r="AU155" s="46"/>
      <c r="AV155" s="46"/>
    </row>
    <row r="156" spans="1:48" x14ac:dyDescent="0.25">
      <c r="A156" s="12">
        <v>5648</v>
      </c>
      <c r="B156" s="13" t="s">
        <v>349</v>
      </c>
      <c r="C156" s="14">
        <v>10202840.029999999</v>
      </c>
      <c r="D156" s="14">
        <v>3785819.91</v>
      </c>
      <c r="E156" s="14"/>
      <c r="F156" s="14"/>
      <c r="G156" s="14">
        <v>331913.46000000002</v>
      </c>
      <c r="H156" s="14">
        <v>295936.84999999998</v>
      </c>
      <c r="I156" s="14">
        <v>666665.6</v>
      </c>
      <c r="J156" s="14">
        <v>564645</v>
      </c>
      <c r="K156" s="14">
        <v>92465.5</v>
      </c>
      <c r="L156" s="14">
        <v>894473.38</v>
      </c>
      <c r="M156" s="3">
        <f t="shared" si="6"/>
        <v>16834759.73</v>
      </c>
      <c r="N156" s="14">
        <v>71491.8</v>
      </c>
      <c r="O156" s="14"/>
      <c r="P156" s="14">
        <v>1284511.93</v>
      </c>
      <c r="Q156" s="14">
        <v>-3712.22</v>
      </c>
      <c r="R156" s="14">
        <v>1296740.3</v>
      </c>
      <c r="S156" s="14"/>
      <c r="T156" s="14"/>
      <c r="U156" s="14">
        <v>15650</v>
      </c>
      <c r="V156" s="14"/>
      <c r="W156" s="14"/>
      <c r="X156" s="2">
        <f t="shared" si="7"/>
        <v>19499441.540000003</v>
      </c>
      <c r="Y156" s="14">
        <v>1098973.3</v>
      </c>
      <c r="Z156" s="14"/>
      <c r="AA156" s="14">
        <v>902691.65</v>
      </c>
      <c r="AB156" s="14"/>
      <c r="AC156" s="14">
        <v>303541.03000000003</v>
      </c>
      <c r="AD156" s="14"/>
      <c r="AE156" s="14"/>
      <c r="AF156" s="14"/>
      <c r="AG156" s="14">
        <v>132507.72</v>
      </c>
      <c r="AH156" s="14">
        <v>132632.51999999999</v>
      </c>
      <c r="AI156" s="14"/>
      <c r="AJ156" s="14"/>
      <c r="AK156" s="14"/>
      <c r="AL156" s="48">
        <f t="shared" si="8"/>
        <v>2570346.2200000007</v>
      </c>
      <c r="AM156" s="22">
        <v>55</v>
      </c>
      <c r="AN156" s="14">
        <v>3898</v>
      </c>
      <c r="AO156" s="14">
        <v>-141302.87</v>
      </c>
      <c r="AP156" s="14"/>
      <c r="AQ156" s="14">
        <v>-9904.2900000000009</v>
      </c>
      <c r="AR156" s="44">
        <v>0.8</v>
      </c>
      <c r="AU156" s="46"/>
      <c r="AV156" s="46"/>
    </row>
    <row r="157" spans="1:48" x14ac:dyDescent="0.25">
      <c r="A157" s="12">
        <v>5649</v>
      </c>
      <c r="B157" s="13" t="s">
        <v>350</v>
      </c>
      <c r="C157" s="14">
        <v>3612946.12</v>
      </c>
      <c r="D157" s="14">
        <v>592710.18999999994</v>
      </c>
      <c r="E157" s="14"/>
      <c r="F157" s="14"/>
      <c r="G157" s="14">
        <v>1266392.95</v>
      </c>
      <c r="H157" s="14">
        <v>621141.35</v>
      </c>
      <c r="I157" s="14">
        <v>41286.5</v>
      </c>
      <c r="J157" s="14">
        <v>478624.57</v>
      </c>
      <c r="K157" s="14">
        <v>59599.5</v>
      </c>
      <c r="L157" s="14">
        <v>517247.6</v>
      </c>
      <c r="M157" s="3">
        <f t="shared" si="6"/>
        <v>7189948.7800000003</v>
      </c>
      <c r="N157" s="14">
        <v>438479.5</v>
      </c>
      <c r="O157" s="14">
        <v>77493.600000000006</v>
      </c>
      <c r="P157" s="14">
        <v>170195.45</v>
      </c>
      <c r="Q157" s="14">
        <v>2758.39</v>
      </c>
      <c r="R157" s="14">
        <v>140839.70000000001</v>
      </c>
      <c r="S157" s="14"/>
      <c r="T157" s="14"/>
      <c r="U157" s="14">
        <v>3345</v>
      </c>
      <c r="V157" s="14"/>
      <c r="W157" s="14"/>
      <c r="X157" s="2">
        <f t="shared" si="7"/>
        <v>8023060.4199999999</v>
      </c>
      <c r="Y157" s="14">
        <v>71099.649999999994</v>
      </c>
      <c r="Z157" s="14"/>
      <c r="AA157" s="14">
        <v>441701.5</v>
      </c>
      <c r="AB157" s="14"/>
      <c r="AC157" s="14">
        <v>95055</v>
      </c>
      <c r="AD157" s="14"/>
      <c r="AE157" s="14"/>
      <c r="AF157" s="14"/>
      <c r="AG157" s="14"/>
      <c r="AH157" s="14">
        <v>128558.9</v>
      </c>
      <c r="AI157" s="14"/>
      <c r="AJ157" s="14"/>
      <c r="AK157" s="14"/>
      <c r="AL157" s="48">
        <f t="shared" si="8"/>
        <v>736415.05</v>
      </c>
      <c r="AM157" s="22">
        <v>65</v>
      </c>
      <c r="AN157" s="14">
        <v>1855</v>
      </c>
      <c r="AO157" s="14">
        <v>-83826.570000000007</v>
      </c>
      <c r="AP157" s="14"/>
      <c r="AQ157" s="14">
        <v>-472.53</v>
      </c>
      <c r="AR157" s="44">
        <v>1</v>
      </c>
      <c r="AU157" s="46"/>
      <c r="AV157" s="46"/>
    </row>
    <row r="158" spans="1:48" x14ac:dyDescent="0.25">
      <c r="A158" s="12">
        <v>5650</v>
      </c>
      <c r="B158" s="13" t="s">
        <v>351</v>
      </c>
      <c r="C158" s="14">
        <v>2621319.98</v>
      </c>
      <c r="D158" s="14">
        <v>4540898.0999999996</v>
      </c>
      <c r="E158" s="14"/>
      <c r="F158" s="14"/>
      <c r="G158" s="14">
        <v>11549.3</v>
      </c>
      <c r="H158" s="14">
        <v>24.05</v>
      </c>
      <c r="I158" s="14"/>
      <c r="J158" s="14">
        <v>1427.62</v>
      </c>
      <c r="K158" s="14"/>
      <c r="L158" s="14">
        <v>52726.3</v>
      </c>
      <c r="M158" s="3">
        <f t="shared" si="6"/>
        <v>7227945.3499999996</v>
      </c>
      <c r="N158" s="14"/>
      <c r="O158" s="14">
        <v>71154.3</v>
      </c>
      <c r="P158" s="14"/>
      <c r="Q158" s="14"/>
      <c r="R158" s="14"/>
      <c r="S158" s="14"/>
      <c r="T158" s="14"/>
      <c r="U158" s="14">
        <v>510</v>
      </c>
      <c r="V158" s="14"/>
      <c r="W158" s="14"/>
      <c r="X158" s="2">
        <f t="shared" si="7"/>
        <v>7299609.6499999994</v>
      </c>
      <c r="Y158" s="14"/>
      <c r="Z158" s="14"/>
      <c r="AA158" s="14">
        <v>26646.05</v>
      </c>
      <c r="AB158" s="14"/>
      <c r="AC158" s="14">
        <v>21113.9</v>
      </c>
      <c r="AD158" s="14"/>
      <c r="AE158" s="14"/>
      <c r="AF158" s="14"/>
      <c r="AG158" s="14"/>
      <c r="AH158" s="14"/>
      <c r="AI158" s="14"/>
      <c r="AJ158" s="14"/>
      <c r="AK158" s="14"/>
      <c r="AL158" s="48">
        <f t="shared" si="8"/>
        <v>47759.95</v>
      </c>
      <c r="AM158" s="22">
        <v>39</v>
      </c>
      <c r="AN158" s="14">
        <v>203</v>
      </c>
      <c r="AO158" s="14">
        <v>-2.82</v>
      </c>
      <c r="AP158" s="14"/>
      <c r="AQ158" s="14"/>
      <c r="AR158" s="44">
        <v>1.25</v>
      </c>
      <c r="AU158" s="46"/>
      <c r="AV158" s="46"/>
    </row>
    <row r="159" spans="1:48" x14ac:dyDescent="0.25">
      <c r="A159" s="12">
        <v>5651</v>
      </c>
      <c r="B159" s="13" t="s">
        <v>352</v>
      </c>
      <c r="C159" s="14">
        <v>1604394.05</v>
      </c>
      <c r="D159" s="14">
        <v>166577.48000000001</v>
      </c>
      <c r="E159" s="14"/>
      <c r="F159" s="14"/>
      <c r="G159" s="14">
        <v>244530.95</v>
      </c>
      <c r="H159" s="14">
        <v>3080.65</v>
      </c>
      <c r="I159" s="14"/>
      <c r="J159" s="14">
        <v>22047.200000000001</v>
      </c>
      <c r="K159" s="14">
        <v>13268</v>
      </c>
      <c r="L159" s="14">
        <v>200663.4</v>
      </c>
      <c r="M159" s="3">
        <f t="shared" si="6"/>
        <v>2254561.73</v>
      </c>
      <c r="N159" s="14">
        <v>128413.05</v>
      </c>
      <c r="O159" s="14"/>
      <c r="P159" s="14">
        <v>221104.3</v>
      </c>
      <c r="Q159" s="14">
        <v>79586.55</v>
      </c>
      <c r="R159" s="14">
        <v>228523.35</v>
      </c>
      <c r="S159" s="14"/>
      <c r="T159" s="14"/>
      <c r="U159" s="14">
        <v>3760</v>
      </c>
      <c r="V159" s="14"/>
      <c r="W159" s="14"/>
      <c r="X159" s="2">
        <f t="shared" si="7"/>
        <v>2915948.9799999995</v>
      </c>
      <c r="Y159" s="14">
        <v>476225.45</v>
      </c>
      <c r="Z159" s="14"/>
      <c r="AA159" s="14">
        <v>86554.55</v>
      </c>
      <c r="AB159" s="14"/>
      <c r="AC159" s="14">
        <v>97823.85</v>
      </c>
      <c r="AD159" s="14">
        <v>271239.3</v>
      </c>
      <c r="AE159" s="14"/>
      <c r="AF159" s="14"/>
      <c r="AG159" s="14"/>
      <c r="AH159" s="14">
        <v>41370.800000000003</v>
      </c>
      <c r="AI159" s="14"/>
      <c r="AJ159" s="14"/>
      <c r="AK159" s="14"/>
      <c r="AL159" s="48">
        <f t="shared" si="8"/>
        <v>973213.95</v>
      </c>
      <c r="AM159" s="22">
        <v>59</v>
      </c>
      <c r="AN159" s="14">
        <v>709</v>
      </c>
      <c r="AO159" s="14">
        <v>-102556.47</v>
      </c>
      <c r="AP159" s="14"/>
      <c r="AQ159" s="14">
        <v>-17.239999999999998</v>
      </c>
      <c r="AR159" s="44">
        <v>1</v>
      </c>
      <c r="AU159" s="46"/>
      <c r="AV159" s="46"/>
    </row>
    <row r="160" spans="1:48" x14ac:dyDescent="0.25">
      <c r="A160" s="12">
        <v>5652</v>
      </c>
      <c r="B160" s="13" t="s">
        <v>227</v>
      </c>
      <c r="C160" s="14">
        <v>1325453.07</v>
      </c>
      <c r="D160" s="14">
        <v>333766.14</v>
      </c>
      <c r="E160" s="14"/>
      <c r="F160" s="14"/>
      <c r="G160" s="14">
        <v>15157.6</v>
      </c>
      <c r="H160" s="14">
        <v>77.849999999999994</v>
      </c>
      <c r="I160" s="14"/>
      <c r="J160" s="14">
        <v>26229.4</v>
      </c>
      <c r="K160" s="14">
        <v>1104</v>
      </c>
      <c r="L160" s="14">
        <v>114629.9</v>
      </c>
      <c r="M160" s="3">
        <f t="shared" si="6"/>
        <v>1816417.96</v>
      </c>
      <c r="N160" s="14">
        <v>2164.85</v>
      </c>
      <c r="O160" s="14">
        <v>0.7</v>
      </c>
      <c r="P160" s="14">
        <v>55316.15</v>
      </c>
      <c r="Q160" s="14"/>
      <c r="R160" s="14"/>
      <c r="S160" s="14"/>
      <c r="T160" s="14"/>
      <c r="U160" s="14">
        <v>3250</v>
      </c>
      <c r="V160" s="14"/>
      <c r="W160" s="14"/>
      <c r="X160" s="2">
        <f t="shared" si="7"/>
        <v>1877149.66</v>
      </c>
      <c r="Y160" s="14">
        <v>33370</v>
      </c>
      <c r="Z160" s="14">
        <v>-1457.4</v>
      </c>
      <c r="AA160" s="14">
        <v>76184.45</v>
      </c>
      <c r="AB160" s="14"/>
      <c r="AC160" s="14">
        <v>38875</v>
      </c>
      <c r="AD160" s="14"/>
      <c r="AE160" s="14"/>
      <c r="AF160" s="14"/>
      <c r="AG160" s="14"/>
      <c r="AH160" s="14"/>
      <c r="AI160" s="14"/>
      <c r="AJ160" s="14"/>
      <c r="AK160" s="14"/>
      <c r="AL160" s="48">
        <f t="shared" si="8"/>
        <v>146972.04999999999</v>
      </c>
      <c r="AM160" s="22">
        <v>76</v>
      </c>
      <c r="AN160" s="14">
        <v>564</v>
      </c>
      <c r="AO160" s="14">
        <v>-589.14</v>
      </c>
      <c r="AP160" s="14"/>
      <c r="AQ160" s="14">
        <v>-62.45</v>
      </c>
      <c r="AR160" s="44">
        <v>1.2</v>
      </c>
      <c r="AU160" s="46"/>
      <c r="AV160" s="46"/>
    </row>
    <row r="161" spans="1:48" x14ac:dyDescent="0.25">
      <c r="A161" s="12">
        <v>5653</v>
      </c>
      <c r="B161" s="13" t="s">
        <v>228</v>
      </c>
      <c r="C161" s="14">
        <v>2435110.59</v>
      </c>
      <c r="D161" s="14">
        <v>572755.13</v>
      </c>
      <c r="E161" s="14"/>
      <c r="F161" s="14"/>
      <c r="G161" s="14">
        <v>3997.3</v>
      </c>
      <c r="H161" s="14">
        <v>826.3</v>
      </c>
      <c r="I161" s="14">
        <v>101621.3</v>
      </c>
      <c r="J161" s="14">
        <v>-34165.269999999997</v>
      </c>
      <c r="K161" s="14">
        <v>2764.5</v>
      </c>
      <c r="L161" s="14">
        <v>174313.9</v>
      </c>
      <c r="M161" s="3">
        <f t="shared" si="6"/>
        <v>3257223.7499999991</v>
      </c>
      <c r="N161" s="14">
        <v>1822.2</v>
      </c>
      <c r="O161" s="14"/>
      <c r="P161" s="14">
        <v>106254.2</v>
      </c>
      <c r="Q161" s="14"/>
      <c r="R161" s="14">
        <v>59381.1</v>
      </c>
      <c r="S161" s="14">
        <v>400</v>
      </c>
      <c r="T161" s="14"/>
      <c r="U161" s="14">
        <v>5600</v>
      </c>
      <c r="V161" s="14"/>
      <c r="W161" s="14"/>
      <c r="X161" s="2">
        <f t="shared" si="7"/>
        <v>3430681.2499999995</v>
      </c>
      <c r="Y161" s="14">
        <v>82136.2</v>
      </c>
      <c r="Z161" s="14"/>
      <c r="AA161" s="14">
        <v>100498.9</v>
      </c>
      <c r="AB161" s="14"/>
      <c r="AC161" s="14">
        <v>44764.9</v>
      </c>
      <c r="AD161" s="14"/>
      <c r="AE161" s="14"/>
      <c r="AF161" s="14"/>
      <c r="AG161" s="14"/>
      <c r="AH161" s="14"/>
      <c r="AI161" s="14"/>
      <c r="AJ161" s="14"/>
      <c r="AK161" s="14"/>
      <c r="AL161" s="48">
        <f t="shared" si="8"/>
        <v>227399.99999999997</v>
      </c>
      <c r="AM161" s="22">
        <v>55</v>
      </c>
      <c r="AN161" s="14">
        <v>821</v>
      </c>
      <c r="AO161" s="14">
        <v>-8565.82</v>
      </c>
      <c r="AP161" s="14"/>
      <c r="AQ161" s="14">
        <v>-2688.78</v>
      </c>
      <c r="AR161" s="44">
        <v>0.8</v>
      </c>
      <c r="AU161" s="46"/>
      <c r="AV161" s="46"/>
    </row>
    <row r="162" spans="1:48" x14ac:dyDescent="0.25">
      <c r="A162" s="12">
        <v>5654</v>
      </c>
      <c r="B162" s="13" t="s">
        <v>229</v>
      </c>
      <c r="C162" s="14">
        <v>1065485.32</v>
      </c>
      <c r="D162" s="14">
        <v>110060.31</v>
      </c>
      <c r="E162" s="14"/>
      <c r="F162" s="14"/>
      <c r="G162" s="14">
        <v>26005.4</v>
      </c>
      <c r="H162" s="14">
        <v>392.15</v>
      </c>
      <c r="I162" s="14"/>
      <c r="J162" s="14">
        <v>11184.62</v>
      </c>
      <c r="K162" s="14">
        <v>729</v>
      </c>
      <c r="L162" s="14">
        <v>81956.149999999994</v>
      </c>
      <c r="M162" s="3">
        <f t="shared" si="6"/>
        <v>1295812.95</v>
      </c>
      <c r="N162" s="14"/>
      <c r="O162" s="14">
        <v>120000</v>
      </c>
      <c r="P162" s="14">
        <v>2150.5</v>
      </c>
      <c r="Q162" s="14"/>
      <c r="R162" s="14">
        <v>12917.7</v>
      </c>
      <c r="S162" s="14">
        <v>25</v>
      </c>
      <c r="T162" s="14">
        <v>2044.5</v>
      </c>
      <c r="U162" s="14">
        <v>3100</v>
      </c>
      <c r="V162" s="14"/>
      <c r="W162" s="14"/>
      <c r="X162" s="2">
        <f t="shared" si="7"/>
        <v>1436050.65</v>
      </c>
      <c r="Y162" s="14">
        <v>40000</v>
      </c>
      <c r="Z162" s="14"/>
      <c r="AA162" s="14">
        <v>144523.95000000001</v>
      </c>
      <c r="AB162" s="14"/>
      <c r="AC162" s="14">
        <v>19001.45</v>
      </c>
      <c r="AD162" s="14">
        <v>8000</v>
      </c>
      <c r="AE162" s="14"/>
      <c r="AF162" s="14"/>
      <c r="AG162" s="14"/>
      <c r="AH162" s="14">
        <v>13536.85</v>
      </c>
      <c r="AI162" s="14"/>
      <c r="AJ162" s="14"/>
      <c r="AK162" s="14"/>
      <c r="AL162" s="48">
        <f t="shared" si="8"/>
        <v>225062.25000000003</v>
      </c>
      <c r="AM162" s="22">
        <v>76</v>
      </c>
      <c r="AN162" s="14">
        <v>460</v>
      </c>
      <c r="AO162" s="14">
        <v>-6531.73</v>
      </c>
      <c r="AP162" s="14"/>
      <c r="AQ162" s="14">
        <v>-1165.55</v>
      </c>
      <c r="AR162" s="44">
        <v>1</v>
      </c>
      <c r="AU162" s="46"/>
      <c r="AV162" s="46"/>
    </row>
    <row r="163" spans="1:48" x14ac:dyDescent="0.25">
      <c r="A163" s="12">
        <v>5655</v>
      </c>
      <c r="B163" s="13" t="s">
        <v>230</v>
      </c>
      <c r="C163" s="14">
        <v>3696399.69</v>
      </c>
      <c r="D163" s="14">
        <v>467434.19</v>
      </c>
      <c r="E163" s="14"/>
      <c r="F163" s="14"/>
      <c r="G163" s="14">
        <v>114669.35</v>
      </c>
      <c r="H163" s="14">
        <v>1450.95</v>
      </c>
      <c r="I163" s="14">
        <v>256403.75</v>
      </c>
      <c r="J163" s="14">
        <v>139768.19</v>
      </c>
      <c r="K163" s="14">
        <v>5616.5</v>
      </c>
      <c r="L163" s="14">
        <v>329705.05</v>
      </c>
      <c r="M163" s="3">
        <f t="shared" si="6"/>
        <v>5011447.67</v>
      </c>
      <c r="N163" s="14">
        <v>51970.45</v>
      </c>
      <c r="O163" s="14">
        <v>7736.9</v>
      </c>
      <c r="P163" s="14">
        <v>390493.5</v>
      </c>
      <c r="Q163" s="14"/>
      <c r="R163" s="14">
        <v>403147.95</v>
      </c>
      <c r="S163" s="14">
        <v>275</v>
      </c>
      <c r="T163" s="14"/>
      <c r="U163" s="14">
        <v>6810</v>
      </c>
      <c r="V163" s="14">
        <v>1160</v>
      </c>
      <c r="W163" s="14"/>
      <c r="X163" s="2">
        <f t="shared" si="7"/>
        <v>5873041.4700000007</v>
      </c>
      <c r="Y163" s="14">
        <v>45922.5</v>
      </c>
      <c r="Z163" s="14"/>
      <c r="AA163" s="14">
        <v>182101.25</v>
      </c>
      <c r="AB163" s="14"/>
      <c r="AC163" s="14">
        <v>73048.5</v>
      </c>
      <c r="AD163" s="14">
        <v>74984.2</v>
      </c>
      <c r="AE163" s="14"/>
      <c r="AF163" s="14"/>
      <c r="AG163" s="14"/>
      <c r="AH163" s="14"/>
      <c r="AI163" s="14"/>
      <c r="AJ163" s="14"/>
      <c r="AK163" s="14"/>
      <c r="AL163" s="48">
        <f t="shared" si="8"/>
        <v>376056.45</v>
      </c>
      <c r="AM163" s="22">
        <v>73</v>
      </c>
      <c r="AN163" s="14">
        <v>1405</v>
      </c>
      <c r="AO163" s="14">
        <v>-38671.760000000002</v>
      </c>
      <c r="AP163" s="14"/>
      <c r="AQ163" s="14">
        <v>-944.31</v>
      </c>
      <c r="AR163" s="44">
        <v>1</v>
      </c>
      <c r="AU163" s="46"/>
      <c r="AV163" s="46"/>
    </row>
    <row r="164" spans="1:48" x14ac:dyDescent="0.25">
      <c r="A164" s="12">
        <v>5661</v>
      </c>
      <c r="B164" s="13" t="s">
        <v>231</v>
      </c>
      <c r="C164" s="14">
        <v>490709.87</v>
      </c>
      <c r="D164" s="14">
        <v>38384.65</v>
      </c>
      <c r="E164" s="14"/>
      <c r="F164" s="14">
        <v>1530</v>
      </c>
      <c r="G164" s="14">
        <v>2500.8000000000002</v>
      </c>
      <c r="H164" s="14">
        <v>14155.5</v>
      </c>
      <c r="I164" s="14"/>
      <c r="J164" s="14">
        <v>6417.22</v>
      </c>
      <c r="K164" s="14">
        <v>312</v>
      </c>
      <c r="L164" s="14">
        <v>38517.1</v>
      </c>
      <c r="M164" s="3">
        <f t="shared" si="6"/>
        <v>592527.14</v>
      </c>
      <c r="N164" s="14">
        <v>13789.55</v>
      </c>
      <c r="O164" s="14"/>
      <c r="P164" s="14">
        <v>21114.5</v>
      </c>
      <c r="Q164" s="14">
        <v>1200</v>
      </c>
      <c r="R164" s="14">
        <v>8426.5</v>
      </c>
      <c r="S164" s="14"/>
      <c r="T164" s="14"/>
      <c r="U164" s="14">
        <v>1800</v>
      </c>
      <c r="V164" s="14"/>
      <c r="W164" s="14"/>
      <c r="X164" s="2">
        <f t="shared" si="7"/>
        <v>638857.69000000006</v>
      </c>
      <c r="Y164" s="14">
        <v>63000</v>
      </c>
      <c r="Z164" s="14"/>
      <c r="AA164" s="14">
        <v>29626.85</v>
      </c>
      <c r="AB164" s="14"/>
      <c r="AC164" s="14">
        <v>23556.799999999999</v>
      </c>
      <c r="AD164" s="14"/>
      <c r="AE164" s="14"/>
      <c r="AF164" s="14"/>
      <c r="AG164" s="14"/>
      <c r="AH164" s="14"/>
      <c r="AI164" s="14"/>
      <c r="AJ164" s="14"/>
      <c r="AK164" s="14"/>
      <c r="AL164" s="48">
        <f t="shared" si="8"/>
        <v>116183.65000000001</v>
      </c>
      <c r="AM164" s="22">
        <v>79</v>
      </c>
      <c r="AN164" s="14">
        <v>325</v>
      </c>
      <c r="AO164" s="14">
        <v>-18806.599999999999</v>
      </c>
      <c r="AP164" s="14"/>
      <c r="AQ164" s="14"/>
      <c r="AR164" s="44">
        <v>1</v>
      </c>
      <c r="AU164" s="46"/>
      <c r="AV164" s="46"/>
    </row>
    <row r="165" spans="1:48" x14ac:dyDescent="0.25">
      <c r="A165" s="12">
        <v>5663</v>
      </c>
      <c r="B165" s="13" t="s">
        <v>232</v>
      </c>
      <c r="C165" s="14">
        <v>346397.97</v>
      </c>
      <c r="D165" s="14">
        <v>25524.14</v>
      </c>
      <c r="E165" s="14"/>
      <c r="F165" s="14">
        <v>1260</v>
      </c>
      <c r="G165" s="14">
        <v>6909.6</v>
      </c>
      <c r="H165" s="14">
        <v>16.2</v>
      </c>
      <c r="I165" s="14"/>
      <c r="J165" s="14">
        <v>2558.2600000000002</v>
      </c>
      <c r="K165" s="14">
        <v>-4752</v>
      </c>
      <c r="L165" s="14">
        <v>24962.799999999999</v>
      </c>
      <c r="M165" s="3">
        <f t="shared" si="6"/>
        <v>402876.97</v>
      </c>
      <c r="N165" s="14"/>
      <c r="O165" s="14"/>
      <c r="P165" s="14">
        <v>34419</v>
      </c>
      <c r="Q165" s="14"/>
      <c r="R165" s="14">
        <v>27108.3</v>
      </c>
      <c r="S165" s="14"/>
      <c r="T165" s="14"/>
      <c r="U165" s="14">
        <v>1320</v>
      </c>
      <c r="V165" s="14"/>
      <c r="W165" s="14"/>
      <c r="X165" s="2">
        <f t="shared" si="7"/>
        <v>465724.26999999996</v>
      </c>
      <c r="Y165" s="14">
        <v>2597</v>
      </c>
      <c r="Z165" s="14"/>
      <c r="AA165" s="14">
        <v>24083.3</v>
      </c>
      <c r="AB165" s="14"/>
      <c r="AC165" s="14">
        <v>16885.5</v>
      </c>
      <c r="AD165" s="14"/>
      <c r="AE165" s="14"/>
      <c r="AF165" s="14"/>
      <c r="AG165" s="14"/>
      <c r="AH165" s="14"/>
      <c r="AI165" s="14"/>
      <c r="AJ165" s="14"/>
      <c r="AK165" s="14"/>
      <c r="AL165" s="48">
        <f t="shared" si="8"/>
        <v>43565.8</v>
      </c>
      <c r="AM165" s="22">
        <v>80</v>
      </c>
      <c r="AN165" s="14">
        <v>198</v>
      </c>
      <c r="AO165" s="14">
        <v>-2948.65</v>
      </c>
      <c r="AP165" s="14"/>
      <c r="AQ165" s="14"/>
      <c r="AR165" s="44">
        <v>1</v>
      </c>
      <c r="AU165" s="46"/>
      <c r="AV165" s="46"/>
    </row>
    <row r="166" spans="1:48" x14ac:dyDescent="0.25">
      <c r="A166" s="12">
        <v>5665</v>
      </c>
      <c r="B166" s="13" t="s">
        <v>125</v>
      </c>
      <c r="C166" s="14">
        <v>275950.78000000003</v>
      </c>
      <c r="D166" s="14">
        <v>46227.23</v>
      </c>
      <c r="E166" s="14"/>
      <c r="F166" s="14"/>
      <c r="G166" s="14">
        <v>3336.2</v>
      </c>
      <c r="H166" s="14">
        <v>16.399999999999999</v>
      </c>
      <c r="I166" s="14"/>
      <c r="J166" s="14">
        <v>457.6</v>
      </c>
      <c r="K166" s="14">
        <v>4.5</v>
      </c>
      <c r="L166" s="14">
        <v>22585.8</v>
      </c>
      <c r="M166" s="3">
        <f t="shared" si="6"/>
        <v>348578.51</v>
      </c>
      <c r="N166" s="14"/>
      <c r="O166" s="14"/>
      <c r="P166" s="14"/>
      <c r="Q166" s="14"/>
      <c r="R166" s="14"/>
      <c r="S166" s="14"/>
      <c r="T166" s="14">
        <v>200</v>
      </c>
      <c r="U166" s="14">
        <v>720</v>
      </c>
      <c r="V166" s="14"/>
      <c r="W166" s="14"/>
      <c r="X166" s="2">
        <f t="shared" si="7"/>
        <v>349498.51</v>
      </c>
      <c r="Y166" s="14"/>
      <c r="Z166" s="14"/>
      <c r="AA166" s="14">
        <v>12530.4</v>
      </c>
      <c r="AB166" s="14"/>
      <c r="AC166" s="14">
        <v>20392.099999999999</v>
      </c>
      <c r="AD166" s="14"/>
      <c r="AE166" s="14"/>
      <c r="AF166" s="14"/>
      <c r="AG166" s="14"/>
      <c r="AH166" s="14"/>
      <c r="AI166" s="14"/>
      <c r="AJ166" s="14"/>
      <c r="AK166" s="14"/>
      <c r="AL166" s="48">
        <f t="shared" si="8"/>
        <v>32922.5</v>
      </c>
      <c r="AM166" s="22">
        <v>72</v>
      </c>
      <c r="AN166" s="14">
        <v>224</v>
      </c>
      <c r="AO166" s="14">
        <v>-493.37</v>
      </c>
      <c r="AP166" s="14"/>
      <c r="AQ166" s="14"/>
      <c r="AR166" s="44">
        <v>1</v>
      </c>
      <c r="AU166" s="46"/>
      <c r="AV166" s="46"/>
    </row>
    <row r="167" spans="1:48" x14ac:dyDescent="0.25">
      <c r="A167" s="12">
        <v>5669</v>
      </c>
      <c r="B167" s="13" t="s">
        <v>126</v>
      </c>
      <c r="C167" s="14">
        <v>458258.99</v>
      </c>
      <c r="D167" s="14">
        <v>104106.47</v>
      </c>
      <c r="E167" s="14"/>
      <c r="F167" s="14"/>
      <c r="G167" s="14">
        <v>9945.4</v>
      </c>
      <c r="H167" s="14">
        <v>406.5</v>
      </c>
      <c r="I167" s="14"/>
      <c r="J167" s="14">
        <v>18198.57</v>
      </c>
      <c r="K167" s="14">
        <v>337</v>
      </c>
      <c r="L167" s="14">
        <v>21064.2</v>
      </c>
      <c r="M167" s="3">
        <f t="shared" si="6"/>
        <v>612317.12999999989</v>
      </c>
      <c r="N167" s="14"/>
      <c r="O167" s="14"/>
      <c r="P167" s="14">
        <v>45632.4</v>
      </c>
      <c r="Q167" s="14"/>
      <c r="R167" s="14">
        <v>40462.65</v>
      </c>
      <c r="S167" s="14">
        <v>140</v>
      </c>
      <c r="T167" s="14"/>
      <c r="U167" s="14">
        <v>3600</v>
      </c>
      <c r="V167" s="14"/>
      <c r="W167" s="14"/>
      <c r="X167" s="2">
        <f t="shared" si="7"/>
        <v>702152.17999999993</v>
      </c>
      <c r="Y167" s="14"/>
      <c r="Z167" s="14"/>
      <c r="AA167" s="14">
        <v>20511.650000000001</v>
      </c>
      <c r="AB167" s="14"/>
      <c r="AC167" s="14">
        <v>19561.400000000001</v>
      </c>
      <c r="AD167" s="14"/>
      <c r="AE167" s="14"/>
      <c r="AF167" s="14"/>
      <c r="AG167" s="14"/>
      <c r="AH167" s="14"/>
      <c r="AI167" s="14"/>
      <c r="AJ167" s="14"/>
      <c r="AK167" s="14"/>
      <c r="AL167" s="48">
        <f t="shared" si="8"/>
        <v>40073.050000000003</v>
      </c>
      <c r="AM167" s="22">
        <v>72</v>
      </c>
      <c r="AN167" s="14">
        <v>311</v>
      </c>
      <c r="AO167" s="14">
        <v>-6331.51</v>
      </c>
      <c r="AP167" s="14"/>
      <c r="AQ167" s="14">
        <v>-88.23</v>
      </c>
      <c r="AR167" s="44">
        <v>0.5</v>
      </c>
      <c r="AU167" s="46"/>
      <c r="AV167" s="46"/>
    </row>
    <row r="168" spans="1:48" x14ac:dyDescent="0.25">
      <c r="A168" s="12">
        <v>5671</v>
      </c>
      <c r="B168" s="13" t="s">
        <v>127</v>
      </c>
      <c r="C168" s="14">
        <v>367951.67</v>
      </c>
      <c r="D168" s="14">
        <v>67817.42</v>
      </c>
      <c r="E168" s="14"/>
      <c r="F168" s="14"/>
      <c r="G168" s="14">
        <v>20728.5</v>
      </c>
      <c r="H168" s="14">
        <v>-37.799999999999997</v>
      </c>
      <c r="I168" s="14"/>
      <c r="J168" s="14">
        <v>10761.46</v>
      </c>
      <c r="K168" s="14">
        <v>61.5</v>
      </c>
      <c r="L168" s="14">
        <v>31999</v>
      </c>
      <c r="M168" s="3">
        <f t="shared" si="6"/>
        <v>499281.75</v>
      </c>
      <c r="N168" s="14"/>
      <c r="O168" s="14"/>
      <c r="P168" s="14">
        <v>24709.85</v>
      </c>
      <c r="Q168" s="14"/>
      <c r="R168" s="14">
        <v>36998.449999999997</v>
      </c>
      <c r="S168" s="14"/>
      <c r="T168" s="14"/>
      <c r="U168" s="14">
        <v>2430</v>
      </c>
      <c r="V168" s="14"/>
      <c r="W168" s="14"/>
      <c r="X168" s="2">
        <f t="shared" si="7"/>
        <v>563420.04999999993</v>
      </c>
      <c r="Y168" s="14"/>
      <c r="Z168" s="14"/>
      <c r="AA168" s="14"/>
      <c r="AB168" s="14">
        <v>11673.8</v>
      </c>
      <c r="AC168" s="14">
        <v>15135</v>
      </c>
      <c r="AD168" s="14"/>
      <c r="AE168" s="14"/>
      <c r="AF168" s="14"/>
      <c r="AG168" s="14"/>
      <c r="AH168" s="14"/>
      <c r="AI168" s="14"/>
      <c r="AJ168" s="14"/>
      <c r="AK168" s="14"/>
      <c r="AL168" s="48">
        <f t="shared" si="8"/>
        <v>26808.799999999999</v>
      </c>
      <c r="AM168" s="22">
        <v>80</v>
      </c>
      <c r="AN168" s="14">
        <v>247</v>
      </c>
      <c r="AO168" s="14">
        <v>-1146.17</v>
      </c>
      <c r="AP168" s="14"/>
      <c r="AQ168" s="14"/>
      <c r="AR168" s="44">
        <v>1</v>
      </c>
      <c r="AU168" s="46"/>
      <c r="AV168" s="46"/>
    </row>
    <row r="169" spans="1:48" x14ac:dyDescent="0.25">
      <c r="A169" s="12">
        <v>5673</v>
      </c>
      <c r="B169" s="13" t="s">
        <v>128</v>
      </c>
      <c r="C169" s="14">
        <v>549690.68999999994</v>
      </c>
      <c r="D169" s="14">
        <v>67776.039999999994</v>
      </c>
      <c r="E169" s="14"/>
      <c r="F169" s="14">
        <v>2050</v>
      </c>
      <c r="G169" s="14">
        <v>5764.45</v>
      </c>
      <c r="H169" s="14">
        <v>540.35</v>
      </c>
      <c r="I169" s="14"/>
      <c r="J169" s="14">
        <v>8899.26</v>
      </c>
      <c r="K169" s="14">
        <v>7.5</v>
      </c>
      <c r="L169" s="14">
        <v>25003</v>
      </c>
      <c r="M169" s="3">
        <f t="shared" si="6"/>
        <v>659731.28999999992</v>
      </c>
      <c r="N169" s="14">
        <v>7878.25</v>
      </c>
      <c r="O169" s="14"/>
      <c r="P169" s="14">
        <v>13329.6</v>
      </c>
      <c r="Q169" s="14"/>
      <c r="R169" s="14">
        <v>43285.8</v>
      </c>
      <c r="S169" s="14"/>
      <c r="T169" s="14"/>
      <c r="U169" s="14">
        <v>1400</v>
      </c>
      <c r="V169" s="14"/>
      <c r="W169" s="14"/>
      <c r="X169" s="2">
        <f t="shared" si="7"/>
        <v>725624.94</v>
      </c>
      <c r="Y169" s="14">
        <v>3500</v>
      </c>
      <c r="Z169" s="14"/>
      <c r="AA169" s="14">
        <v>63441.599999999999</v>
      </c>
      <c r="AB169" s="14"/>
      <c r="AC169" s="14">
        <v>23263.4</v>
      </c>
      <c r="AD169" s="14">
        <v>1960</v>
      </c>
      <c r="AE169" s="14">
        <v>7051.45</v>
      </c>
      <c r="AF169" s="14"/>
      <c r="AG169" s="14"/>
      <c r="AH169" s="14"/>
      <c r="AI169" s="14"/>
      <c r="AJ169" s="14"/>
      <c r="AK169" s="14"/>
      <c r="AL169" s="48">
        <f t="shared" si="8"/>
        <v>99216.45</v>
      </c>
      <c r="AM169" s="22">
        <v>75</v>
      </c>
      <c r="AN169" s="14">
        <v>382</v>
      </c>
      <c r="AO169" s="14">
        <v>-12318.87</v>
      </c>
      <c r="AP169" s="14"/>
      <c r="AQ169" s="14">
        <v>-9</v>
      </c>
      <c r="AR169" s="44">
        <v>0.6</v>
      </c>
      <c r="AU169" s="46"/>
      <c r="AV169" s="46"/>
    </row>
    <row r="170" spans="1:48" x14ac:dyDescent="0.25">
      <c r="A170" s="12">
        <v>5674</v>
      </c>
      <c r="B170" s="13" t="s">
        <v>129</v>
      </c>
      <c r="C170" s="14">
        <v>229001.38</v>
      </c>
      <c r="D170" s="14"/>
      <c r="E170" s="14"/>
      <c r="F170" s="14"/>
      <c r="G170" s="14">
        <v>1136.95</v>
      </c>
      <c r="H170" s="14">
        <v>20.100000000000001</v>
      </c>
      <c r="I170" s="14"/>
      <c r="J170" s="14">
        <v>4247.22</v>
      </c>
      <c r="K170" s="14">
        <v>64</v>
      </c>
      <c r="L170" s="14">
        <v>11611.6</v>
      </c>
      <c r="M170" s="3">
        <f t="shared" si="6"/>
        <v>246081.25000000003</v>
      </c>
      <c r="N170" s="14"/>
      <c r="O170" s="14">
        <v>2197</v>
      </c>
      <c r="P170" s="14"/>
      <c r="Q170" s="14"/>
      <c r="R170" s="14"/>
      <c r="S170" s="14"/>
      <c r="T170" s="14"/>
      <c r="U170" s="14">
        <v>587.5</v>
      </c>
      <c r="V170" s="14"/>
      <c r="W170" s="14"/>
      <c r="X170" s="2">
        <f t="shared" si="7"/>
        <v>248865.75000000003</v>
      </c>
      <c r="Y170" s="14"/>
      <c r="Z170" s="14"/>
      <c r="AA170" s="14">
        <v>8135.05</v>
      </c>
      <c r="AB170" s="14"/>
      <c r="AC170" s="14">
        <v>11603.25</v>
      </c>
      <c r="AD170" s="14"/>
      <c r="AE170" s="14"/>
      <c r="AF170" s="14"/>
      <c r="AG170" s="14"/>
      <c r="AH170" s="14">
        <v>3420.55</v>
      </c>
      <c r="AI170" s="14"/>
      <c r="AJ170" s="14"/>
      <c r="AK170" s="14"/>
      <c r="AL170" s="48">
        <f t="shared" si="8"/>
        <v>23158.85</v>
      </c>
      <c r="AM170" s="22">
        <v>75</v>
      </c>
      <c r="AN170" s="14">
        <v>151</v>
      </c>
      <c r="AO170" s="14">
        <v>-0.27</v>
      </c>
      <c r="AP170" s="14"/>
      <c r="AQ170" s="14"/>
      <c r="AR170" s="44">
        <v>0.7</v>
      </c>
      <c r="AU170" s="46"/>
      <c r="AV170" s="46"/>
    </row>
    <row r="171" spans="1:48" x14ac:dyDescent="0.25">
      <c r="A171" s="12">
        <v>5675</v>
      </c>
      <c r="B171" s="13" t="s">
        <v>130</v>
      </c>
      <c r="C171" s="14">
        <v>4455882.04</v>
      </c>
      <c r="D171" s="14">
        <v>427288.26</v>
      </c>
      <c r="E171" s="14">
        <v>0</v>
      </c>
      <c r="F171" s="14">
        <v>0</v>
      </c>
      <c r="G171" s="14">
        <v>585011.75</v>
      </c>
      <c r="H171" s="14">
        <v>51213.85</v>
      </c>
      <c r="I171" s="14">
        <v>0</v>
      </c>
      <c r="J171" s="14">
        <v>311531.03999999998</v>
      </c>
      <c r="K171" s="14">
        <v>28434</v>
      </c>
      <c r="L171" s="14">
        <v>529499</v>
      </c>
      <c r="M171" s="3">
        <f t="shared" si="6"/>
        <v>6388859.9399999995</v>
      </c>
      <c r="N171" s="14">
        <v>35023.699999999997</v>
      </c>
      <c r="O171" s="14">
        <v>37698.199999999997</v>
      </c>
      <c r="P171" s="14">
        <v>580603.69999999995</v>
      </c>
      <c r="Q171" s="14">
        <v>17582.71</v>
      </c>
      <c r="R171" s="14">
        <v>279415.34999999998</v>
      </c>
      <c r="S171" s="14">
        <v>5712.5</v>
      </c>
      <c r="T171" s="14">
        <v>0</v>
      </c>
      <c r="U171" s="14">
        <v>23345</v>
      </c>
      <c r="V171" s="14">
        <v>0</v>
      </c>
      <c r="W171" s="14">
        <v>0</v>
      </c>
      <c r="X171" s="2">
        <f t="shared" si="7"/>
        <v>7368241.0999999996</v>
      </c>
      <c r="Y171" s="14">
        <v>90927.55</v>
      </c>
      <c r="Z171" s="14">
        <v>0</v>
      </c>
      <c r="AA171" s="14">
        <v>280197.25</v>
      </c>
      <c r="AB171" s="14">
        <v>0</v>
      </c>
      <c r="AC171" s="14">
        <v>393736.14999999997</v>
      </c>
      <c r="AD171" s="14">
        <v>57525.05</v>
      </c>
      <c r="AE171" s="14">
        <v>0</v>
      </c>
      <c r="AF171" s="14">
        <v>0</v>
      </c>
      <c r="AG171" s="14">
        <v>0</v>
      </c>
      <c r="AH171" s="14">
        <v>397063.15</v>
      </c>
      <c r="AI171" s="14">
        <v>0</v>
      </c>
      <c r="AJ171" s="14">
        <v>0</v>
      </c>
      <c r="AK171" s="14">
        <v>0</v>
      </c>
      <c r="AL171" s="48">
        <f t="shared" si="8"/>
        <v>1219449.1499999999</v>
      </c>
      <c r="AM171" s="22">
        <v>67.8</v>
      </c>
      <c r="AN171" s="14">
        <v>3890</v>
      </c>
      <c r="AO171" s="14">
        <v>-188600.66</v>
      </c>
      <c r="AP171" s="14">
        <v>0</v>
      </c>
      <c r="AQ171" s="14">
        <v>-424.61</v>
      </c>
      <c r="AR171" s="360">
        <v>1</v>
      </c>
      <c r="AU171" s="46"/>
      <c r="AV171" s="46"/>
    </row>
    <row r="172" spans="1:48" x14ac:dyDescent="0.25">
      <c r="A172" s="12">
        <v>5678</v>
      </c>
      <c r="B172" s="13" t="s">
        <v>131</v>
      </c>
      <c r="C172" s="14">
        <v>6518545.2599999998</v>
      </c>
      <c r="D172" s="14">
        <v>697574.45</v>
      </c>
      <c r="E172" s="14"/>
      <c r="F172" s="14">
        <v>25150</v>
      </c>
      <c r="G172" s="14">
        <v>855271.6</v>
      </c>
      <c r="H172" s="14">
        <v>18495.349999999999</v>
      </c>
      <c r="I172" s="14"/>
      <c r="J172" s="14">
        <v>586123.5</v>
      </c>
      <c r="K172" s="14">
        <v>54797.5</v>
      </c>
      <c r="L172" s="14">
        <v>700989.95</v>
      </c>
      <c r="M172" s="3">
        <f t="shared" si="6"/>
        <v>9456947.6099999994</v>
      </c>
      <c r="N172" s="14">
        <v>114233.35</v>
      </c>
      <c r="O172" s="14">
        <v>106420.8</v>
      </c>
      <c r="P172" s="14">
        <v>420747.4</v>
      </c>
      <c r="Q172" s="14">
        <v>83554.350000000006</v>
      </c>
      <c r="R172" s="14">
        <v>190961.3</v>
      </c>
      <c r="S172" s="14">
        <v>24718.3</v>
      </c>
      <c r="T172" s="14"/>
      <c r="U172" s="14">
        <v>32220</v>
      </c>
      <c r="V172" s="14">
        <v>20461.25</v>
      </c>
      <c r="W172" s="14">
        <v>1021</v>
      </c>
      <c r="X172" s="2">
        <f t="shared" si="7"/>
        <v>10451285.360000001</v>
      </c>
      <c r="Y172" s="14">
        <v>34590.699999999997</v>
      </c>
      <c r="Z172" s="14"/>
      <c r="AA172" s="14">
        <v>857507.2</v>
      </c>
      <c r="AB172" s="14"/>
      <c r="AC172" s="14">
        <v>559129.26</v>
      </c>
      <c r="AD172" s="14">
        <v>15646.5</v>
      </c>
      <c r="AE172" s="14"/>
      <c r="AF172" s="14"/>
      <c r="AG172" s="14">
        <v>4944.1000000000004</v>
      </c>
      <c r="AH172" s="14">
        <v>200359.85</v>
      </c>
      <c r="AI172" s="14"/>
      <c r="AJ172" s="14"/>
      <c r="AK172" s="14"/>
      <c r="AL172" s="48">
        <f t="shared" si="8"/>
        <v>1672177.61</v>
      </c>
      <c r="AM172" s="22">
        <v>75</v>
      </c>
      <c r="AN172" s="14">
        <v>5770</v>
      </c>
      <c r="AO172" s="14">
        <v>-371272.65</v>
      </c>
      <c r="AP172" s="14"/>
      <c r="AQ172" s="14">
        <v>-14695.08</v>
      </c>
      <c r="AR172" s="44">
        <v>1</v>
      </c>
      <c r="AU172" s="46"/>
      <c r="AV172" s="46"/>
    </row>
    <row r="173" spans="1:48" x14ac:dyDescent="0.25">
      <c r="A173" s="12">
        <v>5680</v>
      </c>
      <c r="B173" s="13" t="s">
        <v>132</v>
      </c>
      <c r="C173" s="14">
        <v>524270.84</v>
      </c>
      <c r="D173" s="14">
        <v>63942.96</v>
      </c>
      <c r="E173" s="14"/>
      <c r="F173" s="14"/>
      <c r="G173" s="14">
        <v>8529.65</v>
      </c>
      <c r="H173" s="14">
        <v>65.05</v>
      </c>
      <c r="I173" s="14"/>
      <c r="J173" s="14">
        <v>4274.45</v>
      </c>
      <c r="K173" s="14">
        <v>55</v>
      </c>
      <c r="L173" s="14">
        <v>54390.400000000001</v>
      </c>
      <c r="M173" s="3">
        <f t="shared" si="6"/>
        <v>655528.35000000009</v>
      </c>
      <c r="N173" s="14"/>
      <c r="O173" s="14">
        <v>4236.8999999999996</v>
      </c>
      <c r="P173" s="14">
        <v>4620</v>
      </c>
      <c r="Q173" s="14">
        <v>1790.03</v>
      </c>
      <c r="R173" s="14">
        <v>4444.7</v>
      </c>
      <c r="S173" s="14"/>
      <c r="T173" s="14">
        <v>30</v>
      </c>
      <c r="U173" s="14">
        <v>2300</v>
      </c>
      <c r="V173" s="14"/>
      <c r="W173" s="14"/>
      <c r="X173" s="2">
        <f t="shared" si="7"/>
        <v>672949.9800000001</v>
      </c>
      <c r="Y173" s="14"/>
      <c r="Z173" s="14"/>
      <c r="AA173" s="14">
        <v>27521.5</v>
      </c>
      <c r="AB173" s="14"/>
      <c r="AC173" s="14">
        <v>15496.65</v>
      </c>
      <c r="AD173" s="14"/>
      <c r="AE173" s="14"/>
      <c r="AF173" s="14"/>
      <c r="AG173" s="14"/>
      <c r="AH173" s="14">
        <v>5454.6</v>
      </c>
      <c r="AI173" s="14"/>
      <c r="AJ173" s="14"/>
      <c r="AK173" s="14"/>
      <c r="AL173" s="48">
        <f t="shared" si="8"/>
        <v>48472.75</v>
      </c>
      <c r="AM173" s="22">
        <v>78</v>
      </c>
      <c r="AN173" s="14">
        <v>283</v>
      </c>
      <c r="AO173" s="14">
        <v>-2441.46</v>
      </c>
      <c r="AP173" s="14"/>
      <c r="AQ173" s="14">
        <v>-4.01</v>
      </c>
      <c r="AR173" s="44">
        <v>1.5</v>
      </c>
      <c r="AU173" s="46"/>
      <c r="AV173" s="46"/>
    </row>
    <row r="174" spans="1:48" x14ac:dyDescent="0.25">
      <c r="A174" s="12">
        <v>5683</v>
      </c>
      <c r="B174" s="13" t="s">
        <v>133</v>
      </c>
      <c r="C174" s="14">
        <v>231610.82</v>
      </c>
      <c r="D174" s="14">
        <v>19318.189999999999</v>
      </c>
      <c r="E174" s="14"/>
      <c r="F174" s="14"/>
      <c r="G174" s="14">
        <v>19340.25</v>
      </c>
      <c r="H174" s="14">
        <v>97.1</v>
      </c>
      <c r="I174" s="14"/>
      <c r="J174" s="14">
        <v>10233.530000000001</v>
      </c>
      <c r="K174" s="14">
        <v>28</v>
      </c>
      <c r="L174" s="14">
        <v>19367.25</v>
      </c>
      <c r="M174" s="3">
        <f t="shared" si="6"/>
        <v>299995.14</v>
      </c>
      <c r="N174" s="14"/>
      <c r="O174" s="14"/>
      <c r="P174" s="14">
        <v>6648.4</v>
      </c>
      <c r="Q174" s="14"/>
      <c r="R174" s="14">
        <v>8668.7000000000007</v>
      </c>
      <c r="S174" s="14"/>
      <c r="T174" s="14"/>
      <c r="U174" s="14">
        <v>1100</v>
      </c>
      <c r="V174" s="14"/>
      <c r="W174" s="14"/>
      <c r="X174" s="2">
        <f t="shared" si="7"/>
        <v>316412.24000000005</v>
      </c>
      <c r="Y174" s="14"/>
      <c r="Z174" s="14"/>
      <c r="AA174" s="14">
        <v>9571.25</v>
      </c>
      <c r="AB174" s="14">
        <v>4133.8999999999996</v>
      </c>
      <c r="AC174" s="14">
        <v>8223.75</v>
      </c>
      <c r="AD174" s="14"/>
      <c r="AE174" s="14"/>
      <c r="AF174" s="14"/>
      <c r="AG174" s="14"/>
      <c r="AH174" s="14"/>
      <c r="AI174" s="14"/>
      <c r="AJ174" s="14"/>
      <c r="AK174" s="14"/>
      <c r="AL174" s="48">
        <f t="shared" si="8"/>
        <v>21928.9</v>
      </c>
      <c r="AM174" s="22">
        <v>74</v>
      </c>
      <c r="AN174" s="14">
        <v>172</v>
      </c>
      <c r="AO174" s="14">
        <v>-32226</v>
      </c>
      <c r="AP174" s="14"/>
      <c r="AQ174" s="14"/>
      <c r="AR174" s="44">
        <v>1</v>
      </c>
      <c r="AU174" s="46"/>
      <c r="AV174" s="46"/>
    </row>
    <row r="175" spans="1:48" x14ac:dyDescent="0.25">
      <c r="A175" s="12">
        <v>5684</v>
      </c>
      <c r="B175" s="13" t="s">
        <v>134</v>
      </c>
      <c r="C175" s="14">
        <v>121444.66</v>
      </c>
      <c r="D175" s="14">
        <v>26646.63</v>
      </c>
      <c r="E175" s="14"/>
      <c r="F175" s="14"/>
      <c r="G175" s="14">
        <v>1283.5999999999999</v>
      </c>
      <c r="H175" s="14">
        <v>2.2000000000000002</v>
      </c>
      <c r="I175" s="14"/>
      <c r="J175" s="14">
        <v>0</v>
      </c>
      <c r="K175" s="14"/>
      <c r="L175" s="14">
        <v>6000</v>
      </c>
      <c r="M175" s="3">
        <f t="shared" si="6"/>
        <v>155377.09000000003</v>
      </c>
      <c r="N175" s="14"/>
      <c r="O175" s="14"/>
      <c r="P175" s="14"/>
      <c r="Q175" s="14"/>
      <c r="R175" s="14"/>
      <c r="S175" s="14"/>
      <c r="T175" s="14"/>
      <c r="U175" s="14">
        <v>20</v>
      </c>
      <c r="V175" s="14"/>
      <c r="W175" s="14"/>
      <c r="X175" s="2">
        <f t="shared" si="7"/>
        <v>155397.09000000003</v>
      </c>
      <c r="Y175" s="14"/>
      <c r="Z175" s="14"/>
      <c r="AA175" s="14">
        <v>2000</v>
      </c>
      <c r="AB175" s="14"/>
      <c r="AC175" s="14">
        <v>8284</v>
      </c>
      <c r="AD175" s="14"/>
      <c r="AE175" s="14"/>
      <c r="AF175" s="14"/>
      <c r="AG175" s="14"/>
      <c r="AH175" s="14"/>
      <c r="AI175" s="14"/>
      <c r="AJ175" s="14"/>
      <c r="AK175" s="14"/>
      <c r="AL175" s="48">
        <f t="shared" si="8"/>
        <v>10284</v>
      </c>
      <c r="AM175" s="22">
        <v>60</v>
      </c>
      <c r="AN175" s="14">
        <v>65</v>
      </c>
      <c r="AO175" s="14">
        <v>-171.92</v>
      </c>
      <c r="AP175" s="14"/>
      <c r="AQ175" s="14">
        <v>-0.79</v>
      </c>
      <c r="AR175" s="44">
        <v>0.8</v>
      </c>
      <c r="AU175" s="46"/>
      <c r="AV175" s="46"/>
    </row>
    <row r="176" spans="1:48" x14ac:dyDescent="0.25">
      <c r="A176" s="12">
        <v>5688</v>
      </c>
      <c r="B176" s="13" t="s">
        <v>135</v>
      </c>
      <c r="C176" s="14">
        <v>301163.33</v>
      </c>
      <c r="D176" s="14">
        <v>20402.55</v>
      </c>
      <c r="E176" s="14"/>
      <c r="F176" s="14"/>
      <c r="G176" s="14">
        <v>46570.3</v>
      </c>
      <c r="H176" s="14">
        <v>102.3</v>
      </c>
      <c r="I176" s="14"/>
      <c r="J176" s="14">
        <v>19968.03</v>
      </c>
      <c r="K176" s="14">
        <v>348</v>
      </c>
      <c r="L176" s="14">
        <v>18609.400000000001</v>
      </c>
      <c r="M176" s="3">
        <f t="shared" si="6"/>
        <v>407163.91000000003</v>
      </c>
      <c r="N176" s="14"/>
      <c r="O176" s="14"/>
      <c r="P176" s="14">
        <v>22889.1</v>
      </c>
      <c r="Q176" s="14">
        <v>2144.52</v>
      </c>
      <c r="R176" s="14">
        <v>5384.15</v>
      </c>
      <c r="S176" s="14"/>
      <c r="T176" s="14"/>
      <c r="U176" s="14">
        <v>360</v>
      </c>
      <c r="V176" s="14"/>
      <c r="W176" s="14"/>
      <c r="X176" s="2">
        <f t="shared" si="7"/>
        <v>437941.68000000005</v>
      </c>
      <c r="Y176" s="14">
        <v>14200</v>
      </c>
      <c r="Z176" s="14"/>
      <c r="AA176" s="14">
        <v>6255</v>
      </c>
      <c r="AB176" s="14"/>
      <c r="AC176" s="14">
        <v>13370.55</v>
      </c>
      <c r="AD176" s="14"/>
      <c r="AE176" s="14"/>
      <c r="AF176" s="14"/>
      <c r="AG176" s="14"/>
      <c r="AH176" s="14"/>
      <c r="AI176" s="14"/>
      <c r="AJ176" s="14"/>
      <c r="AK176" s="14"/>
      <c r="AL176" s="48">
        <f t="shared" si="8"/>
        <v>33825.550000000003</v>
      </c>
      <c r="AM176" s="22">
        <v>75.599999999999994</v>
      </c>
      <c r="AN176" s="14">
        <v>139</v>
      </c>
      <c r="AO176" s="14">
        <v>-2154.29</v>
      </c>
      <c r="AP176" s="14"/>
      <c r="AQ176" s="14"/>
      <c r="AR176" s="44">
        <v>1</v>
      </c>
      <c r="AU176" s="46"/>
      <c r="AV176" s="46"/>
    </row>
    <row r="177" spans="1:48" x14ac:dyDescent="0.25">
      <c r="A177" s="12">
        <v>5690</v>
      </c>
      <c r="B177" s="13" t="s">
        <v>136</v>
      </c>
      <c r="C177" s="14">
        <f>210943.46-(14093)/2</f>
        <v>203896.95999999999</v>
      </c>
      <c r="D177" s="14">
        <v>33296.97</v>
      </c>
      <c r="E177" s="14"/>
      <c r="F177" s="14">
        <v>880</v>
      </c>
      <c r="G177" s="14">
        <v>398.3</v>
      </c>
      <c r="H177" s="14">
        <v>381.65</v>
      </c>
      <c r="I177" s="14"/>
      <c r="J177" s="14"/>
      <c r="K177" s="14">
        <v>184</v>
      </c>
      <c r="L177" s="14">
        <v>27051.15</v>
      </c>
      <c r="M177" s="3">
        <f t="shared" si="6"/>
        <v>266089.02999999997</v>
      </c>
      <c r="N177" s="14"/>
      <c r="O177" s="14">
        <v>238.4</v>
      </c>
      <c r="P177" s="14">
        <v>3668.15</v>
      </c>
      <c r="Q177" s="14"/>
      <c r="R177" s="14">
        <v>9516.7000000000007</v>
      </c>
      <c r="S177" s="14"/>
      <c r="T177" s="14"/>
      <c r="U177" s="14">
        <v>650</v>
      </c>
      <c r="V177" s="14"/>
      <c r="W177" s="14"/>
      <c r="X177" s="2">
        <f t="shared" si="7"/>
        <v>280162.28000000003</v>
      </c>
      <c r="Y177" s="14"/>
      <c r="Z177" s="14"/>
      <c r="AA177" s="14">
        <v>22984.5</v>
      </c>
      <c r="AB177" s="14"/>
      <c r="AC177" s="14">
        <v>16638.75</v>
      </c>
      <c r="AD177" s="14"/>
      <c r="AE177" s="14"/>
      <c r="AF177" s="14"/>
      <c r="AG177" s="14"/>
      <c r="AH177" s="14"/>
      <c r="AI177" s="14"/>
      <c r="AJ177" s="14"/>
      <c r="AK177" s="14"/>
      <c r="AL177" s="48">
        <f t="shared" si="8"/>
        <v>39623.25</v>
      </c>
      <c r="AM177" s="22">
        <v>76</v>
      </c>
      <c r="AN177" s="14">
        <v>150</v>
      </c>
      <c r="AO177" s="14">
        <v>-522.66999999999996</v>
      </c>
      <c r="AP177" s="14"/>
      <c r="AQ177" s="14"/>
      <c r="AR177" s="44">
        <v>1.5</v>
      </c>
      <c r="AU177" s="46"/>
      <c r="AV177" s="46"/>
    </row>
    <row r="178" spans="1:48" x14ac:dyDescent="0.25">
      <c r="A178" s="12">
        <v>5692</v>
      </c>
      <c r="B178" s="13" t="s">
        <v>137</v>
      </c>
      <c r="C178" s="14">
        <v>1011276.24</v>
      </c>
      <c r="D178" s="14">
        <v>97445.55</v>
      </c>
      <c r="E178" s="14"/>
      <c r="F178" s="14"/>
      <c r="G178" s="14">
        <v>5889.8</v>
      </c>
      <c r="H178" s="14">
        <v>199.5</v>
      </c>
      <c r="I178" s="14"/>
      <c r="J178" s="14">
        <v>16857.55</v>
      </c>
      <c r="K178" s="14">
        <v>310</v>
      </c>
      <c r="L178" s="14">
        <v>79258.149999999994</v>
      </c>
      <c r="M178" s="3">
        <f t="shared" si="6"/>
        <v>1211236.79</v>
      </c>
      <c r="N178" s="14">
        <v>6328.2</v>
      </c>
      <c r="O178" s="14">
        <v>5417.2</v>
      </c>
      <c r="P178" s="14">
        <v>29387.599999999999</v>
      </c>
      <c r="Q178" s="14">
        <v>1450.55</v>
      </c>
      <c r="R178" s="14">
        <v>42551.05</v>
      </c>
      <c r="S178" s="14">
        <v>30</v>
      </c>
      <c r="T178" s="14">
        <v>450</v>
      </c>
      <c r="U178" s="14">
        <v>5750</v>
      </c>
      <c r="V178" s="14"/>
      <c r="W178" s="14"/>
      <c r="X178" s="2">
        <f t="shared" si="7"/>
        <v>1302601.3900000001</v>
      </c>
      <c r="Y178" s="14">
        <v>-7583.1</v>
      </c>
      <c r="Z178" s="14"/>
      <c r="AA178" s="14">
        <v>74235</v>
      </c>
      <c r="AB178" s="14"/>
      <c r="AC178" s="14">
        <v>32666.75</v>
      </c>
      <c r="AD178" s="14">
        <v>-28957.95</v>
      </c>
      <c r="AE178" s="14"/>
      <c r="AF178" s="14"/>
      <c r="AG178" s="14"/>
      <c r="AH178" s="14"/>
      <c r="AI178" s="14"/>
      <c r="AJ178" s="14">
        <v>9646.0499999999993</v>
      </c>
      <c r="AK178" s="14"/>
      <c r="AL178" s="48">
        <f t="shared" si="8"/>
        <v>80006.75</v>
      </c>
      <c r="AM178" s="22">
        <v>79</v>
      </c>
      <c r="AN178" s="14">
        <v>543</v>
      </c>
      <c r="AO178" s="14">
        <v>-16941.66</v>
      </c>
      <c r="AP178" s="14"/>
      <c r="AQ178" s="14">
        <v>-800.5</v>
      </c>
      <c r="AR178" s="44">
        <v>1</v>
      </c>
      <c r="AU178" s="46"/>
      <c r="AV178" s="46"/>
    </row>
    <row r="179" spans="1:48" x14ac:dyDescent="0.25">
      <c r="A179" s="12">
        <v>5693</v>
      </c>
      <c r="B179" s="13" t="s">
        <v>493</v>
      </c>
      <c r="C179" s="14">
        <v>3703062.7</v>
      </c>
      <c r="D179" s="14">
        <v>419437.02</v>
      </c>
      <c r="E179" s="14"/>
      <c r="F179" s="14"/>
      <c r="G179" s="14">
        <v>139374.20000000001</v>
      </c>
      <c r="H179" s="14">
        <v>628.29999999999995</v>
      </c>
      <c r="I179" s="14"/>
      <c r="J179" s="14">
        <v>65351.22</v>
      </c>
      <c r="K179" s="14">
        <v>3011</v>
      </c>
      <c r="L179" s="14">
        <v>304503.40000000002</v>
      </c>
      <c r="M179" s="3">
        <f t="shared" si="6"/>
        <v>4635367.84</v>
      </c>
      <c r="N179" s="14">
        <v>7935.7</v>
      </c>
      <c r="O179" s="14">
        <v>44675.7</v>
      </c>
      <c r="P179" s="14">
        <v>149737.65</v>
      </c>
      <c r="Q179" s="14">
        <v>18485.689999999999</v>
      </c>
      <c r="R179" s="14">
        <v>185049</v>
      </c>
      <c r="S179" s="14"/>
      <c r="T179" s="14"/>
      <c r="U179" s="14">
        <v>13950</v>
      </c>
      <c r="V179" s="14"/>
      <c r="W179" s="14"/>
      <c r="X179" s="2">
        <f t="shared" si="7"/>
        <v>5055201.580000001</v>
      </c>
      <c r="Y179" s="14">
        <v>66356.649999999994</v>
      </c>
      <c r="Z179" s="14"/>
      <c r="AA179" s="14">
        <v>299191.09999999998</v>
      </c>
      <c r="AB179" s="14"/>
      <c r="AC179" s="14">
        <v>158822.65</v>
      </c>
      <c r="AD179" s="14">
        <v>27501.599999999999</v>
      </c>
      <c r="AE179" s="14"/>
      <c r="AF179" s="14"/>
      <c r="AG179" s="14"/>
      <c r="AH179" s="14">
        <v>86046</v>
      </c>
      <c r="AI179" s="14"/>
      <c r="AJ179" s="14"/>
      <c r="AK179" s="14"/>
      <c r="AL179" s="48">
        <f t="shared" si="8"/>
        <v>637918</v>
      </c>
      <c r="AM179" s="22">
        <v>72</v>
      </c>
      <c r="AN179" s="14">
        <v>2421</v>
      </c>
      <c r="AO179" s="14">
        <v>-116605.64</v>
      </c>
      <c r="AP179" s="14">
        <v>-2043.35</v>
      </c>
      <c r="AQ179" s="14">
        <v>-83.26</v>
      </c>
      <c r="AR179" s="44">
        <v>1</v>
      </c>
      <c r="AU179" s="46"/>
      <c r="AV179" s="46"/>
    </row>
    <row r="180" spans="1:48" x14ac:dyDescent="0.25">
      <c r="A180" s="12">
        <v>5701</v>
      </c>
      <c r="B180" s="13" t="s">
        <v>138</v>
      </c>
      <c r="C180" s="14">
        <v>680260.02</v>
      </c>
      <c r="D180" s="14">
        <v>99837.33</v>
      </c>
      <c r="E180" s="14"/>
      <c r="F180" s="14"/>
      <c r="G180" s="14">
        <v>4161.95</v>
      </c>
      <c r="H180" s="14">
        <v>90.2</v>
      </c>
      <c r="I180" s="14">
        <v>58392.45</v>
      </c>
      <c r="J180" s="14">
        <v>12429.26</v>
      </c>
      <c r="K180" s="14">
        <v>16</v>
      </c>
      <c r="L180" s="14">
        <v>64688.4</v>
      </c>
      <c r="M180" s="3">
        <f t="shared" si="6"/>
        <v>919875.60999999987</v>
      </c>
      <c r="N180" s="14"/>
      <c r="O180" s="14"/>
      <c r="P180" s="14">
        <v>47592.800000000003</v>
      </c>
      <c r="Q180" s="14">
        <v>15348.85</v>
      </c>
      <c r="R180" s="14"/>
      <c r="S180" s="14"/>
      <c r="T180" s="14"/>
      <c r="U180" s="14">
        <v>775</v>
      </c>
      <c r="V180" s="14"/>
      <c r="W180" s="14"/>
      <c r="X180" s="2">
        <f t="shared" si="7"/>
        <v>983592.25999999989</v>
      </c>
      <c r="Y180" s="14"/>
      <c r="Z180" s="14"/>
      <c r="AA180" s="14">
        <v>22180.73</v>
      </c>
      <c r="AB180" s="14"/>
      <c r="AC180" s="14">
        <v>14924.7</v>
      </c>
      <c r="AD180" s="14">
        <v>350</v>
      </c>
      <c r="AE180" s="14"/>
      <c r="AF180" s="14"/>
      <c r="AG180" s="14"/>
      <c r="AH180" s="14"/>
      <c r="AI180" s="14"/>
      <c r="AJ180" s="14"/>
      <c r="AK180" s="14"/>
      <c r="AL180" s="48">
        <f t="shared" si="8"/>
        <v>37455.43</v>
      </c>
      <c r="AM180" s="22">
        <v>65</v>
      </c>
      <c r="AN180" s="14">
        <v>208</v>
      </c>
      <c r="AO180" s="14">
        <v>-69.930000000000007</v>
      </c>
      <c r="AP180" s="14"/>
      <c r="AQ180" s="14">
        <v>-34.869999999999997</v>
      </c>
      <c r="AR180" s="44">
        <v>1</v>
      </c>
      <c r="AU180" s="46"/>
      <c r="AV180" s="46"/>
    </row>
    <row r="181" spans="1:48" x14ac:dyDescent="0.25">
      <c r="A181" s="12">
        <v>5702</v>
      </c>
      <c r="B181" s="13" t="s">
        <v>492</v>
      </c>
      <c r="C181" s="14">
        <v>6136604.29</v>
      </c>
      <c r="D181" s="14">
        <v>1107112.77</v>
      </c>
      <c r="E181" s="14"/>
      <c r="F181" s="14"/>
      <c r="G181" s="14">
        <v>226385.4</v>
      </c>
      <c r="H181" s="14">
        <v>7065.65</v>
      </c>
      <c r="I181" s="14">
        <v>560707.57999999996</v>
      </c>
      <c r="J181" s="14">
        <v>130327.59</v>
      </c>
      <c r="K181" s="14">
        <v>9460.5</v>
      </c>
      <c r="L181" s="14">
        <v>1003563.85</v>
      </c>
      <c r="M181" s="3">
        <f t="shared" si="6"/>
        <v>9181227.6300000008</v>
      </c>
      <c r="N181" s="14">
        <v>70134.7</v>
      </c>
      <c r="O181" s="14">
        <v>53902.9</v>
      </c>
      <c r="P181" s="14">
        <v>429226.4</v>
      </c>
      <c r="Q181" s="14">
        <v>14129.44</v>
      </c>
      <c r="R181" s="14">
        <v>354162</v>
      </c>
      <c r="S181" s="14"/>
      <c r="T181" s="14"/>
      <c r="U181" s="14">
        <v>22500</v>
      </c>
      <c r="V181" s="14"/>
      <c r="W181" s="14"/>
      <c r="X181" s="2">
        <f t="shared" si="7"/>
        <v>10125283.07</v>
      </c>
      <c r="Y181" s="14">
        <v>180654.1</v>
      </c>
      <c r="Z181" s="14"/>
      <c r="AA181" s="14">
        <v>215120</v>
      </c>
      <c r="AB181" s="14"/>
      <c r="AC181" s="14">
        <v>224184.9</v>
      </c>
      <c r="AD181" s="14">
        <v>353520.6</v>
      </c>
      <c r="AE181" s="14"/>
      <c r="AF181" s="14"/>
      <c r="AG181" s="14">
        <v>25997.43</v>
      </c>
      <c r="AH181" s="14"/>
      <c r="AI181" s="14"/>
      <c r="AJ181" s="14"/>
      <c r="AK181" s="14"/>
      <c r="AL181" s="48">
        <f t="shared" si="8"/>
        <v>999477.03</v>
      </c>
      <c r="AM181" s="22">
        <v>64</v>
      </c>
      <c r="AN181" s="14">
        <v>2506</v>
      </c>
      <c r="AO181" s="14">
        <v>-66129.320000000007</v>
      </c>
      <c r="AP181" s="14"/>
      <c r="AQ181" s="14">
        <v>-5159.07</v>
      </c>
      <c r="AR181" s="44">
        <v>1.5</v>
      </c>
      <c r="AU181" s="46"/>
      <c r="AV181" s="46"/>
    </row>
    <row r="182" spans="1:48" x14ac:dyDescent="0.25">
      <c r="A182" s="12">
        <v>5703</v>
      </c>
      <c r="B182" s="13" t="s">
        <v>139</v>
      </c>
      <c r="C182" s="14">
        <v>2949535.05</v>
      </c>
      <c r="D182" s="14">
        <v>347454.47</v>
      </c>
      <c r="E182" s="14"/>
      <c r="F182" s="14"/>
      <c r="G182" s="14">
        <v>-42408.800000000003</v>
      </c>
      <c r="H182" s="14">
        <v>585.79999999999995</v>
      </c>
      <c r="I182" s="14">
        <v>60727.25</v>
      </c>
      <c r="J182" s="14">
        <v>95432.13</v>
      </c>
      <c r="K182" s="14">
        <v>-329.5</v>
      </c>
      <c r="L182" s="14">
        <v>343113.3</v>
      </c>
      <c r="M182" s="3">
        <f t="shared" si="6"/>
        <v>3754109.6999999993</v>
      </c>
      <c r="N182" s="14">
        <v>36530.300000000003</v>
      </c>
      <c r="O182" s="14">
        <v>15344.4</v>
      </c>
      <c r="P182" s="14">
        <v>80815.7</v>
      </c>
      <c r="Q182" s="14">
        <v>8097.6</v>
      </c>
      <c r="R182" s="14">
        <v>114194.6</v>
      </c>
      <c r="S182" s="14">
        <v>-31.25</v>
      </c>
      <c r="T182" s="14"/>
      <c r="U182" s="14">
        <v>9000</v>
      </c>
      <c r="V182" s="14"/>
      <c r="W182" s="14"/>
      <c r="X182" s="2">
        <f t="shared" si="7"/>
        <v>4018061.0499999993</v>
      </c>
      <c r="Y182" s="14">
        <v>37856.699999999997</v>
      </c>
      <c r="Z182" s="14"/>
      <c r="AA182" s="14">
        <v>146826</v>
      </c>
      <c r="AB182" s="14"/>
      <c r="AC182" s="14">
        <v>92982.15</v>
      </c>
      <c r="AD182" s="14">
        <v>48627.9</v>
      </c>
      <c r="AE182" s="14"/>
      <c r="AF182" s="14"/>
      <c r="AG182" s="14"/>
      <c r="AH182" s="14"/>
      <c r="AI182" s="14"/>
      <c r="AJ182" s="14"/>
      <c r="AK182" s="14"/>
      <c r="AL182" s="48">
        <f t="shared" si="8"/>
        <v>326292.75</v>
      </c>
      <c r="AM182" s="22">
        <v>71</v>
      </c>
      <c r="AN182" s="14">
        <v>1320</v>
      </c>
      <c r="AO182" s="14">
        <v>-39946.870000000003</v>
      </c>
      <c r="AP182" s="14"/>
      <c r="AQ182" s="14">
        <v>-221.89</v>
      </c>
      <c r="AR182" s="44">
        <v>1.2</v>
      </c>
      <c r="AU182" s="46"/>
      <c r="AV182" s="46"/>
    </row>
    <row r="183" spans="1:48" x14ac:dyDescent="0.25">
      <c r="A183" s="12">
        <v>5704</v>
      </c>
      <c r="B183" s="13" t="s">
        <v>250</v>
      </c>
      <c r="C183" s="14">
        <v>5020738.5199999996</v>
      </c>
      <c r="D183" s="14">
        <v>1588533.4</v>
      </c>
      <c r="E183" s="14"/>
      <c r="F183" s="14"/>
      <c r="G183" s="14">
        <v>27718</v>
      </c>
      <c r="H183" s="14">
        <v>7267.95</v>
      </c>
      <c r="I183" s="14">
        <v>196108</v>
      </c>
      <c r="J183" s="14">
        <v>63449.42</v>
      </c>
      <c r="K183" s="14">
        <v>7583.5</v>
      </c>
      <c r="L183" s="14">
        <v>616003.9</v>
      </c>
      <c r="M183" s="3">
        <f t="shared" si="6"/>
        <v>7527402.6900000004</v>
      </c>
      <c r="N183" s="14">
        <v>56321.9</v>
      </c>
      <c r="O183" s="14">
        <f>3247936.2-2736936</f>
        <v>511000.20000000019</v>
      </c>
      <c r="P183" s="14">
        <v>429027.3</v>
      </c>
      <c r="Q183" s="14">
        <v>73697.19</v>
      </c>
      <c r="R183" s="14">
        <v>220887.55</v>
      </c>
      <c r="S183" s="14">
        <v>93.75</v>
      </c>
      <c r="T183" s="14"/>
      <c r="U183" s="14">
        <v>8400</v>
      </c>
      <c r="V183" s="14"/>
      <c r="W183" s="14"/>
      <c r="X183" s="2">
        <f t="shared" si="7"/>
        <v>8826830.5800000019</v>
      </c>
      <c r="Y183" s="14">
        <v>57409</v>
      </c>
      <c r="Z183" s="14"/>
      <c r="AA183" s="14">
        <v>128706.01</v>
      </c>
      <c r="AB183" s="14"/>
      <c r="AC183" s="14">
        <v>96985.75</v>
      </c>
      <c r="AD183" s="14">
        <v>98716.67</v>
      </c>
      <c r="AE183" s="14"/>
      <c r="AF183" s="14"/>
      <c r="AG183" s="14">
        <v>10450.4</v>
      </c>
      <c r="AH183" s="14">
        <v>48276.49</v>
      </c>
      <c r="AI183" s="14">
        <v>27585.41</v>
      </c>
      <c r="AJ183" s="14"/>
      <c r="AK183" s="14"/>
      <c r="AL183" s="48">
        <f t="shared" si="8"/>
        <v>468129.73</v>
      </c>
      <c r="AM183" s="22">
        <v>67</v>
      </c>
      <c r="AN183" s="14">
        <v>1802</v>
      </c>
      <c r="AO183" s="14">
        <v>-73126.27</v>
      </c>
      <c r="AP183" s="14"/>
      <c r="AQ183" s="14">
        <v>-6738.77</v>
      </c>
      <c r="AR183" s="44">
        <v>1.5</v>
      </c>
      <c r="AU183" s="46"/>
      <c r="AV183" s="46"/>
    </row>
    <row r="184" spans="1:48" x14ac:dyDescent="0.25">
      <c r="A184" s="12">
        <v>5705</v>
      </c>
      <c r="B184" s="13" t="s">
        <v>251</v>
      </c>
      <c r="C184" s="14">
        <v>2515386.21</v>
      </c>
      <c r="D184" s="14">
        <v>329052.73</v>
      </c>
      <c r="E184" s="14"/>
      <c r="F184" s="14"/>
      <c r="G184" s="14">
        <v>19385.349999999999</v>
      </c>
      <c r="H184" s="14">
        <v>379.95</v>
      </c>
      <c r="I184" s="14">
        <v>-3812.75</v>
      </c>
      <c r="J184" s="14">
        <v>88390.28</v>
      </c>
      <c r="K184" s="14">
        <v>8146.5</v>
      </c>
      <c r="L184" s="14">
        <v>197102.9</v>
      </c>
      <c r="M184" s="3">
        <f t="shared" si="6"/>
        <v>3154031.17</v>
      </c>
      <c r="N184" s="14">
        <v>33949.199999999997</v>
      </c>
      <c r="O184" s="14"/>
      <c r="P184" s="14">
        <v>199062.6</v>
      </c>
      <c r="Q184" s="14">
        <v>19202.82</v>
      </c>
      <c r="R184" s="14">
        <v>142088.1</v>
      </c>
      <c r="S184" s="14"/>
      <c r="T184" s="14"/>
      <c r="U184" s="14">
        <v>1950</v>
      </c>
      <c r="V184" s="14"/>
      <c r="W184" s="14"/>
      <c r="X184" s="2">
        <f t="shared" si="7"/>
        <v>3550283.89</v>
      </c>
      <c r="Y184" s="14">
        <v>1404</v>
      </c>
      <c r="Z184" s="14"/>
      <c r="AA184" s="14">
        <v>73582.350000000006</v>
      </c>
      <c r="AB184" s="14"/>
      <c r="AC184" s="14">
        <v>111922.65</v>
      </c>
      <c r="AD184" s="14"/>
      <c r="AE184" s="14"/>
      <c r="AF184" s="14"/>
      <c r="AG184" s="14"/>
      <c r="AH184" s="14"/>
      <c r="AI184" s="14"/>
      <c r="AJ184" s="14"/>
      <c r="AK184" s="14"/>
      <c r="AL184" s="48">
        <f t="shared" si="8"/>
        <v>186909</v>
      </c>
      <c r="AM184" s="22">
        <v>64</v>
      </c>
      <c r="AN184" s="14">
        <v>830</v>
      </c>
      <c r="AO184" s="14">
        <v>-11164.11</v>
      </c>
      <c r="AP184" s="14"/>
      <c r="AQ184" s="14">
        <v>-863</v>
      </c>
      <c r="AR184" s="44">
        <v>1</v>
      </c>
      <c r="AU184" s="46"/>
      <c r="AV184" s="46"/>
    </row>
    <row r="185" spans="1:48" x14ac:dyDescent="0.25">
      <c r="A185" s="12">
        <v>5706</v>
      </c>
      <c r="B185" s="13" t="s">
        <v>252</v>
      </c>
      <c r="C185" s="14">
        <v>2615215.27</v>
      </c>
      <c r="D185" s="14">
        <v>474471.05</v>
      </c>
      <c r="E185" s="14"/>
      <c r="F185" s="14"/>
      <c r="G185" s="14">
        <v>35705.65</v>
      </c>
      <c r="H185" s="14">
        <v>221.05</v>
      </c>
      <c r="I185" s="14">
        <v>16223.65</v>
      </c>
      <c r="J185" s="14">
        <v>-3117.11</v>
      </c>
      <c r="K185" s="14">
        <v>2127.5</v>
      </c>
      <c r="L185" s="14">
        <v>330361.7</v>
      </c>
      <c r="M185" s="3">
        <f t="shared" si="6"/>
        <v>3471208.76</v>
      </c>
      <c r="N185" s="14">
        <v>3897.65</v>
      </c>
      <c r="O185" s="14">
        <v>349250</v>
      </c>
      <c r="P185" s="14">
        <v>277870.25</v>
      </c>
      <c r="Q185" s="14">
        <v>24617.27</v>
      </c>
      <c r="R185" s="14">
        <v>128255.65</v>
      </c>
      <c r="S185" s="14"/>
      <c r="T185" s="14">
        <v>160</v>
      </c>
      <c r="U185" s="14">
        <v>3375</v>
      </c>
      <c r="V185" s="14"/>
      <c r="W185" s="14"/>
      <c r="X185" s="2">
        <f t="shared" si="7"/>
        <v>4258634.58</v>
      </c>
      <c r="Y185" s="14">
        <v>-22993.45</v>
      </c>
      <c r="Z185" s="14"/>
      <c r="AA185" s="14">
        <v>140428.70000000001</v>
      </c>
      <c r="AB185" s="14"/>
      <c r="AC185" s="14">
        <v>72015.199999999997</v>
      </c>
      <c r="AD185" s="14"/>
      <c r="AE185" s="14"/>
      <c r="AF185" s="14"/>
      <c r="AG185" s="14">
        <v>44</v>
      </c>
      <c r="AH185" s="14">
        <v>27405.35</v>
      </c>
      <c r="AI185" s="14"/>
      <c r="AJ185" s="14"/>
      <c r="AK185" s="14"/>
      <c r="AL185" s="48">
        <f t="shared" si="8"/>
        <v>216899.80000000002</v>
      </c>
      <c r="AM185" s="22">
        <v>55</v>
      </c>
      <c r="AN185" s="14">
        <v>1049</v>
      </c>
      <c r="AO185" s="14">
        <v>-24625.75</v>
      </c>
      <c r="AP185" s="14"/>
      <c r="AQ185" s="14">
        <v>-2508.4699999999998</v>
      </c>
      <c r="AR185" s="44">
        <v>1.5</v>
      </c>
      <c r="AU185" s="46"/>
      <c r="AV185" s="46"/>
    </row>
    <row r="186" spans="1:48" x14ac:dyDescent="0.25">
      <c r="A186" s="12">
        <v>5707</v>
      </c>
      <c r="B186" s="13" t="s">
        <v>253</v>
      </c>
      <c r="C186" s="14">
        <v>3220802.05</v>
      </c>
      <c r="D186" s="14">
        <v>588129.80000000005</v>
      </c>
      <c r="E186" s="14"/>
      <c r="F186" s="14"/>
      <c r="G186" s="14">
        <v>832003.9</v>
      </c>
      <c r="H186" s="14">
        <v>5206.3999999999996</v>
      </c>
      <c r="I186" s="14">
        <v>55173.75</v>
      </c>
      <c r="J186" s="14">
        <v>108560.48</v>
      </c>
      <c r="K186" s="14">
        <v>68972.5</v>
      </c>
      <c r="L186" s="14">
        <v>675463.65</v>
      </c>
      <c r="M186" s="3">
        <f t="shared" si="6"/>
        <v>5554312.5300000012</v>
      </c>
      <c r="N186" s="14">
        <v>442946.25</v>
      </c>
      <c r="O186" s="14"/>
      <c r="P186" s="14">
        <v>71708.800000000003</v>
      </c>
      <c r="Q186" s="14"/>
      <c r="R186" s="14">
        <v>37272.800000000003</v>
      </c>
      <c r="S186" s="14">
        <v>375.1</v>
      </c>
      <c r="T186" s="14"/>
      <c r="U186" s="14">
        <v>3800</v>
      </c>
      <c r="V186" s="14"/>
      <c r="W186" s="14"/>
      <c r="X186" s="2">
        <f t="shared" si="7"/>
        <v>6110415.4800000004</v>
      </c>
      <c r="Y186" s="14">
        <v>4640.1000000000004</v>
      </c>
      <c r="Z186" s="14"/>
      <c r="AA186" s="14">
        <v>285144.65000000002</v>
      </c>
      <c r="AB186" s="14"/>
      <c r="AC186" s="14">
        <v>125736.25</v>
      </c>
      <c r="AD186" s="14"/>
      <c r="AE186" s="14"/>
      <c r="AF186" s="14"/>
      <c r="AG186" s="14">
        <v>170208</v>
      </c>
      <c r="AH186" s="14">
        <v>109673.5</v>
      </c>
      <c r="AI186" s="14"/>
      <c r="AJ186" s="14"/>
      <c r="AK186" s="14"/>
      <c r="AL186" s="48">
        <f t="shared" si="8"/>
        <v>695402.5</v>
      </c>
      <c r="AM186" s="22">
        <v>59</v>
      </c>
      <c r="AN186" s="14">
        <v>1155</v>
      </c>
      <c r="AO186" s="14">
        <v>-11568.52</v>
      </c>
      <c r="AP186" s="14"/>
      <c r="AQ186" s="14">
        <v>-1738.45</v>
      </c>
      <c r="AR186" s="44">
        <v>1.5</v>
      </c>
      <c r="AU186" s="46"/>
      <c r="AV186" s="46"/>
    </row>
    <row r="187" spans="1:48" x14ac:dyDescent="0.25">
      <c r="A187" s="12">
        <v>5708</v>
      </c>
      <c r="B187" s="13" t="s">
        <v>254</v>
      </c>
      <c r="C187" s="14">
        <v>3161206.69</v>
      </c>
      <c r="D187" s="14">
        <v>350493.46</v>
      </c>
      <c r="E187" s="14"/>
      <c r="F187" s="14"/>
      <c r="G187" s="14">
        <v>37955.949999999997</v>
      </c>
      <c r="H187" s="14">
        <v>562.65</v>
      </c>
      <c r="I187" s="14">
        <v>40073.800000000003</v>
      </c>
      <c r="J187" s="14">
        <v>-65355.33</v>
      </c>
      <c r="K187" s="14">
        <v>14512</v>
      </c>
      <c r="L187" s="14">
        <v>355665.9</v>
      </c>
      <c r="M187" s="3">
        <f t="shared" si="6"/>
        <v>3895115.1199999996</v>
      </c>
      <c r="N187" s="14">
        <v>1204.9000000000001</v>
      </c>
      <c r="O187" s="14"/>
      <c r="P187" s="14">
        <v>329934.45</v>
      </c>
      <c r="Q187" s="14">
        <v>18270.900000000001</v>
      </c>
      <c r="R187" s="14">
        <v>104141</v>
      </c>
      <c r="S187" s="14"/>
      <c r="T187" s="14"/>
      <c r="U187" s="14">
        <v>1860</v>
      </c>
      <c r="V187" s="14"/>
      <c r="W187" s="14"/>
      <c r="X187" s="2">
        <f t="shared" si="7"/>
        <v>4350526.37</v>
      </c>
      <c r="Y187" s="14">
        <v>45213.95</v>
      </c>
      <c r="Z187" s="14"/>
      <c r="AA187" s="14">
        <v>85184.9</v>
      </c>
      <c r="AB187" s="14"/>
      <c r="AC187" s="14">
        <v>64503.67</v>
      </c>
      <c r="AD187" s="14"/>
      <c r="AE187" s="14"/>
      <c r="AF187" s="14"/>
      <c r="AG187" s="14"/>
      <c r="AH187" s="14"/>
      <c r="AI187" s="14"/>
      <c r="AJ187" s="14"/>
      <c r="AK187" s="14"/>
      <c r="AL187" s="48">
        <f t="shared" si="8"/>
        <v>194902.52</v>
      </c>
      <c r="AM187" s="22">
        <v>61</v>
      </c>
      <c r="AN187" s="14">
        <v>807</v>
      </c>
      <c r="AO187" s="14">
        <v>-14634</v>
      </c>
      <c r="AP187" s="14"/>
      <c r="AQ187" s="14">
        <v>-855.21</v>
      </c>
      <c r="AR187" s="44">
        <v>1.5</v>
      </c>
      <c r="AU187" s="46"/>
      <c r="AV187" s="46"/>
    </row>
    <row r="188" spans="1:48" x14ac:dyDescent="0.25">
      <c r="A188" s="12">
        <v>5709</v>
      </c>
      <c r="B188" s="13" t="s">
        <v>255</v>
      </c>
      <c r="C188" s="14">
        <f>3405693.78-(1250000)/2</f>
        <v>2780693.78</v>
      </c>
      <c r="D188" s="14">
        <f>2053219.82</f>
        <v>2053219.82</v>
      </c>
      <c r="E188" s="14"/>
      <c r="F188" s="14"/>
      <c r="G188" s="14">
        <f>14971-(14971)/2</f>
        <v>7485.5</v>
      </c>
      <c r="H188" s="14">
        <f>1192013.8-(1192013.8)/2</f>
        <v>596006.9</v>
      </c>
      <c r="I188" s="14">
        <f>25022.7</f>
        <v>25022.7</v>
      </c>
      <c r="J188" s="14">
        <v>264500.98</v>
      </c>
      <c r="K188" s="14">
        <v>1474.5</v>
      </c>
      <c r="L188" s="14">
        <v>293457.55</v>
      </c>
      <c r="M188" s="3">
        <f t="shared" si="6"/>
        <v>6021861.7299999995</v>
      </c>
      <c r="N188" s="14">
        <v>21812.15</v>
      </c>
      <c r="O188" s="14">
        <v>0</v>
      </c>
      <c r="P188" s="14">
        <v>59086.5</v>
      </c>
      <c r="Q188" s="14">
        <v>1803.7</v>
      </c>
      <c r="R188" s="14">
        <v>72545.3</v>
      </c>
      <c r="S188" s="14">
        <v>109.55</v>
      </c>
      <c r="T188" s="14">
        <v>1500</v>
      </c>
      <c r="U188" s="14">
        <v>9000</v>
      </c>
      <c r="V188" s="14"/>
      <c r="W188" s="14"/>
      <c r="X188" s="2">
        <f t="shared" si="7"/>
        <v>6187718.9299999997</v>
      </c>
      <c r="Y188" s="14">
        <v>70791</v>
      </c>
      <c r="Z188" s="14">
        <v>46191.95</v>
      </c>
      <c r="AA188" s="14">
        <v>38242.5</v>
      </c>
      <c r="AB188" s="14"/>
      <c r="AC188" s="14">
        <v>77743.05</v>
      </c>
      <c r="AD188" s="14"/>
      <c r="AE188" s="14"/>
      <c r="AF188" s="14"/>
      <c r="AG188" s="14">
        <v>8557.5499999999993</v>
      </c>
      <c r="AH188" s="14"/>
      <c r="AI188" s="14"/>
      <c r="AJ188" s="14"/>
      <c r="AK188" s="14"/>
      <c r="AL188" s="48">
        <f t="shared" si="8"/>
        <v>241526.05</v>
      </c>
      <c r="AM188" s="22">
        <v>52</v>
      </c>
      <c r="AN188" s="14">
        <v>1174</v>
      </c>
      <c r="AO188" s="14">
        <v>-10729.57</v>
      </c>
      <c r="AP188" s="14"/>
      <c r="AQ188" s="14">
        <v>-1977.02</v>
      </c>
      <c r="AR188" s="44">
        <v>1</v>
      </c>
      <c r="AU188" s="46"/>
      <c r="AV188" s="46"/>
    </row>
    <row r="189" spans="1:48" x14ac:dyDescent="0.25">
      <c r="A189" s="12">
        <v>5710</v>
      </c>
      <c r="B189" s="13" t="s">
        <v>256</v>
      </c>
      <c r="C189" s="14">
        <v>779747.83</v>
      </c>
      <c r="D189" s="14">
        <v>199375.48</v>
      </c>
      <c r="E189" s="14"/>
      <c r="F189" s="14"/>
      <c r="G189" s="14">
        <v>3299424.65</v>
      </c>
      <c r="H189" s="14">
        <v>517.9</v>
      </c>
      <c r="I189" s="14">
        <v>89201.4</v>
      </c>
      <c r="J189" s="14">
        <v>140793.70000000001</v>
      </c>
      <c r="K189" s="14">
        <v>4997.7</v>
      </c>
      <c r="L189" s="14">
        <v>112703.3</v>
      </c>
      <c r="M189" s="3">
        <f t="shared" si="6"/>
        <v>4626761.9600000009</v>
      </c>
      <c r="N189" s="14">
        <v>36713.75</v>
      </c>
      <c r="O189" s="14">
        <v>17771.5</v>
      </c>
      <c r="P189" s="14">
        <v>27225</v>
      </c>
      <c r="Q189" s="14">
        <v>1483.31</v>
      </c>
      <c r="R189" s="14">
        <v>198955.85</v>
      </c>
      <c r="S189" s="14">
        <v>31.25</v>
      </c>
      <c r="T189" s="14"/>
      <c r="U189" s="14"/>
      <c r="V189" s="14"/>
      <c r="W189" s="14"/>
      <c r="X189" s="2">
        <f t="shared" si="7"/>
        <v>4908942.62</v>
      </c>
      <c r="Y189" s="14"/>
      <c r="Z189" s="14"/>
      <c r="AA189" s="14">
        <v>67347.649999999994</v>
      </c>
      <c r="AB189" s="14"/>
      <c r="AC189" s="14">
        <v>13775.6</v>
      </c>
      <c r="AD189" s="14"/>
      <c r="AE189" s="14"/>
      <c r="AF189" s="14"/>
      <c r="AG189" s="14">
        <v>8344</v>
      </c>
      <c r="AH189" s="14">
        <v>24916.9</v>
      </c>
      <c r="AI189" s="14"/>
      <c r="AJ189" s="14"/>
      <c r="AK189" s="14"/>
      <c r="AL189" s="48">
        <f t="shared" si="8"/>
        <v>114384.15</v>
      </c>
      <c r="AM189" s="22">
        <v>41</v>
      </c>
      <c r="AN189" s="14">
        <v>435</v>
      </c>
      <c r="AO189" s="14">
        <v>-3221.37</v>
      </c>
      <c r="AP189" s="14"/>
      <c r="AQ189" s="14">
        <v>-2736.99</v>
      </c>
      <c r="AR189" s="44">
        <v>1</v>
      </c>
      <c r="AU189" s="46"/>
      <c r="AV189" s="46"/>
    </row>
    <row r="190" spans="1:48" x14ac:dyDescent="0.25">
      <c r="A190" s="12">
        <v>5711</v>
      </c>
      <c r="B190" s="13" t="s">
        <v>257</v>
      </c>
      <c r="C190" s="14">
        <v>10978456.4</v>
      </c>
      <c r="D190" s="14">
        <v>1613328.56</v>
      </c>
      <c r="E190" s="14"/>
      <c r="F190" s="14"/>
      <c r="G190" s="14">
        <v>175493.4</v>
      </c>
      <c r="H190" s="14">
        <v>1560.4</v>
      </c>
      <c r="I190" s="14">
        <v>147080.75</v>
      </c>
      <c r="J190" s="14">
        <v>166409.51</v>
      </c>
      <c r="K190" s="14">
        <v>12264.5</v>
      </c>
      <c r="L190" s="14">
        <v>1012224.7</v>
      </c>
      <c r="M190" s="3">
        <f t="shared" si="6"/>
        <v>14106818.220000001</v>
      </c>
      <c r="N190" s="14">
        <v>28572</v>
      </c>
      <c r="O190" s="14"/>
      <c r="P190" s="14">
        <v>486221.8</v>
      </c>
      <c r="Q190" s="14">
        <v>12063.29</v>
      </c>
      <c r="R190" s="14">
        <v>462280.7</v>
      </c>
      <c r="S190" s="14">
        <v>31.25</v>
      </c>
      <c r="T190" s="14"/>
      <c r="U190" s="14">
        <v>15850</v>
      </c>
      <c r="V190" s="14"/>
      <c r="W190" s="14"/>
      <c r="X190" s="2">
        <f t="shared" si="7"/>
        <v>15111837.26</v>
      </c>
      <c r="Y190" s="14">
        <v>15616.1</v>
      </c>
      <c r="Z190" s="14"/>
      <c r="AA190" s="14">
        <v>199253.25</v>
      </c>
      <c r="AB190" s="14"/>
      <c r="AC190" s="14">
        <v>189650.45</v>
      </c>
      <c r="AD190" s="14">
        <v>57167.45</v>
      </c>
      <c r="AE190" s="14"/>
      <c r="AF190" s="14"/>
      <c r="AG190" s="14">
        <v>14910</v>
      </c>
      <c r="AH190" s="14"/>
      <c r="AI190" s="14"/>
      <c r="AJ190" s="14"/>
      <c r="AK190" s="14"/>
      <c r="AL190" s="48">
        <f t="shared" si="8"/>
        <v>476597.25000000006</v>
      </c>
      <c r="AM190" s="22">
        <v>58</v>
      </c>
      <c r="AN190" s="14">
        <v>2591</v>
      </c>
      <c r="AO190" s="14">
        <v>-131478.1</v>
      </c>
      <c r="AP190" s="14"/>
      <c r="AQ190" s="14">
        <v>-12844.85</v>
      </c>
      <c r="AR190" s="44">
        <v>1.3</v>
      </c>
      <c r="AU190" s="46"/>
      <c r="AV190" s="46"/>
    </row>
    <row r="191" spans="1:48" x14ac:dyDescent="0.25">
      <c r="A191" s="12">
        <v>5712</v>
      </c>
      <c r="B191" s="13" t="s">
        <v>258</v>
      </c>
      <c r="C191" s="14">
        <v>11750952.02</v>
      </c>
      <c r="D191" s="14">
        <v>2320253.11</v>
      </c>
      <c r="E191" s="14"/>
      <c r="F191" s="14"/>
      <c r="G191" s="14">
        <v>156260.45000000001</v>
      </c>
      <c r="H191" s="14">
        <v>12841.85</v>
      </c>
      <c r="I191" s="14">
        <v>890090.11</v>
      </c>
      <c r="J191" s="14">
        <v>269378.34000000003</v>
      </c>
      <c r="K191" s="14">
        <v>30330.5</v>
      </c>
      <c r="L191" s="14">
        <v>1535627.95</v>
      </c>
      <c r="M191" s="3">
        <f t="shared" si="6"/>
        <v>16965734.329999998</v>
      </c>
      <c r="N191" s="14">
        <v>128277.75</v>
      </c>
      <c r="O191" s="14">
        <v>61496.9</v>
      </c>
      <c r="P191" s="14">
        <v>421556.7</v>
      </c>
      <c r="Q191" s="14">
        <v>5698.97</v>
      </c>
      <c r="R191" s="14">
        <v>1839110</v>
      </c>
      <c r="S191" s="14">
        <v>81.25</v>
      </c>
      <c r="T191" s="14"/>
      <c r="U191" s="14">
        <v>7200</v>
      </c>
      <c r="V191" s="14"/>
      <c r="W191" s="14"/>
      <c r="X191" s="2">
        <f t="shared" si="7"/>
        <v>19429155.899999995</v>
      </c>
      <c r="Y191" s="14">
        <v>144001.22</v>
      </c>
      <c r="Z191" s="14"/>
      <c r="AA191" s="14">
        <v>218374</v>
      </c>
      <c r="AB191" s="14"/>
      <c r="AC191" s="14">
        <v>530994.04</v>
      </c>
      <c r="AD191" s="14"/>
      <c r="AE191" s="14"/>
      <c r="AF191" s="14"/>
      <c r="AG191" s="14"/>
      <c r="AH191" s="14"/>
      <c r="AI191" s="14"/>
      <c r="AJ191" s="14"/>
      <c r="AK191" s="14"/>
      <c r="AL191" s="48">
        <f t="shared" si="8"/>
        <v>893369.26</v>
      </c>
      <c r="AM191" s="22">
        <v>53</v>
      </c>
      <c r="AN191" s="14">
        <v>2936</v>
      </c>
      <c r="AO191" s="14">
        <v>-29174.99</v>
      </c>
      <c r="AP191" s="14"/>
      <c r="AQ191" s="14">
        <v>-19336.62</v>
      </c>
      <c r="AR191" s="44">
        <v>1.5</v>
      </c>
      <c r="AU191" s="46"/>
      <c r="AV191" s="46"/>
    </row>
    <row r="192" spans="1:48" x14ac:dyDescent="0.25">
      <c r="A192" s="12">
        <v>5713</v>
      </c>
      <c r="B192" s="13" t="s">
        <v>259</v>
      </c>
      <c r="C192" s="14">
        <v>8355412.8300000001</v>
      </c>
      <c r="D192" s="14">
        <v>4244564.74</v>
      </c>
      <c r="E192" s="14"/>
      <c r="F192" s="14"/>
      <c r="G192" s="14">
        <v>80445.600000000006</v>
      </c>
      <c r="H192" s="14">
        <v>2850.75</v>
      </c>
      <c r="I192" s="14">
        <v>285356.87</v>
      </c>
      <c r="J192" s="14">
        <v>111526.67</v>
      </c>
      <c r="K192" s="14">
        <v>7287.5</v>
      </c>
      <c r="L192" s="14">
        <v>694014.55</v>
      </c>
      <c r="M192" s="3">
        <f t="shared" si="6"/>
        <v>13781459.51</v>
      </c>
      <c r="N192" s="14">
        <v>26999.9</v>
      </c>
      <c r="O192" s="14">
        <v>193288.3</v>
      </c>
      <c r="P192" s="14">
        <v>577861.94999999995</v>
      </c>
      <c r="Q192" s="14">
        <v>15264.49</v>
      </c>
      <c r="R192" s="14">
        <v>507739.55</v>
      </c>
      <c r="S192" s="14">
        <v>34.5</v>
      </c>
      <c r="T192" s="14"/>
      <c r="U192" s="14">
        <v>11500</v>
      </c>
      <c r="V192" s="14"/>
      <c r="W192" s="14"/>
      <c r="X192" s="2">
        <f t="shared" si="7"/>
        <v>15114148.200000001</v>
      </c>
      <c r="Y192" s="14">
        <v>93520</v>
      </c>
      <c r="Z192" s="14"/>
      <c r="AA192" s="14">
        <v>371408.62</v>
      </c>
      <c r="AB192" s="14"/>
      <c r="AC192" s="14">
        <v>209915.66</v>
      </c>
      <c r="AD192" s="14"/>
      <c r="AE192" s="14"/>
      <c r="AF192" s="14"/>
      <c r="AG192" s="14"/>
      <c r="AH192" s="14">
        <v>77354.95</v>
      </c>
      <c r="AI192" s="14"/>
      <c r="AJ192" s="14"/>
      <c r="AK192" s="14"/>
      <c r="AL192" s="48">
        <f t="shared" si="8"/>
        <v>752199.23</v>
      </c>
      <c r="AM192" s="22">
        <v>53</v>
      </c>
      <c r="AN192" s="14">
        <v>2044</v>
      </c>
      <c r="AO192" s="14">
        <v>-18506.38</v>
      </c>
      <c r="AP192" s="14"/>
      <c r="AQ192" s="14">
        <v>-33641.68</v>
      </c>
      <c r="AR192" s="44">
        <v>1</v>
      </c>
      <c r="AU192" s="46"/>
      <c r="AV192" s="46"/>
    </row>
    <row r="193" spans="1:48" x14ac:dyDescent="0.25">
      <c r="A193" s="12">
        <v>5714</v>
      </c>
      <c r="B193" s="13" t="s">
        <v>260</v>
      </c>
      <c r="C193" s="14">
        <v>3714830.01</v>
      </c>
      <c r="D193" s="14">
        <v>439704.29</v>
      </c>
      <c r="E193" s="14"/>
      <c r="F193" s="14"/>
      <c r="G193" s="14">
        <v>251825.45</v>
      </c>
      <c r="H193" s="14">
        <v>1019.55</v>
      </c>
      <c r="I193" s="14">
        <v>105376.32000000001</v>
      </c>
      <c r="J193" s="14">
        <v>58849.68</v>
      </c>
      <c r="K193" s="14">
        <v>3910.5</v>
      </c>
      <c r="L193" s="14">
        <v>253427.35</v>
      </c>
      <c r="M193" s="3">
        <f t="shared" si="6"/>
        <v>4828943.1499999994</v>
      </c>
      <c r="N193" s="14">
        <v>96901.1</v>
      </c>
      <c r="O193" s="14"/>
      <c r="P193" s="14">
        <v>221501.4</v>
      </c>
      <c r="Q193" s="14"/>
      <c r="R193" s="14">
        <v>67539.100000000006</v>
      </c>
      <c r="S193" s="14">
        <v>62.5</v>
      </c>
      <c r="T193" s="14">
        <v>300</v>
      </c>
      <c r="U193" s="14">
        <v>4200</v>
      </c>
      <c r="V193" s="14"/>
      <c r="W193" s="14"/>
      <c r="X193" s="2">
        <f t="shared" si="7"/>
        <v>5219447.2499999991</v>
      </c>
      <c r="Y193" s="14">
        <v>1717</v>
      </c>
      <c r="Z193" s="14"/>
      <c r="AA193" s="14">
        <v>81973.100000000006</v>
      </c>
      <c r="AB193" s="14"/>
      <c r="AC193" s="14">
        <v>95764.15</v>
      </c>
      <c r="AD193" s="14">
        <v>547.5</v>
      </c>
      <c r="AE193" s="14"/>
      <c r="AF193" s="14"/>
      <c r="AG193" s="14">
        <v>2840</v>
      </c>
      <c r="AH193" s="14">
        <v>29647.4</v>
      </c>
      <c r="AI193" s="14"/>
      <c r="AJ193" s="14"/>
      <c r="AK193" s="14"/>
      <c r="AL193" s="48">
        <f t="shared" si="8"/>
        <v>212489.15</v>
      </c>
      <c r="AM193" s="22">
        <v>64</v>
      </c>
      <c r="AN193" s="14">
        <v>1141</v>
      </c>
      <c r="AO193" s="14">
        <v>-27301.22</v>
      </c>
      <c r="AP193" s="14"/>
      <c r="AQ193" s="14">
        <v>-2246.0300000000002</v>
      </c>
      <c r="AR193" s="44">
        <v>1</v>
      </c>
      <c r="AU193" s="46"/>
      <c r="AV193" s="46"/>
    </row>
    <row r="194" spans="1:48" x14ac:dyDescent="0.25">
      <c r="A194" s="12">
        <v>5715</v>
      </c>
      <c r="B194" s="13" t="s">
        <v>261</v>
      </c>
      <c r="C194" s="14">
        <v>3051086.88</v>
      </c>
      <c r="D194" s="14">
        <v>573324.19999999995</v>
      </c>
      <c r="E194" s="14"/>
      <c r="F194" s="14"/>
      <c r="G194" s="14">
        <v>30301.15</v>
      </c>
      <c r="H194" s="14">
        <v>404.7</v>
      </c>
      <c r="I194" s="14">
        <v>-45333.1</v>
      </c>
      <c r="J194" s="14">
        <v>33636.03</v>
      </c>
      <c r="K194" s="14">
        <v>3121</v>
      </c>
      <c r="L194" s="14">
        <v>230093.3</v>
      </c>
      <c r="M194" s="3">
        <f t="shared" si="6"/>
        <v>3876634.1599999997</v>
      </c>
      <c r="N194" s="14">
        <v>53425.599999999999</v>
      </c>
      <c r="O194" s="14">
        <v>181233.9</v>
      </c>
      <c r="P194" s="14">
        <v>252087</v>
      </c>
      <c r="Q194" s="14">
        <v>6239.79</v>
      </c>
      <c r="R194" s="14">
        <v>149350.39999999999</v>
      </c>
      <c r="S194" s="14"/>
      <c r="T194" s="14"/>
      <c r="U194" s="14">
        <v>5750</v>
      </c>
      <c r="V194" s="14"/>
      <c r="W194" s="14"/>
      <c r="X194" s="2">
        <f t="shared" si="7"/>
        <v>4524720.8500000006</v>
      </c>
      <c r="Y194" s="14">
        <v>77908.2</v>
      </c>
      <c r="Z194" s="14"/>
      <c r="AA194" s="14">
        <v>5643.15</v>
      </c>
      <c r="AB194" s="14"/>
      <c r="AC194" s="14">
        <v>100602.25</v>
      </c>
      <c r="AD194" s="14">
        <v>72111.199999999997</v>
      </c>
      <c r="AE194" s="14"/>
      <c r="AF194" s="14"/>
      <c r="AG194" s="14">
        <v>5899</v>
      </c>
      <c r="AH194" s="14">
        <v>62813.23</v>
      </c>
      <c r="AI194" s="14"/>
      <c r="AJ194" s="14"/>
      <c r="AK194" s="14"/>
      <c r="AL194" s="48">
        <f t="shared" si="8"/>
        <v>324977.02999999997</v>
      </c>
      <c r="AM194" s="22">
        <v>66</v>
      </c>
      <c r="AN194" s="14">
        <v>998</v>
      </c>
      <c r="AO194" s="14">
        <v>-33853.08</v>
      </c>
      <c r="AP194" s="14"/>
      <c r="AQ194" s="14">
        <v>-344.94</v>
      </c>
      <c r="AR194" s="44">
        <v>1</v>
      </c>
      <c r="AU194" s="46"/>
      <c r="AV194" s="46"/>
    </row>
    <row r="195" spans="1:48" x14ac:dyDescent="0.25">
      <c r="A195" s="12">
        <v>5716</v>
      </c>
      <c r="B195" s="13" t="s">
        <v>262</v>
      </c>
      <c r="C195" s="14">
        <v>3326147.61</v>
      </c>
      <c r="D195" s="14">
        <v>367693.89</v>
      </c>
      <c r="E195" s="14"/>
      <c r="F195" s="14"/>
      <c r="G195" s="14">
        <v>2988521.9</v>
      </c>
      <c r="H195" s="14">
        <v>398554.2</v>
      </c>
      <c r="I195" s="14">
        <v>23212.9</v>
      </c>
      <c r="J195" s="14">
        <v>-103772.8</v>
      </c>
      <c r="K195" s="14">
        <v>118994.5</v>
      </c>
      <c r="L195" s="14">
        <v>534646.75</v>
      </c>
      <c r="M195" s="3">
        <f t="shared" ref="M195:M255" si="9">SUM(C195:L195)</f>
        <v>7653998.9500000011</v>
      </c>
      <c r="N195" s="14">
        <v>624361.69999999995</v>
      </c>
      <c r="O195" s="14">
        <v>120673.8</v>
      </c>
      <c r="P195" s="14">
        <v>192841.60000000001</v>
      </c>
      <c r="Q195" s="14">
        <v>2914.55</v>
      </c>
      <c r="R195" s="14">
        <v>68183.899999999994</v>
      </c>
      <c r="S195" s="14">
        <v>93.75</v>
      </c>
      <c r="T195" s="14"/>
      <c r="U195" s="14">
        <v>7250</v>
      </c>
      <c r="V195" s="14"/>
      <c r="W195" s="14"/>
      <c r="X195" s="2">
        <f t="shared" ref="X195:X255" si="10">SUM(M195:W195)</f>
        <v>8670318.2500000019</v>
      </c>
      <c r="Y195" s="14">
        <v>97789.07</v>
      </c>
      <c r="Z195" s="14"/>
      <c r="AA195" s="14">
        <v>240647.73</v>
      </c>
      <c r="AB195" s="14"/>
      <c r="AC195" s="14">
        <v>104946.57</v>
      </c>
      <c r="AD195" s="14"/>
      <c r="AE195" s="14"/>
      <c r="AF195" s="14"/>
      <c r="AG195" s="14"/>
      <c r="AH195" s="14">
        <v>57307.5</v>
      </c>
      <c r="AI195" s="14"/>
      <c r="AJ195" s="14"/>
      <c r="AK195" s="14"/>
      <c r="AL195" s="48">
        <f t="shared" ref="AL195:AL255" si="11">SUM(Y195:AK195)</f>
        <v>500690.87000000005</v>
      </c>
      <c r="AM195" s="22">
        <v>61</v>
      </c>
      <c r="AN195" s="14">
        <v>1469</v>
      </c>
      <c r="AO195" s="14">
        <v>-69897.03</v>
      </c>
      <c r="AP195" s="14"/>
      <c r="AQ195" s="14">
        <v>-1024.96</v>
      </c>
      <c r="AR195" s="44">
        <v>1</v>
      </c>
      <c r="AU195" s="46"/>
      <c r="AV195" s="46"/>
    </row>
    <row r="196" spans="1:48" x14ac:dyDescent="0.25">
      <c r="A196" s="12">
        <v>5717</v>
      </c>
      <c r="B196" s="13" t="s">
        <v>263</v>
      </c>
      <c r="C196" s="14">
        <v>14462787.529999999</v>
      </c>
      <c r="D196" s="14">
        <v>3276980.16</v>
      </c>
      <c r="E196" s="14"/>
      <c r="F196" s="14"/>
      <c r="G196" s="14">
        <v>306253.05</v>
      </c>
      <c r="H196" s="14">
        <v>5843.3</v>
      </c>
      <c r="I196" s="14">
        <v>861800.79</v>
      </c>
      <c r="J196" s="14">
        <v>-316842.55</v>
      </c>
      <c r="K196" s="14">
        <v>41621</v>
      </c>
      <c r="L196" s="14">
        <v>1137322.8</v>
      </c>
      <c r="M196" s="3">
        <f t="shared" si="9"/>
        <v>19775766.079999998</v>
      </c>
      <c r="N196" s="14">
        <v>194155.35</v>
      </c>
      <c r="O196" s="14">
        <v>88501.6</v>
      </c>
      <c r="P196" s="14">
        <v>1029960.8</v>
      </c>
      <c r="Q196" s="14">
        <v>18383.62</v>
      </c>
      <c r="R196" s="14">
        <v>1149461.8999999999</v>
      </c>
      <c r="S196" s="14">
        <v>62.5</v>
      </c>
      <c r="T196" s="14">
        <v>1200</v>
      </c>
      <c r="U196" s="14">
        <v>17080</v>
      </c>
      <c r="V196" s="14"/>
      <c r="W196" s="14"/>
      <c r="X196" s="2">
        <f t="shared" si="10"/>
        <v>22274571.850000001</v>
      </c>
      <c r="Y196" s="14">
        <v>65121.75</v>
      </c>
      <c r="Z196" s="14"/>
      <c r="AA196" s="14">
        <v>209007.35</v>
      </c>
      <c r="AB196" s="14"/>
      <c r="AC196" s="14">
        <v>478426.81</v>
      </c>
      <c r="AD196" s="14"/>
      <c r="AE196" s="14"/>
      <c r="AF196" s="14"/>
      <c r="AG196" s="14">
        <v>3546</v>
      </c>
      <c r="AH196" s="14"/>
      <c r="AI196" s="14"/>
      <c r="AJ196" s="14"/>
      <c r="AK196" s="14"/>
      <c r="AL196" s="48">
        <f t="shared" si="11"/>
        <v>756101.90999999992</v>
      </c>
      <c r="AM196" s="22">
        <v>57</v>
      </c>
      <c r="AN196" s="14">
        <v>3372</v>
      </c>
      <c r="AO196" s="14">
        <v>-48782.879999999997</v>
      </c>
      <c r="AP196" s="14"/>
      <c r="AQ196" s="14">
        <v>-46412.639999999999</v>
      </c>
      <c r="AR196" s="44">
        <v>1</v>
      </c>
      <c r="AU196" s="46"/>
      <c r="AV196" s="46"/>
    </row>
    <row r="197" spans="1:48" x14ac:dyDescent="0.25">
      <c r="A197" s="12">
        <v>5718</v>
      </c>
      <c r="B197" s="13" t="s">
        <v>264</v>
      </c>
      <c r="C197" s="14">
        <v>5974118.7599999998</v>
      </c>
      <c r="D197" s="14">
        <v>1076867.82</v>
      </c>
      <c r="E197" s="14"/>
      <c r="F197" s="14"/>
      <c r="G197" s="14">
        <v>297793.95</v>
      </c>
      <c r="H197" s="14">
        <v>941.1</v>
      </c>
      <c r="I197" s="14">
        <v>217379.85</v>
      </c>
      <c r="J197" s="14">
        <v>73227.37</v>
      </c>
      <c r="K197" s="14">
        <v>29391</v>
      </c>
      <c r="L197" s="14">
        <v>562800.80000000005</v>
      </c>
      <c r="M197" s="3">
        <f t="shared" si="9"/>
        <v>8232520.6499999994</v>
      </c>
      <c r="N197" s="14">
        <v>484928.65</v>
      </c>
      <c r="O197" s="14">
        <v>189833.8</v>
      </c>
      <c r="P197" s="14">
        <v>338151</v>
      </c>
      <c r="Q197" s="14">
        <v>-7365.14</v>
      </c>
      <c r="R197" s="14">
        <v>320858.59999999998</v>
      </c>
      <c r="S197" s="14">
        <v>31.3</v>
      </c>
      <c r="T197" s="14"/>
      <c r="U197" s="14">
        <v>6500</v>
      </c>
      <c r="V197" s="14"/>
      <c r="W197" s="14"/>
      <c r="X197" s="2">
        <f t="shared" si="10"/>
        <v>9565458.8599999994</v>
      </c>
      <c r="Y197" s="14">
        <v>26119.8</v>
      </c>
      <c r="Z197" s="14"/>
      <c r="AA197" s="14">
        <v>194998.45</v>
      </c>
      <c r="AB197" s="14"/>
      <c r="AC197" s="14">
        <v>144847.4</v>
      </c>
      <c r="AD197" s="14">
        <v>58044</v>
      </c>
      <c r="AE197" s="14"/>
      <c r="AF197" s="14"/>
      <c r="AG197" s="14">
        <v>19493.099999999999</v>
      </c>
      <c r="AH197" s="14"/>
      <c r="AI197" s="14"/>
      <c r="AJ197" s="14"/>
      <c r="AK197" s="14"/>
      <c r="AL197" s="48">
        <f t="shared" si="11"/>
        <v>443502.75</v>
      </c>
      <c r="AM197" s="22">
        <v>55</v>
      </c>
      <c r="AN197" s="14">
        <v>1890</v>
      </c>
      <c r="AO197" s="14">
        <v>-105494.37</v>
      </c>
      <c r="AP197" s="14"/>
      <c r="AQ197" s="14">
        <v>-3650.46</v>
      </c>
      <c r="AR197" s="44">
        <v>1</v>
      </c>
      <c r="AU197" s="46"/>
      <c r="AV197" s="46"/>
    </row>
    <row r="198" spans="1:48" x14ac:dyDescent="0.25">
      <c r="A198" s="12">
        <v>5719</v>
      </c>
      <c r="B198" s="13" t="s">
        <v>265</v>
      </c>
      <c r="C198" s="14">
        <v>3711499.69</v>
      </c>
      <c r="D198" s="14">
        <v>1142362.1299999999</v>
      </c>
      <c r="E198" s="14"/>
      <c r="F198" s="14"/>
      <c r="G198" s="14">
        <v>79387.100000000006</v>
      </c>
      <c r="H198" s="14">
        <v>2037.2</v>
      </c>
      <c r="I198" s="14">
        <v>282209.09999999998</v>
      </c>
      <c r="J198" s="14">
        <v>-55044.3</v>
      </c>
      <c r="K198" s="14">
        <v>8158</v>
      </c>
      <c r="L198" s="14">
        <v>208203.6</v>
      </c>
      <c r="M198" s="3">
        <f t="shared" si="9"/>
        <v>5378812.5199999996</v>
      </c>
      <c r="N198" s="14">
        <v>74054.5</v>
      </c>
      <c r="O198" s="14">
        <v>13528</v>
      </c>
      <c r="P198" s="14">
        <v>417146.8</v>
      </c>
      <c r="Q198" s="14">
        <v>18796.55</v>
      </c>
      <c r="R198" s="14">
        <v>205645.85</v>
      </c>
      <c r="S198" s="14">
        <v>31.3</v>
      </c>
      <c r="T198" s="14"/>
      <c r="U198" s="14">
        <v>12300</v>
      </c>
      <c r="V198" s="14"/>
      <c r="W198" s="14"/>
      <c r="X198" s="2">
        <f t="shared" si="10"/>
        <v>6120315.5199999986</v>
      </c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48">
        <f t="shared" si="11"/>
        <v>0</v>
      </c>
      <c r="AM198" s="22">
        <v>57</v>
      </c>
      <c r="AN198" s="14">
        <v>1204</v>
      </c>
      <c r="AO198" s="14">
        <v>-34525.86</v>
      </c>
      <c r="AP198" s="14"/>
      <c r="AQ198" s="14">
        <v>-546.22</v>
      </c>
      <c r="AR198" s="44">
        <v>0.6</v>
      </c>
      <c r="AU198" s="46"/>
      <c r="AV198" s="46"/>
    </row>
    <row r="199" spans="1:48" x14ac:dyDescent="0.25">
      <c r="A199" s="12">
        <v>5720</v>
      </c>
      <c r="B199" s="13" t="s">
        <v>266</v>
      </c>
      <c r="C199" s="14">
        <v>3615575.76</v>
      </c>
      <c r="D199" s="14">
        <v>692679.83</v>
      </c>
      <c r="E199" s="14"/>
      <c r="F199" s="14"/>
      <c r="G199" s="14">
        <v>109452.15</v>
      </c>
      <c r="H199" s="14">
        <v>1178.25</v>
      </c>
      <c r="I199" s="14">
        <v>336253.9</v>
      </c>
      <c r="J199" s="14">
        <v>-95717.23</v>
      </c>
      <c r="K199" s="14"/>
      <c r="L199" s="14">
        <v>248870.8</v>
      </c>
      <c r="M199" s="3">
        <f t="shared" si="9"/>
        <v>4908293.46</v>
      </c>
      <c r="N199" s="14">
        <v>28321.7</v>
      </c>
      <c r="O199" s="14">
        <v>2525.9</v>
      </c>
      <c r="P199" s="14">
        <v>295092.84999999998</v>
      </c>
      <c r="Q199" s="14">
        <v>23837.49</v>
      </c>
      <c r="R199" s="14">
        <v>501424.75</v>
      </c>
      <c r="S199" s="14"/>
      <c r="T199" s="14"/>
      <c r="U199" s="14">
        <v>4760</v>
      </c>
      <c r="V199" s="14"/>
      <c r="W199" s="14"/>
      <c r="X199" s="2">
        <f t="shared" si="10"/>
        <v>5764256.1500000004</v>
      </c>
      <c r="Y199" s="14">
        <v>11070.6</v>
      </c>
      <c r="Z199" s="14"/>
      <c r="AA199" s="14">
        <v>114701.7</v>
      </c>
      <c r="AB199" s="14"/>
      <c r="AC199" s="14">
        <v>49484.05</v>
      </c>
      <c r="AD199" s="14">
        <v>8661.7999999999993</v>
      </c>
      <c r="AE199" s="14"/>
      <c r="AF199" s="14"/>
      <c r="AG199" s="14">
        <v>2715.35</v>
      </c>
      <c r="AH199" s="14"/>
      <c r="AI199" s="14"/>
      <c r="AJ199" s="14"/>
      <c r="AK199" s="14"/>
      <c r="AL199" s="48">
        <f t="shared" si="11"/>
        <v>186633.5</v>
      </c>
      <c r="AM199" s="22">
        <v>61</v>
      </c>
      <c r="AN199" s="14">
        <v>971</v>
      </c>
      <c r="AO199" s="14">
        <v>-14092.54</v>
      </c>
      <c r="AP199" s="14"/>
      <c r="AQ199" s="14">
        <v>-2380.9299999999998</v>
      </c>
      <c r="AR199" s="44">
        <v>0.9</v>
      </c>
      <c r="AU199" s="46"/>
      <c r="AV199" s="46"/>
    </row>
    <row r="200" spans="1:48" x14ac:dyDescent="0.25">
      <c r="A200" s="12">
        <v>5721</v>
      </c>
      <c r="B200" s="13" t="s">
        <v>267</v>
      </c>
      <c r="C200" s="14">
        <v>23256428.579999998</v>
      </c>
      <c r="D200" s="14">
        <v>4609239.5199999996</v>
      </c>
      <c r="E200" s="14"/>
      <c r="F200" s="14"/>
      <c r="G200" s="14">
        <v>2741582.65</v>
      </c>
      <c r="H200" s="14">
        <v>411752.2</v>
      </c>
      <c r="I200" s="14">
        <v>906004.3</v>
      </c>
      <c r="J200" s="14">
        <v>1115128.24</v>
      </c>
      <c r="K200" s="14">
        <v>182424</v>
      </c>
      <c r="L200" s="14">
        <v>2458108.35</v>
      </c>
      <c r="M200" s="3">
        <f t="shared" si="9"/>
        <v>35680667.839999996</v>
      </c>
      <c r="N200" s="14">
        <v>2016933</v>
      </c>
      <c r="O200" s="14">
        <v>830229.2</v>
      </c>
      <c r="P200" s="14">
        <v>1602449.7</v>
      </c>
      <c r="Q200" s="14">
        <v>226335.33</v>
      </c>
      <c r="R200" s="14">
        <f>4971625-3790625</f>
        <v>1181000</v>
      </c>
      <c r="S200" s="14">
        <v>912.5</v>
      </c>
      <c r="T200" s="14"/>
      <c r="U200" s="14">
        <v>55300</v>
      </c>
      <c r="V200" s="14"/>
      <c r="W200" s="14"/>
      <c r="X200" s="2">
        <f t="shared" si="10"/>
        <v>41593827.57</v>
      </c>
      <c r="Y200" s="14">
        <v>889803.15</v>
      </c>
      <c r="Z200" s="14"/>
      <c r="AA200" s="14">
        <v>928560</v>
      </c>
      <c r="AB200" s="14"/>
      <c r="AC200" s="14">
        <v>1405303.7</v>
      </c>
      <c r="AD200" s="14">
        <v>356749.7</v>
      </c>
      <c r="AE200" s="14"/>
      <c r="AF200" s="14"/>
      <c r="AG200" s="14">
        <v>47184</v>
      </c>
      <c r="AH200" s="14">
        <v>381885.47</v>
      </c>
      <c r="AI200" s="14">
        <v>218324.57</v>
      </c>
      <c r="AJ200" s="14">
        <v>381849.06</v>
      </c>
      <c r="AK200" s="14">
        <v>272846.86</v>
      </c>
      <c r="AL200" s="48">
        <f t="shared" si="11"/>
        <v>4882506.51</v>
      </c>
      <c r="AM200" s="22">
        <v>62.5</v>
      </c>
      <c r="AN200" s="14">
        <v>12663</v>
      </c>
      <c r="AO200" s="14">
        <v>-772943.48</v>
      </c>
      <c r="AP200" s="14"/>
      <c r="AQ200" s="14">
        <v>-124666.96</v>
      </c>
      <c r="AR200" s="44">
        <v>1.1000000000000001</v>
      </c>
      <c r="AU200" s="46"/>
      <c r="AV200" s="46"/>
    </row>
    <row r="201" spans="1:48" x14ac:dyDescent="0.25">
      <c r="A201" s="12">
        <v>5722</v>
      </c>
      <c r="B201" s="13" t="s">
        <v>268</v>
      </c>
      <c r="C201" s="14">
        <v>888420.77</v>
      </c>
      <c r="D201" s="14">
        <v>155982.71</v>
      </c>
      <c r="E201" s="14"/>
      <c r="F201" s="14"/>
      <c r="G201" s="14">
        <f>257157.05-(241946)/2</f>
        <v>136184.04999999999</v>
      </c>
      <c r="H201" s="14">
        <v>-262.05</v>
      </c>
      <c r="I201" s="14"/>
      <c r="J201" s="14">
        <v>40719.78</v>
      </c>
      <c r="K201" s="14">
        <v>5655</v>
      </c>
      <c r="L201" s="14">
        <v>79290.399999999994</v>
      </c>
      <c r="M201" s="3">
        <f t="shared" si="9"/>
        <v>1305990.6599999999</v>
      </c>
      <c r="N201" s="14">
        <v>15153.55</v>
      </c>
      <c r="O201" s="14"/>
      <c r="P201" s="14">
        <v>15705.1</v>
      </c>
      <c r="Q201" s="14"/>
      <c r="R201" s="14">
        <v>16567.599999999999</v>
      </c>
      <c r="S201" s="14">
        <v>65.650000000000006</v>
      </c>
      <c r="T201" s="14"/>
      <c r="U201" s="14">
        <v>1475</v>
      </c>
      <c r="V201" s="14"/>
      <c r="W201" s="14"/>
      <c r="X201" s="2">
        <f t="shared" si="10"/>
        <v>1354957.56</v>
      </c>
      <c r="Y201" s="14">
        <v>27000</v>
      </c>
      <c r="Z201" s="14"/>
      <c r="AA201" s="14">
        <v>57051.4</v>
      </c>
      <c r="AB201" s="14"/>
      <c r="AC201" s="14">
        <v>24775.25</v>
      </c>
      <c r="AD201" s="14"/>
      <c r="AE201" s="14"/>
      <c r="AF201" s="14"/>
      <c r="AG201" s="14">
        <v>1049.4000000000001</v>
      </c>
      <c r="AH201" s="14">
        <v>10742.25</v>
      </c>
      <c r="AI201" s="14"/>
      <c r="AJ201" s="14"/>
      <c r="AK201" s="14"/>
      <c r="AL201" s="48">
        <f t="shared" si="11"/>
        <v>120618.29999999999</v>
      </c>
      <c r="AM201" s="22">
        <v>57</v>
      </c>
      <c r="AN201" s="14">
        <v>380</v>
      </c>
      <c r="AO201" s="14">
        <v>-774.28</v>
      </c>
      <c r="AP201" s="14"/>
      <c r="AQ201" s="14">
        <v>-584.04</v>
      </c>
      <c r="AR201" s="44">
        <v>1</v>
      </c>
      <c r="AU201" s="46"/>
      <c r="AV201" s="46"/>
    </row>
    <row r="202" spans="1:48" x14ac:dyDescent="0.25">
      <c r="A202" s="12">
        <v>5723</v>
      </c>
      <c r="B202" s="13" t="s">
        <v>269</v>
      </c>
      <c r="C202" s="14">
        <v>9343267.5299999993</v>
      </c>
      <c r="D202" s="14">
        <v>1796688.27</v>
      </c>
      <c r="E202" s="14"/>
      <c r="F202" s="14"/>
      <c r="G202" s="14">
        <v>153776.75</v>
      </c>
      <c r="H202" s="14">
        <v>6866.2</v>
      </c>
      <c r="I202" s="14">
        <v>989958.33</v>
      </c>
      <c r="J202" s="14">
        <v>34568.68</v>
      </c>
      <c r="K202" s="14">
        <v>31225</v>
      </c>
      <c r="L202" s="14">
        <v>704062.65</v>
      </c>
      <c r="M202" s="3">
        <f t="shared" si="9"/>
        <v>13060413.409999998</v>
      </c>
      <c r="N202" s="14">
        <v>218003.45</v>
      </c>
      <c r="O202" s="14">
        <v>71455.600000000006</v>
      </c>
      <c r="P202" s="14">
        <v>423476.45</v>
      </c>
      <c r="Q202" s="14">
        <v>17873.32</v>
      </c>
      <c r="R202" s="14">
        <v>459637.05</v>
      </c>
      <c r="S202" s="14"/>
      <c r="T202" s="14"/>
      <c r="U202" s="14">
        <v>6575</v>
      </c>
      <c r="V202" s="14"/>
      <c r="W202" s="14"/>
      <c r="X202" s="2">
        <f t="shared" si="10"/>
        <v>14257434.279999997</v>
      </c>
      <c r="Y202" s="14">
        <v>151333</v>
      </c>
      <c r="Z202" s="14"/>
      <c r="AA202" s="14">
        <v>77085.600000000006</v>
      </c>
      <c r="AB202" s="14"/>
      <c r="AC202" s="14">
        <v>201851.15</v>
      </c>
      <c r="AD202" s="14"/>
      <c r="AE202" s="14"/>
      <c r="AF202" s="14"/>
      <c r="AG202" s="14">
        <v>10957.8</v>
      </c>
      <c r="AH202" s="14">
        <v>75869.850000000006</v>
      </c>
      <c r="AI202" s="14"/>
      <c r="AJ202" s="14"/>
      <c r="AK202" s="14"/>
      <c r="AL202" s="48">
        <f>SUM(Y202:AK202)</f>
        <v>517097.4</v>
      </c>
      <c r="AM202" s="22">
        <v>49</v>
      </c>
      <c r="AN202" s="14">
        <v>1778</v>
      </c>
      <c r="AO202" s="14">
        <v>-48592.93</v>
      </c>
      <c r="AP202" s="14"/>
      <c r="AQ202" s="14">
        <v>-3597.25</v>
      </c>
      <c r="AR202" s="44">
        <v>1</v>
      </c>
      <c r="AU202" s="46"/>
      <c r="AV202" s="46"/>
    </row>
    <row r="203" spans="1:48" x14ac:dyDescent="0.25">
      <c r="A203" s="12">
        <v>5724</v>
      </c>
      <c r="B203" s="13" t="s">
        <v>74</v>
      </c>
      <c r="C203" s="14">
        <v>49616650.240000002</v>
      </c>
      <c r="D203" s="14">
        <v>7560668.79</v>
      </c>
      <c r="E203" s="14"/>
      <c r="F203" s="14"/>
      <c r="G203" s="14">
        <v>16540383.699999999</v>
      </c>
      <c r="H203" s="14">
        <v>411107.15</v>
      </c>
      <c r="I203" s="14">
        <v>1637468.06</v>
      </c>
      <c r="J203" s="14">
        <v>3382277.22</v>
      </c>
      <c r="K203" s="14">
        <v>656286.5</v>
      </c>
      <c r="L203" s="14">
        <v>5689456.5999999996</v>
      </c>
      <c r="M203" s="3">
        <f t="shared" si="9"/>
        <v>85494298.260000005</v>
      </c>
      <c r="N203" s="14">
        <v>4891000</v>
      </c>
      <c r="O203" s="14">
        <v>1582542.9</v>
      </c>
      <c r="P203" s="14">
        <v>2755875.4</v>
      </c>
      <c r="Q203" s="14">
        <v>320250.38</v>
      </c>
      <c r="R203" s="14">
        <v>1132300.6000000001</v>
      </c>
      <c r="S203" s="14">
        <v>2006.25</v>
      </c>
      <c r="T203" s="14"/>
      <c r="U203" s="14">
        <v>36012.25</v>
      </c>
      <c r="V203" s="14"/>
      <c r="W203" s="14"/>
      <c r="X203" s="2">
        <f t="shared" si="10"/>
        <v>96214286.040000007</v>
      </c>
      <c r="Y203" s="14">
        <v>419288.75</v>
      </c>
      <c r="Z203" s="14"/>
      <c r="AA203" s="14">
        <v>3564969.53</v>
      </c>
      <c r="AB203" s="14"/>
      <c r="AC203" s="14">
        <v>1891600.83</v>
      </c>
      <c r="AD203" s="14">
        <v>764523.65</v>
      </c>
      <c r="AE203" s="14"/>
      <c r="AF203" s="14"/>
      <c r="AG203" s="14">
        <v>133728</v>
      </c>
      <c r="AH203" s="14">
        <v>692585.7</v>
      </c>
      <c r="AI203" s="14">
        <v>791502.71</v>
      </c>
      <c r="AJ203" s="14">
        <v>470923.33</v>
      </c>
      <c r="AK203" s="14">
        <v>98955.67</v>
      </c>
      <c r="AL203" s="48">
        <f t="shared" si="11"/>
        <v>8828078.1699999999</v>
      </c>
      <c r="AM203" s="22">
        <v>61</v>
      </c>
      <c r="AN203" s="14">
        <v>19861</v>
      </c>
      <c r="AO203" s="14">
        <v>-521541.97</v>
      </c>
      <c r="AP203" s="14"/>
      <c r="AQ203" s="14">
        <v>-199767.08</v>
      </c>
      <c r="AR203" s="44">
        <v>1.3</v>
      </c>
      <c r="AU203" s="46"/>
      <c r="AV203" s="46"/>
    </row>
    <row r="204" spans="1:48" x14ac:dyDescent="0.25">
      <c r="A204" s="12">
        <v>5725</v>
      </c>
      <c r="B204" s="13" t="s">
        <v>75</v>
      </c>
      <c r="C204" s="14">
        <v>10778921.15</v>
      </c>
      <c r="D204" s="14">
        <v>2114739.52</v>
      </c>
      <c r="E204" s="14"/>
      <c r="F204" s="14"/>
      <c r="G204" s="14">
        <v>1117002.95</v>
      </c>
      <c r="H204" s="14">
        <v>6602.4</v>
      </c>
      <c r="I204" s="14">
        <v>522533.25</v>
      </c>
      <c r="J204" s="14">
        <v>38579.480000000003</v>
      </c>
      <c r="K204" s="14">
        <v>59405</v>
      </c>
      <c r="L204" s="14">
        <v>1495019.3</v>
      </c>
      <c r="M204" s="3">
        <f t="shared" si="9"/>
        <v>16132803.050000001</v>
      </c>
      <c r="N204" s="14">
        <v>996592</v>
      </c>
      <c r="O204" s="14">
        <v>26361.599999999999</v>
      </c>
      <c r="P204" s="14">
        <v>543925.94999999995</v>
      </c>
      <c r="Q204" s="14">
        <v>6125.99</v>
      </c>
      <c r="R204" s="14">
        <v>1205014.8</v>
      </c>
      <c r="S204" s="14">
        <v>218.75</v>
      </c>
      <c r="T204" s="14"/>
      <c r="U204" s="14">
        <v>16135</v>
      </c>
      <c r="V204" s="14"/>
      <c r="W204" s="14"/>
      <c r="X204" s="2">
        <f t="shared" si="10"/>
        <v>18927177.140000001</v>
      </c>
      <c r="Y204" s="14">
        <v>54235.64</v>
      </c>
      <c r="Z204" s="14"/>
      <c r="AA204" s="14">
        <v>332848.56</v>
      </c>
      <c r="AB204" s="14"/>
      <c r="AC204" s="14">
        <v>228119.21</v>
      </c>
      <c r="AD204" s="14"/>
      <c r="AE204" s="14"/>
      <c r="AF204" s="14"/>
      <c r="AG204" s="14">
        <v>48584.6</v>
      </c>
      <c r="AH204" s="14"/>
      <c r="AI204" s="14"/>
      <c r="AJ204" s="14"/>
      <c r="AK204" s="14"/>
      <c r="AL204" s="48">
        <f t="shared" si="11"/>
        <v>663788.01</v>
      </c>
      <c r="AM204" s="22">
        <v>56</v>
      </c>
      <c r="AN204" s="14">
        <v>3976</v>
      </c>
      <c r="AO204" s="14">
        <v>-55262.8</v>
      </c>
      <c r="AP204" s="14"/>
      <c r="AQ204" s="14">
        <v>-28530.21</v>
      </c>
      <c r="AR204" s="44">
        <v>1.4</v>
      </c>
      <c r="AU204" s="46"/>
      <c r="AV204" s="46"/>
    </row>
    <row r="205" spans="1:48" x14ac:dyDescent="0.25">
      <c r="A205" s="12">
        <v>5726</v>
      </c>
      <c r="B205" s="13" t="s">
        <v>353</v>
      </c>
      <c r="C205" s="14">
        <v>3043667.95</v>
      </c>
      <c r="D205" s="14">
        <v>628313.66</v>
      </c>
      <c r="E205" s="14"/>
      <c r="F205" s="14"/>
      <c r="G205" s="14">
        <v>7849.15</v>
      </c>
      <c r="H205" s="14">
        <v>20527.400000000001</v>
      </c>
      <c r="I205" s="14">
        <v>-6858.65</v>
      </c>
      <c r="J205" s="14">
        <v>31945.15</v>
      </c>
      <c r="K205" s="14">
        <v>4096.5</v>
      </c>
      <c r="L205" s="14">
        <v>221625.3</v>
      </c>
      <c r="M205" s="3">
        <f t="shared" si="9"/>
        <v>3951166.46</v>
      </c>
      <c r="N205" s="14">
        <v>22371.45</v>
      </c>
      <c r="O205" s="14">
        <v>14619</v>
      </c>
      <c r="P205" s="14">
        <v>204285.55</v>
      </c>
      <c r="Q205" s="14">
        <v>2844.02</v>
      </c>
      <c r="R205" s="14">
        <v>166791.29999999999</v>
      </c>
      <c r="S205" s="14"/>
      <c r="T205" s="14"/>
      <c r="U205" s="14">
        <v>8700</v>
      </c>
      <c r="V205" s="14"/>
      <c r="W205" s="14"/>
      <c r="X205" s="2">
        <f t="shared" si="10"/>
        <v>4370777.7799999993</v>
      </c>
      <c r="Y205" s="14">
        <v>89640</v>
      </c>
      <c r="Z205" s="14">
        <v>-10936</v>
      </c>
      <c r="AA205" s="14">
        <v>139020.9</v>
      </c>
      <c r="AB205" s="14"/>
      <c r="AC205" s="14">
        <v>81787.649999999994</v>
      </c>
      <c r="AD205" s="14">
        <v>77911.8</v>
      </c>
      <c r="AE205" s="14">
        <v>-6565</v>
      </c>
      <c r="AF205" s="14"/>
      <c r="AG205" s="14">
        <v>8329.75</v>
      </c>
      <c r="AH205" s="14"/>
      <c r="AI205" s="14"/>
      <c r="AJ205" s="14"/>
      <c r="AK205" s="14"/>
      <c r="AL205" s="48">
        <f t="shared" si="11"/>
        <v>379189.1</v>
      </c>
      <c r="AM205" s="22">
        <v>65</v>
      </c>
      <c r="AN205" s="14">
        <v>1104</v>
      </c>
      <c r="AO205" s="14">
        <v>-24530.09</v>
      </c>
      <c r="AP205" s="14"/>
      <c r="AQ205" s="14">
        <v>-1525.53</v>
      </c>
      <c r="AR205" s="44">
        <v>1</v>
      </c>
      <c r="AU205" s="46"/>
      <c r="AV205" s="46"/>
    </row>
    <row r="206" spans="1:48" x14ac:dyDescent="0.25">
      <c r="A206" s="12">
        <v>5727</v>
      </c>
      <c r="B206" s="13" t="s">
        <v>354</v>
      </c>
      <c r="C206" s="14">
        <v>4654163.45</v>
      </c>
      <c r="D206" s="14">
        <v>665017.89</v>
      </c>
      <c r="E206" s="14"/>
      <c r="F206" s="14"/>
      <c r="G206" s="14">
        <v>102157.95</v>
      </c>
      <c r="H206" s="14">
        <v>9091.35</v>
      </c>
      <c r="I206" s="14">
        <v>126541</v>
      </c>
      <c r="J206" s="14">
        <v>202857</v>
      </c>
      <c r="K206" s="14">
        <v>7141</v>
      </c>
      <c r="L206" s="14">
        <v>669668.9</v>
      </c>
      <c r="M206" s="3">
        <f t="shared" si="9"/>
        <v>6436638.54</v>
      </c>
      <c r="N206" s="14">
        <v>157271.15</v>
      </c>
      <c r="O206" s="14">
        <v>74954.2</v>
      </c>
      <c r="P206" s="14">
        <v>318398.55</v>
      </c>
      <c r="Q206" s="14">
        <v>32175.200000000001</v>
      </c>
      <c r="R206" s="14">
        <v>218126.2</v>
      </c>
      <c r="S206" s="14">
        <v>231.25</v>
      </c>
      <c r="T206" s="14"/>
      <c r="U206" s="14">
        <v>10825</v>
      </c>
      <c r="V206" s="14"/>
      <c r="W206" s="14"/>
      <c r="X206" s="2">
        <f t="shared" si="10"/>
        <v>7248620.0900000008</v>
      </c>
      <c r="Y206" s="14"/>
      <c r="Z206" s="14">
        <v>11476</v>
      </c>
      <c r="AA206" s="14">
        <v>309790.02</v>
      </c>
      <c r="AB206" s="14"/>
      <c r="AC206" s="14">
        <v>249613.05</v>
      </c>
      <c r="AD206" s="14">
        <v>11476</v>
      </c>
      <c r="AE206" s="14"/>
      <c r="AF206" s="14"/>
      <c r="AG206" s="14">
        <v>48300.35</v>
      </c>
      <c r="AH206" s="14"/>
      <c r="AI206" s="14"/>
      <c r="AJ206" s="14"/>
      <c r="AK206" s="14"/>
      <c r="AL206" s="48">
        <f t="shared" si="11"/>
        <v>630655.42000000004</v>
      </c>
      <c r="AM206" s="22">
        <v>66</v>
      </c>
      <c r="AN206" s="14">
        <v>2406</v>
      </c>
      <c r="AO206" s="14">
        <v>-147990.35999999999</v>
      </c>
      <c r="AP206" s="14"/>
      <c r="AQ206" s="14">
        <v>-218.69</v>
      </c>
      <c r="AR206" s="44">
        <v>1.5</v>
      </c>
      <c r="AU206" s="46"/>
      <c r="AV206" s="46"/>
    </row>
    <row r="207" spans="1:48" x14ac:dyDescent="0.25">
      <c r="A207" s="12">
        <v>5728</v>
      </c>
      <c r="B207" s="13" t="s">
        <v>355</v>
      </c>
      <c r="C207" s="14">
        <f>975893.06+(274107)/2</f>
        <v>1112946.56</v>
      </c>
      <c r="D207" s="14">
        <v>134359.07</v>
      </c>
      <c r="E207" s="14"/>
      <c r="F207" s="14"/>
      <c r="G207" s="14">
        <v>283832.75</v>
      </c>
      <c r="H207" s="14">
        <v>4871.1499999999996</v>
      </c>
      <c r="I207" s="14">
        <v>34060.9</v>
      </c>
      <c r="J207" s="14">
        <v>78418.33</v>
      </c>
      <c r="K207" s="14">
        <v>50366.5</v>
      </c>
      <c r="L207" s="14">
        <v>193759.9</v>
      </c>
      <c r="M207" s="3">
        <f t="shared" si="9"/>
        <v>1892615.16</v>
      </c>
      <c r="N207" s="14">
        <v>181412</v>
      </c>
      <c r="O207" s="14"/>
      <c r="P207" s="14">
        <v>61105</v>
      </c>
      <c r="Q207" s="14"/>
      <c r="R207" s="14">
        <v>136666.20000000001</v>
      </c>
      <c r="S207" s="14">
        <v>406.25</v>
      </c>
      <c r="T207" s="14">
        <v>600</v>
      </c>
      <c r="U207" s="14">
        <v>1475</v>
      </c>
      <c r="V207" s="14"/>
      <c r="W207" s="14"/>
      <c r="X207" s="2">
        <f t="shared" si="10"/>
        <v>2274279.6100000003</v>
      </c>
      <c r="Y207" s="14">
        <v>104678.2</v>
      </c>
      <c r="Z207" s="14"/>
      <c r="AA207" s="14">
        <v>87720.71</v>
      </c>
      <c r="AB207" s="14"/>
      <c r="AC207" s="14">
        <v>28233.3</v>
      </c>
      <c r="AD207" s="14"/>
      <c r="AE207" s="14"/>
      <c r="AF207" s="14"/>
      <c r="AG207" s="14"/>
      <c r="AH207" s="14">
        <v>55700.75</v>
      </c>
      <c r="AI207" s="14"/>
      <c r="AJ207" s="14"/>
      <c r="AK207" s="14"/>
      <c r="AL207" s="48">
        <f t="shared" si="11"/>
        <v>276332.95999999996</v>
      </c>
      <c r="AM207" s="22">
        <v>56</v>
      </c>
      <c r="AN207" s="14">
        <v>481</v>
      </c>
      <c r="AO207" s="14">
        <v>-8924.86</v>
      </c>
      <c r="AP207" s="14"/>
      <c r="AQ207" s="14">
        <v>-259.32</v>
      </c>
      <c r="AR207" s="44">
        <v>1</v>
      </c>
      <c r="AU207" s="46"/>
      <c r="AV207" s="46"/>
    </row>
    <row r="208" spans="1:48" x14ac:dyDescent="0.25">
      <c r="A208" s="12">
        <v>5729</v>
      </c>
      <c r="B208" s="13" t="s">
        <v>356</v>
      </c>
      <c r="C208" s="14">
        <v>6021186.7300000004</v>
      </c>
      <c r="D208" s="14">
        <v>1241959.8799999999</v>
      </c>
      <c r="E208" s="14"/>
      <c r="F208" s="14"/>
      <c r="G208" s="14">
        <v>411096.55</v>
      </c>
      <c r="H208" s="14">
        <v>257.05</v>
      </c>
      <c r="I208" s="14">
        <v>127592.9</v>
      </c>
      <c r="J208" s="14">
        <v>133762.49</v>
      </c>
      <c r="K208" s="14">
        <v>2973</v>
      </c>
      <c r="L208" s="14">
        <v>786333.4</v>
      </c>
      <c r="M208" s="3">
        <f t="shared" si="9"/>
        <v>8725162</v>
      </c>
      <c r="N208" s="14">
        <v>25348.799999999999</v>
      </c>
      <c r="O208" s="14"/>
      <c r="P208" s="14">
        <v>216006.7</v>
      </c>
      <c r="Q208" s="14">
        <v>9473.92</v>
      </c>
      <c r="R208" s="14">
        <v>333615.59999999998</v>
      </c>
      <c r="S208" s="14"/>
      <c r="T208" s="14"/>
      <c r="U208" s="14">
        <v>7240</v>
      </c>
      <c r="V208" s="14"/>
      <c r="W208" s="14"/>
      <c r="X208" s="2">
        <f t="shared" si="10"/>
        <v>9316847.0199999996</v>
      </c>
      <c r="Y208" s="14">
        <v>26054.65</v>
      </c>
      <c r="Z208" s="14"/>
      <c r="AA208" s="14"/>
      <c r="AB208" s="14">
        <v>87609.56</v>
      </c>
      <c r="AC208" s="14">
        <v>152295.15</v>
      </c>
      <c r="AD208" s="14"/>
      <c r="AE208" s="14"/>
      <c r="AF208" s="14"/>
      <c r="AG208" s="14">
        <v>971</v>
      </c>
      <c r="AH208" s="14"/>
      <c r="AI208" s="14"/>
      <c r="AJ208" s="14"/>
      <c r="AK208" s="14"/>
      <c r="AL208" s="48">
        <f t="shared" si="11"/>
        <v>266930.36</v>
      </c>
      <c r="AM208" s="22">
        <v>61</v>
      </c>
      <c r="AN208" s="14">
        <v>1448</v>
      </c>
      <c r="AO208" s="14">
        <v>-21485</v>
      </c>
      <c r="AP208" s="14"/>
      <c r="AQ208" s="14">
        <v>-6317.41</v>
      </c>
      <c r="AR208" s="44">
        <v>1.5</v>
      </c>
      <c r="AU208" s="46"/>
      <c r="AV208" s="46"/>
    </row>
    <row r="209" spans="1:48" x14ac:dyDescent="0.25">
      <c r="A209" s="12">
        <v>5730</v>
      </c>
      <c r="B209" s="13" t="s">
        <v>357</v>
      </c>
      <c r="C209" s="14">
        <v>5507661.7300000004</v>
      </c>
      <c r="D209" s="14">
        <v>1923686.75</v>
      </c>
      <c r="E209" s="14"/>
      <c r="F209" s="14"/>
      <c r="G209" s="14">
        <v>1705.8</v>
      </c>
      <c r="H209" s="14">
        <v>1182.25</v>
      </c>
      <c r="I209" s="14">
        <v>-20448</v>
      </c>
      <c r="J209" s="14">
        <v>115992.21</v>
      </c>
      <c r="K209" s="14">
        <v>4566</v>
      </c>
      <c r="L209" s="14">
        <v>337011.3</v>
      </c>
      <c r="M209" s="3">
        <f t="shared" si="9"/>
        <v>7871358.04</v>
      </c>
      <c r="N209" s="14">
        <v>10359.65</v>
      </c>
      <c r="O209" s="14"/>
      <c r="P209" s="14">
        <v>142081.70000000001</v>
      </c>
      <c r="Q209" s="14">
        <v>4918.3900000000003</v>
      </c>
      <c r="R209" s="14">
        <v>190549.25</v>
      </c>
      <c r="S209" s="14">
        <v>56.3</v>
      </c>
      <c r="T209" s="14"/>
      <c r="U209" s="14">
        <v>4600</v>
      </c>
      <c r="V209" s="14"/>
      <c r="W209" s="14"/>
      <c r="X209" s="2">
        <f t="shared" si="10"/>
        <v>8223923.3300000001</v>
      </c>
      <c r="Y209" s="14">
        <v>21859.25</v>
      </c>
      <c r="Z209" s="14"/>
      <c r="AA209" s="14">
        <v>160717</v>
      </c>
      <c r="AB209" s="14"/>
      <c r="AC209" s="14">
        <v>125050.2</v>
      </c>
      <c r="AD209" s="14">
        <v>35700.199999999997</v>
      </c>
      <c r="AE209" s="14"/>
      <c r="AF209" s="14"/>
      <c r="AG209" s="14"/>
      <c r="AH209" s="14"/>
      <c r="AI209" s="14"/>
      <c r="AJ209" s="14"/>
      <c r="AK209" s="14"/>
      <c r="AL209" s="48">
        <f t="shared" si="11"/>
        <v>343326.65</v>
      </c>
      <c r="AM209" s="22">
        <v>53</v>
      </c>
      <c r="AN209" s="14">
        <v>1394</v>
      </c>
      <c r="AO209" s="14">
        <v>-11324.45</v>
      </c>
      <c r="AP209" s="14"/>
      <c r="AQ209" s="14">
        <v>-4222.2299999999996</v>
      </c>
      <c r="AR209" s="44">
        <v>0.9</v>
      </c>
      <c r="AU209" s="46"/>
      <c r="AV209" s="46"/>
    </row>
    <row r="210" spans="1:48" x14ac:dyDescent="0.25">
      <c r="A210" s="12">
        <v>5731</v>
      </c>
      <c r="B210" s="13" t="s">
        <v>358</v>
      </c>
      <c r="C210" s="14">
        <v>2921348.22</v>
      </c>
      <c r="D210" s="14">
        <v>314334.55</v>
      </c>
      <c r="E210" s="14"/>
      <c r="F210" s="14"/>
      <c r="G210" s="14">
        <v>9540.75</v>
      </c>
      <c r="H210" s="14">
        <v>465.25</v>
      </c>
      <c r="I210" s="14">
        <v>36309.35</v>
      </c>
      <c r="J210" s="14">
        <v>-25474.99</v>
      </c>
      <c r="K210" s="14">
        <v>4402</v>
      </c>
      <c r="L210" s="14">
        <v>339304.5</v>
      </c>
      <c r="M210" s="3">
        <f t="shared" si="9"/>
        <v>3600229.63</v>
      </c>
      <c r="N210" s="14">
        <v>21792.5</v>
      </c>
      <c r="O210" s="14"/>
      <c r="P210" s="14">
        <v>124208.85</v>
      </c>
      <c r="Q210" s="14">
        <v>14279.83</v>
      </c>
      <c r="R210" s="14">
        <v>165145.15</v>
      </c>
      <c r="S210" s="14">
        <v>1239.25</v>
      </c>
      <c r="T210" s="14"/>
      <c r="U210" s="14">
        <v>10950</v>
      </c>
      <c r="V210" s="14"/>
      <c r="W210" s="14"/>
      <c r="X210" s="2">
        <f t="shared" si="10"/>
        <v>3937845.21</v>
      </c>
      <c r="Y210" s="14">
        <v>55057</v>
      </c>
      <c r="Z210" s="14"/>
      <c r="AA210" s="14">
        <v>161682</v>
      </c>
      <c r="AB210" s="14"/>
      <c r="AC210" s="14">
        <v>108960</v>
      </c>
      <c r="AD210" s="14">
        <v>51761</v>
      </c>
      <c r="AE210" s="14"/>
      <c r="AF210" s="14"/>
      <c r="AG210" s="14">
        <v>10195</v>
      </c>
      <c r="AH210" s="14"/>
      <c r="AI210" s="14"/>
      <c r="AJ210" s="14"/>
      <c r="AK210" s="14"/>
      <c r="AL210" s="48">
        <f t="shared" si="11"/>
        <v>387655</v>
      </c>
      <c r="AM210" s="22">
        <v>75</v>
      </c>
      <c r="AN210" s="14">
        <v>1243</v>
      </c>
      <c r="AO210" s="14">
        <v>-17636.79</v>
      </c>
      <c r="AP210" s="14"/>
      <c r="AQ210" s="14">
        <v>-29.96</v>
      </c>
      <c r="AR210" s="44">
        <v>1.5</v>
      </c>
      <c r="AU210" s="46"/>
      <c r="AV210" s="46"/>
    </row>
    <row r="211" spans="1:48" x14ac:dyDescent="0.25">
      <c r="A211" s="12">
        <v>5732</v>
      </c>
      <c r="B211" s="13" t="s">
        <v>359</v>
      </c>
      <c r="C211" s="14">
        <v>2906393.58</v>
      </c>
      <c r="D211" s="14">
        <v>371890.45</v>
      </c>
      <c r="E211" s="14"/>
      <c r="F211" s="14"/>
      <c r="G211" s="14">
        <v>319989.90000000002</v>
      </c>
      <c r="H211" s="14">
        <v>-5057.3</v>
      </c>
      <c r="I211" s="14">
        <v>81152.3</v>
      </c>
      <c r="J211" s="14">
        <v>52626.23</v>
      </c>
      <c r="K211" s="14">
        <v>21571</v>
      </c>
      <c r="L211" s="14">
        <v>248006.9</v>
      </c>
      <c r="M211" s="3">
        <f t="shared" si="9"/>
        <v>3996573.06</v>
      </c>
      <c r="N211" s="14">
        <v>130426.75</v>
      </c>
      <c r="O211" s="14">
        <v>67444.2</v>
      </c>
      <c r="P211" s="14">
        <v>447252.1</v>
      </c>
      <c r="Q211" s="14">
        <v>6421.66</v>
      </c>
      <c r="R211" s="14">
        <v>138320.15</v>
      </c>
      <c r="S211" s="14">
        <v>87.5</v>
      </c>
      <c r="T211" s="14"/>
      <c r="U211" s="14">
        <v>8050</v>
      </c>
      <c r="V211" s="14"/>
      <c r="W211" s="14"/>
      <c r="X211" s="2">
        <f t="shared" si="10"/>
        <v>4794575.42</v>
      </c>
      <c r="Y211" s="14">
        <v>131606</v>
      </c>
      <c r="Z211" s="14">
        <v>-6477.75</v>
      </c>
      <c r="AA211" s="14">
        <v>60081.5</v>
      </c>
      <c r="AB211" s="14"/>
      <c r="AC211" s="14">
        <v>61571.75</v>
      </c>
      <c r="AD211" s="14">
        <v>204167.5</v>
      </c>
      <c r="AE211" s="14">
        <v>-1586.9</v>
      </c>
      <c r="AF211" s="14"/>
      <c r="AG211" s="14">
        <v>3948.1</v>
      </c>
      <c r="AH211" s="14">
        <v>52224.57</v>
      </c>
      <c r="AI211" s="14"/>
      <c r="AJ211" s="14"/>
      <c r="AK211" s="14"/>
      <c r="AL211" s="48">
        <f t="shared" si="11"/>
        <v>505534.76999999996</v>
      </c>
      <c r="AM211" s="22">
        <v>68</v>
      </c>
      <c r="AN211" s="14">
        <v>882</v>
      </c>
      <c r="AO211" s="14">
        <v>-105271.01</v>
      </c>
      <c r="AP211" s="14"/>
      <c r="AQ211" s="14">
        <v>-1806.86</v>
      </c>
      <c r="AR211" s="44">
        <v>1</v>
      </c>
      <c r="AU211" s="46"/>
      <c r="AV211" s="46"/>
    </row>
    <row r="212" spans="1:48" x14ac:dyDescent="0.25">
      <c r="A212" s="12">
        <v>5741</v>
      </c>
      <c r="B212" s="13" t="s">
        <v>360</v>
      </c>
      <c r="C212" s="14">
        <v>455827.95</v>
      </c>
      <c r="D212" s="14">
        <v>79560.83</v>
      </c>
      <c r="E212" s="14"/>
      <c r="F212" s="14">
        <v>1340</v>
      </c>
      <c r="G212" s="14">
        <v>11984.45</v>
      </c>
      <c r="H212" s="14">
        <v>32.450000000000003</v>
      </c>
      <c r="I212" s="14"/>
      <c r="J212" s="14">
        <v>-2250.27</v>
      </c>
      <c r="K212" s="14"/>
      <c r="L212" s="14">
        <v>40694.949999999997</v>
      </c>
      <c r="M212" s="3">
        <f t="shared" si="9"/>
        <v>587190.35999999987</v>
      </c>
      <c r="N212" s="14">
        <v>14134.65</v>
      </c>
      <c r="O212" s="14">
        <v>11390.5</v>
      </c>
      <c r="P212" s="14">
        <v>4015</v>
      </c>
      <c r="Q212" s="14">
        <v>21867.59</v>
      </c>
      <c r="R212" s="14">
        <v>8458.35</v>
      </c>
      <c r="S212" s="14"/>
      <c r="T212" s="14"/>
      <c r="U212" s="14">
        <v>1260</v>
      </c>
      <c r="V212" s="14"/>
      <c r="W212" s="14"/>
      <c r="X212" s="2">
        <f t="shared" si="10"/>
        <v>648316.44999999984</v>
      </c>
      <c r="Y212" s="14">
        <v>23094</v>
      </c>
      <c r="Z212" s="14">
        <f>5440+3139.65+5773.5</f>
        <v>14353.15</v>
      </c>
      <c r="AA212" s="14">
        <v>34373.15</v>
      </c>
      <c r="AB212" s="14"/>
      <c r="AC212" s="14">
        <v>30742.2</v>
      </c>
      <c r="AD212" s="14">
        <v>7720.65</v>
      </c>
      <c r="AE212" s="14">
        <f>3397+8384.5+2844.2</f>
        <v>14625.7</v>
      </c>
      <c r="AF212" s="14"/>
      <c r="AG212" s="14"/>
      <c r="AH212" s="14"/>
      <c r="AI212" s="14"/>
      <c r="AJ212" s="14"/>
      <c r="AK212" s="14"/>
      <c r="AL212" s="48">
        <f t="shared" si="11"/>
        <v>124908.84999999999</v>
      </c>
      <c r="AM212" s="22">
        <v>81</v>
      </c>
      <c r="AN212" s="14">
        <v>250</v>
      </c>
      <c r="AO212" s="14">
        <v>-35672.480000000003</v>
      </c>
      <c r="AP212" s="14"/>
      <c r="AQ212" s="14">
        <v>-16.97</v>
      </c>
      <c r="AR212" s="44">
        <v>1.2</v>
      </c>
      <c r="AU212" s="46"/>
      <c r="AV212" s="46"/>
    </row>
    <row r="213" spans="1:48" x14ac:dyDescent="0.25">
      <c r="A213" s="12">
        <v>5742</v>
      </c>
      <c r="B213" s="13" t="s">
        <v>361</v>
      </c>
      <c r="C213" s="14">
        <v>590935.01</v>
      </c>
      <c r="D213" s="14">
        <v>49064.11</v>
      </c>
      <c r="E213" s="14"/>
      <c r="F213" s="14"/>
      <c r="G213" s="14">
        <v>6153.4</v>
      </c>
      <c r="H213" s="14">
        <v>219.2</v>
      </c>
      <c r="I213" s="14"/>
      <c r="J213" s="14">
        <v>20782.490000000002</v>
      </c>
      <c r="K213" s="14">
        <v>798</v>
      </c>
      <c r="L213" s="14">
        <v>23175.200000000001</v>
      </c>
      <c r="M213" s="3">
        <f t="shared" si="9"/>
        <v>691127.40999999992</v>
      </c>
      <c r="N213" s="14"/>
      <c r="O213" s="14">
        <v>4877.8999999999996</v>
      </c>
      <c r="P213" s="14">
        <v>4180</v>
      </c>
      <c r="Q213" s="14"/>
      <c r="R213" s="14">
        <v>-1271</v>
      </c>
      <c r="S213" s="14"/>
      <c r="T213" s="14"/>
      <c r="U213" s="14">
        <v>1880</v>
      </c>
      <c r="V213" s="14"/>
      <c r="W213" s="14"/>
      <c r="X213" s="2">
        <f t="shared" si="10"/>
        <v>700794.30999999994</v>
      </c>
      <c r="Y213" s="14"/>
      <c r="Z213" s="14"/>
      <c r="AA213" s="14">
        <v>26271.35</v>
      </c>
      <c r="AB213" s="14"/>
      <c r="AC213" s="14">
        <v>26950</v>
      </c>
      <c r="AD213" s="14">
        <v>4058</v>
      </c>
      <c r="AE213" s="14"/>
      <c r="AF213" s="14"/>
      <c r="AG213" s="14"/>
      <c r="AH213" s="14"/>
      <c r="AI213" s="14"/>
      <c r="AJ213" s="14"/>
      <c r="AK213" s="14"/>
      <c r="AL213" s="48">
        <f t="shared" si="11"/>
        <v>57279.35</v>
      </c>
      <c r="AM213" s="22">
        <v>76</v>
      </c>
      <c r="AN213" s="14">
        <v>308</v>
      </c>
      <c r="AO213" s="14">
        <v>-9475.34</v>
      </c>
      <c r="AP213" s="14"/>
      <c r="AQ213" s="14"/>
      <c r="AR213" s="44">
        <v>0.5</v>
      </c>
      <c r="AU213" s="46"/>
      <c r="AV213" s="46"/>
    </row>
    <row r="214" spans="1:48" x14ac:dyDescent="0.25">
      <c r="A214" s="12">
        <v>5743</v>
      </c>
      <c r="B214" s="13" t="s">
        <v>298</v>
      </c>
      <c r="C214" s="14">
        <v>1015754.99</v>
      </c>
      <c r="D214" s="14">
        <v>117403.99</v>
      </c>
      <c r="E214" s="14"/>
      <c r="F214" s="14">
        <v>3360</v>
      </c>
      <c r="G214" s="14">
        <v>6873.2</v>
      </c>
      <c r="H214" s="14">
        <v>250.4</v>
      </c>
      <c r="I214" s="14"/>
      <c r="J214" s="14">
        <v>55699.87</v>
      </c>
      <c r="K214" s="14"/>
      <c r="L214" s="14">
        <v>56146.15</v>
      </c>
      <c r="M214" s="3">
        <f t="shared" si="9"/>
        <v>1255488.5999999999</v>
      </c>
      <c r="N214" s="14">
        <v>31541.45</v>
      </c>
      <c r="O214" s="14">
        <v>1424.8</v>
      </c>
      <c r="P214" s="14">
        <v>25938.6</v>
      </c>
      <c r="Q214" s="14">
        <v>3236.3</v>
      </c>
      <c r="R214" s="14">
        <v>37833.599999999999</v>
      </c>
      <c r="S214" s="14">
        <v>62.5</v>
      </c>
      <c r="T214" s="14"/>
      <c r="U214" s="14">
        <v>1900</v>
      </c>
      <c r="V214" s="14"/>
      <c r="W214" s="14"/>
      <c r="X214" s="2">
        <f t="shared" si="10"/>
        <v>1357425.85</v>
      </c>
      <c r="Y214" s="14">
        <v>39957.550000000003</v>
      </c>
      <c r="Z214" s="14"/>
      <c r="AA214" s="14">
        <v>71440.600000000006</v>
      </c>
      <c r="AB214" s="14"/>
      <c r="AC214" s="14">
        <v>42816.9</v>
      </c>
      <c r="AD214" s="14">
        <v>9192.5499999999993</v>
      </c>
      <c r="AE214" s="14"/>
      <c r="AF214" s="14"/>
      <c r="AG214" s="14"/>
      <c r="AH214" s="14"/>
      <c r="AI214" s="14"/>
      <c r="AJ214" s="14"/>
      <c r="AK214" s="14"/>
      <c r="AL214" s="48">
        <f t="shared" si="11"/>
        <v>163407.6</v>
      </c>
      <c r="AM214" s="22">
        <v>73</v>
      </c>
      <c r="AN214" s="14">
        <v>625</v>
      </c>
      <c r="AO214" s="14">
        <v>-6027.69</v>
      </c>
      <c r="AP214" s="14"/>
      <c r="AQ214" s="14">
        <v>-268.83999999999997</v>
      </c>
      <c r="AR214" s="44">
        <v>0.8</v>
      </c>
      <c r="AU214" s="46"/>
      <c r="AV214" s="46"/>
    </row>
    <row r="215" spans="1:48" x14ac:dyDescent="0.25">
      <c r="A215" s="12">
        <v>5744</v>
      </c>
      <c r="B215" s="13" t="s">
        <v>299</v>
      </c>
      <c r="C215" s="14">
        <v>1405438.08</v>
      </c>
      <c r="D215" s="14">
        <v>174050.83</v>
      </c>
      <c r="E215" s="14"/>
      <c r="F215" s="14">
        <v>5890</v>
      </c>
      <c r="G215" s="14">
        <v>1616233</v>
      </c>
      <c r="H215" s="14">
        <v>110777.85</v>
      </c>
      <c r="I215" s="14"/>
      <c r="J215" s="14">
        <v>81520.27</v>
      </c>
      <c r="K215" s="14"/>
      <c r="L215" s="14">
        <v>138739</v>
      </c>
      <c r="M215" s="3">
        <f t="shared" si="9"/>
        <v>3532649.0300000003</v>
      </c>
      <c r="N215" s="14">
        <v>755922.85</v>
      </c>
      <c r="O215" s="14">
        <v>36587.800000000003</v>
      </c>
      <c r="P215" s="14">
        <v>31726.95</v>
      </c>
      <c r="Q215" s="14">
        <v>19462.13</v>
      </c>
      <c r="R215" s="14">
        <v>23891.75</v>
      </c>
      <c r="S215" s="14">
        <v>43.8</v>
      </c>
      <c r="T215" s="14"/>
      <c r="U215" s="14">
        <v>4910</v>
      </c>
      <c r="V215" s="14">
        <v>330</v>
      </c>
      <c r="W215" s="14"/>
      <c r="X215" s="2">
        <f t="shared" si="10"/>
        <v>4405524.3099999996</v>
      </c>
      <c r="Y215" s="14">
        <v>84630</v>
      </c>
      <c r="Z215" s="14"/>
      <c r="AA215" s="14">
        <v>66154.25</v>
      </c>
      <c r="AB215" s="14"/>
      <c r="AC215" s="14">
        <v>98361.42</v>
      </c>
      <c r="AD215" s="14">
        <v>84630</v>
      </c>
      <c r="AE215" s="14"/>
      <c r="AF215" s="14"/>
      <c r="AG215" s="14"/>
      <c r="AH215" s="14">
        <v>103119.7</v>
      </c>
      <c r="AI215" s="14"/>
      <c r="AJ215" s="14"/>
      <c r="AK215" s="14"/>
      <c r="AL215" s="48">
        <f t="shared" si="11"/>
        <v>436895.37</v>
      </c>
      <c r="AM215" s="22">
        <v>66</v>
      </c>
      <c r="AN215" s="14">
        <v>1069</v>
      </c>
      <c r="AO215" s="14">
        <v>-39072.6</v>
      </c>
      <c r="AP215" s="14"/>
      <c r="AQ215" s="14">
        <v>-1016.31</v>
      </c>
      <c r="AR215" s="44">
        <v>1</v>
      </c>
      <c r="AU215" s="46"/>
      <c r="AV215" s="46"/>
    </row>
    <row r="216" spans="1:48" x14ac:dyDescent="0.25">
      <c r="A216" s="12">
        <v>5745</v>
      </c>
      <c r="B216" s="13" t="s">
        <v>300</v>
      </c>
      <c r="C216" s="14">
        <v>1708089.8</v>
      </c>
      <c r="D216" s="14">
        <v>223126.94</v>
      </c>
      <c r="E216" s="14"/>
      <c r="F216" s="14"/>
      <c r="G216" s="14">
        <v>66594.149999999994</v>
      </c>
      <c r="H216" s="14">
        <v>5094.6499999999996</v>
      </c>
      <c r="I216" s="14"/>
      <c r="J216" s="14">
        <v>17791.63</v>
      </c>
      <c r="K216" s="14"/>
      <c r="L216" s="14">
        <v>119768.2</v>
      </c>
      <c r="M216" s="3">
        <f t="shared" si="9"/>
        <v>2140465.3699999996</v>
      </c>
      <c r="N216" s="14">
        <v>184046.05</v>
      </c>
      <c r="O216" s="14">
        <v>924</v>
      </c>
      <c r="P216" s="14">
        <v>34564.75</v>
      </c>
      <c r="Q216" s="14">
        <v>19584.55</v>
      </c>
      <c r="R216" s="14">
        <v>39527</v>
      </c>
      <c r="S216" s="14">
        <v>93.75</v>
      </c>
      <c r="T216" s="14"/>
      <c r="U216" s="14">
        <v>3500</v>
      </c>
      <c r="V216" s="14"/>
      <c r="W216" s="14"/>
      <c r="X216" s="2">
        <f t="shared" si="10"/>
        <v>2422705.4699999993</v>
      </c>
      <c r="Y216" s="14">
        <v>395</v>
      </c>
      <c r="Z216" s="14"/>
      <c r="AA216" s="14">
        <v>131481.15</v>
      </c>
      <c r="AB216" s="14"/>
      <c r="AC216" s="14">
        <v>74141.55</v>
      </c>
      <c r="AD216" s="14">
        <v>10769.95</v>
      </c>
      <c r="AE216" s="14"/>
      <c r="AF216" s="14"/>
      <c r="AG216" s="14"/>
      <c r="AH216" s="14"/>
      <c r="AI216" s="14"/>
      <c r="AJ216" s="14"/>
      <c r="AK216" s="14"/>
      <c r="AL216" s="48">
        <f t="shared" si="11"/>
        <v>216787.65000000002</v>
      </c>
      <c r="AM216" s="22">
        <v>78</v>
      </c>
      <c r="AN216" s="14">
        <v>1034</v>
      </c>
      <c r="AO216" s="14">
        <v>-12643.41</v>
      </c>
      <c r="AP216" s="14"/>
      <c r="AQ216" s="14">
        <v>-678.68</v>
      </c>
      <c r="AR216" s="44">
        <v>1</v>
      </c>
      <c r="AU216" s="46"/>
      <c r="AV216" s="46"/>
    </row>
    <row r="217" spans="1:48" x14ac:dyDescent="0.25">
      <c r="A217" s="12">
        <v>5746</v>
      </c>
      <c r="B217" s="13" t="s">
        <v>301</v>
      </c>
      <c r="C217" s="14">
        <v>1467230.05</v>
      </c>
      <c r="D217" s="14">
        <v>105680.22</v>
      </c>
      <c r="E217" s="14"/>
      <c r="F217" s="14"/>
      <c r="G217" s="14">
        <v>25279.7</v>
      </c>
      <c r="H217" s="14">
        <v>483.2</v>
      </c>
      <c r="I217" s="14"/>
      <c r="J217" s="14">
        <v>26760.67</v>
      </c>
      <c r="K217" s="14"/>
      <c r="L217" s="14">
        <v>187749.65</v>
      </c>
      <c r="M217" s="3">
        <f t="shared" si="9"/>
        <v>1813183.4899999998</v>
      </c>
      <c r="N217" s="14">
        <v>19841.95</v>
      </c>
      <c r="O217" s="14">
        <v>12157.4</v>
      </c>
      <c r="P217" s="14">
        <v>39366.800000000003</v>
      </c>
      <c r="Q217" s="14">
        <v>2336.0700000000002</v>
      </c>
      <c r="R217" s="14">
        <v>72369.3</v>
      </c>
      <c r="S217" s="14">
        <v>62.5</v>
      </c>
      <c r="T217" s="14">
        <v>700</v>
      </c>
      <c r="U217" s="14">
        <v>5085</v>
      </c>
      <c r="V217" s="14">
        <v>595</v>
      </c>
      <c r="W217" s="14"/>
      <c r="X217" s="2">
        <f t="shared" si="10"/>
        <v>1965697.5099999998</v>
      </c>
      <c r="Y217" s="14">
        <v>69738.3</v>
      </c>
      <c r="Z217" s="14"/>
      <c r="AA217" s="14">
        <v>83160.149999999994</v>
      </c>
      <c r="AB217" s="14"/>
      <c r="AC217" s="14">
        <v>59821.599999999999</v>
      </c>
      <c r="AD217" s="14">
        <v>3964.75</v>
      </c>
      <c r="AE217" s="14"/>
      <c r="AF217" s="14"/>
      <c r="AG217" s="14"/>
      <c r="AH217" s="14">
        <v>26522.2</v>
      </c>
      <c r="AI217" s="14"/>
      <c r="AJ217" s="14"/>
      <c r="AK217" s="14"/>
      <c r="AL217" s="48">
        <f t="shared" si="11"/>
        <v>243207.00000000003</v>
      </c>
      <c r="AM217" s="22">
        <v>73</v>
      </c>
      <c r="AN217" s="14">
        <v>939</v>
      </c>
      <c r="AO217" s="14">
        <v>-37296.99</v>
      </c>
      <c r="AP217" s="14"/>
      <c r="AQ217" s="14">
        <v>-34.86</v>
      </c>
      <c r="AR217" s="44">
        <v>1.2</v>
      </c>
      <c r="AU217" s="46"/>
      <c r="AV217" s="46"/>
    </row>
    <row r="218" spans="1:48" x14ac:dyDescent="0.25">
      <c r="A218" s="12">
        <v>5747</v>
      </c>
      <c r="B218" s="13" t="s">
        <v>302</v>
      </c>
      <c r="C218" s="14">
        <v>288621.2</v>
      </c>
      <c r="D218" s="14">
        <v>31357.87</v>
      </c>
      <c r="E218" s="14"/>
      <c r="F218" s="14"/>
      <c r="G218" s="14">
        <v>2886.65</v>
      </c>
      <c r="H218" s="14">
        <v>461.55</v>
      </c>
      <c r="I218" s="14"/>
      <c r="J218" s="14">
        <v>11926.52</v>
      </c>
      <c r="K218" s="14"/>
      <c r="L218" s="14">
        <v>25919.85</v>
      </c>
      <c r="M218" s="3">
        <f t="shared" si="9"/>
        <v>361173.64</v>
      </c>
      <c r="N218" s="14"/>
      <c r="O218" s="14"/>
      <c r="P218" s="14">
        <v>10338.9</v>
      </c>
      <c r="Q218" s="14"/>
      <c r="R218" s="14">
        <v>3390.2</v>
      </c>
      <c r="S218" s="14"/>
      <c r="T218" s="14"/>
      <c r="U218" s="14">
        <v>680</v>
      </c>
      <c r="V218" s="14"/>
      <c r="W218" s="14"/>
      <c r="X218" s="2">
        <f t="shared" si="10"/>
        <v>375582.74000000005</v>
      </c>
      <c r="Y218" s="14"/>
      <c r="Z218" s="14">
        <v>16840</v>
      </c>
      <c r="AA218" s="14">
        <v>9275</v>
      </c>
      <c r="AB218" s="14"/>
      <c r="AC218" s="14">
        <v>15635.05</v>
      </c>
      <c r="AD218" s="14">
        <v>8400</v>
      </c>
      <c r="AE218" s="14"/>
      <c r="AF218" s="14"/>
      <c r="AG218" s="14"/>
      <c r="AH218" s="14"/>
      <c r="AI218" s="14"/>
      <c r="AJ218" s="14"/>
      <c r="AK218" s="14"/>
      <c r="AL218" s="48">
        <f t="shared" si="11"/>
        <v>50150.05</v>
      </c>
      <c r="AM218" s="22">
        <v>69</v>
      </c>
      <c r="AN218" s="14">
        <v>187</v>
      </c>
      <c r="AO218" s="14">
        <v>-3513.01</v>
      </c>
      <c r="AP218" s="14"/>
      <c r="AQ218" s="14">
        <v>-3.14</v>
      </c>
      <c r="AR218" s="44">
        <v>1</v>
      </c>
      <c r="AU218" s="46"/>
      <c r="AV218" s="46"/>
    </row>
    <row r="219" spans="1:48" x14ac:dyDescent="0.25">
      <c r="A219" s="12">
        <v>5748</v>
      </c>
      <c r="B219" s="13" t="s">
        <v>303</v>
      </c>
      <c r="C219" s="14">
        <v>363377.13</v>
      </c>
      <c r="D219" s="14">
        <v>39533.06</v>
      </c>
      <c r="E219" s="14"/>
      <c r="F219" s="14">
        <v>2160</v>
      </c>
      <c r="G219" s="14">
        <v>7192.5</v>
      </c>
      <c r="H219" s="14">
        <v>3.45</v>
      </c>
      <c r="I219" s="14"/>
      <c r="J219" s="14">
        <v>6735.96</v>
      </c>
      <c r="K219" s="14"/>
      <c r="L219" s="14">
        <v>17874.599999999999</v>
      </c>
      <c r="M219" s="3">
        <f t="shared" si="9"/>
        <v>436876.7</v>
      </c>
      <c r="N219" s="14">
        <v>4800.1499999999996</v>
      </c>
      <c r="O219" s="14">
        <v>2867</v>
      </c>
      <c r="P219" s="14">
        <v>13612.5</v>
      </c>
      <c r="Q219" s="14">
        <v>2673.08</v>
      </c>
      <c r="R219" s="14">
        <v>32743.200000000001</v>
      </c>
      <c r="S219" s="14"/>
      <c r="T219" s="14"/>
      <c r="U219" s="14">
        <v>1300</v>
      </c>
      <c r="V219" s="14"/>
      <c r="W219" s="14"/>
      <c r="X219" s="2">
        <f t="shared" si="10"/>
        <v>494872.63000000006</v>
      </c>
      <c r="Y219" s="14">
        <v>7894.1</v>
      </c>
      <c r="Z219" s="14"/>
      <c r="AA219" s="14">
        <v>28936</v>
      </c>
      <c r="AB219" s="14"/>
      <c r="AC219" s="14">
        <v>22529.55</v>
      </c>
      <c r="AD219" s="14">
        <v>4893.8999999999996</v>
      </c>
      <c r="AE219" s="14"/>
      <c r="AF219" s="14"/>
      <c r="AG219" s="14"/>
      <c r="AH219" s="14"/>
      <c r="AI219" s="14"/>
      <c r="AJ219" s="14"/>
      <c r="AK219" s="14"/>
      <c r="AL219" s="48">
        <f t="shared" si="11"/>
        <v>64253.549999999996</v>
      </c>
      <c r="AM219" s="22">
        <v>72</v>
      </c>
      <c r="AN219" s="14">
        <v>252</v>
      </c>
      <c r="AO219" s="14">
        <v>-9324.69</v>
      </c>
      <c r="AP219" s="14"/>
      <c r="AQ219" s="14"/>
      <c r="AR219" s="44">
        <v>0.6</v>
      </c>
      <c r="AU219" s="46"/>
      <c r="AV219" s="46"/>
    </row>
    <row r="220" spans="1:48" x14ac:dyDescent="0.25">
      <c r="A220" s="12">
        <v>5749</v>
      </c>
      <c r="B220" s="13" t="s">
        <v>304</v>
      </c>
      <c r="C220" s="14">
        <v>7191024.9699999997</v>
      </c>
      <c r="D220" s="14">
        <v>615138.24</v>
      </c>
      <c r="E220" s="14">
        <v>68753</v>
      </c>
      <c r="F220" s="14">
        <v>0</v>
      </c>
      <c r="G220" s="14">
        <v>301336.35000000003</v>
      </c>
      <c r="H220" s="14">
        <v>10197.949999999999</v>
      </c>
      <c r="I220" s="14">
        <v>0</v>
      </c>
      <c r="J220" s="14">
        <v>312585.46000000002</v>
      </c>
      <c r="K220" s="14">
        <v>47183.5</v>
      </c>
      <c r="L220" s="14">
        <v>650981</v>
      </c>
      <c r="M220" s="3">
        <f t="shared" si="9"/>
        <v>9197200.4700000007</v>
      </c>
      <c r="N220" s="14">
        <v>539006.69999999995</v>
      </c>
      <c r="O220" s="14">
        <v>11761.1</v>
      </c>
      <c r="P220" s="14">
        <v>178315.85</v>
      </c>
      <c r="Q220" s="14">
        <v>20287.579999999998</v>
      </c>
      <c r="R220" s="14">
        <v>150381.54999999999</v>
      </c>
      <c r="S220" s="14">
        <v>375</v>
      </c>
      <c r="T220" s="14">
        <v>9987.75</v>
      </c>
      <c r="U220" s="14">
        <v>22490</v>
      </c>
      <c r="V220" s="14">
        <v>0</v>
      </c>
      <c r="W220" s="14">
        <v>0</v>
      </c>
      <c r="X220" s="2">
        <f t="shared" si="10"/>
        <v>10129806</v>
      </c>
      <c r="Y220" s="14">
        <v>90787.45</v>
      </c>
      <c r="Z220" s="14">
        <v>0</v>
      </c>
      <c r="AA220" s="14">
        <v>549116.4</v>
      </c>
      <c r="AB220" s="14">
        <v>0</v>
      </c>
      <c r="AC220" s="14">
        <v>484067.95</v>
      </c>
      <c r="AD220" s="14">
        <v>80690.7</v>
      </c>
      <c r="AE220" s="14">
        <v>0</v>
      </c>
      <c r="AF220" s="14">
        <v>0</v>
      </c>
      <c r="AG220" s="14">
        <v>0</v>
      </c>
      <c r="AH220" s="14">
        <v>156077.35</v>
      </c>
      <c r="AI220" s="14">
        <v>0</v>
      </c>
      <c r="AJ220" s="14">
        <v>0</v>
      </c>
      <c r="AK220" s="14">
        <v>0</v>
      </c>
      <c r="AL220" s="48">
        <f t="shared" si="11"/>
        <v>1360739.85</v>
      </c>
      <c r="AM220" s="22">
        <v>72.42</v>
      </c>
      <c r="AN220" s="14">
        <v>4672</v>
      </c>
      <c r="AO220" s="14">
        <v>-211431.97</v>
      </c>
      <c r="AP220" s="14">
        <v>0</v>
      </c>
      <c r="AQ220" s="14">
        <v>-851.65000000000009</v>
      </c>
      <c r="AR220" s="360">
        <v>1</v>
      </c>
      <c r="AU220" s="46"/>
      <c r="AV220" s="46"/>
    </row>
    <row r="221" spans="1:48" x14ac:dyDescent="0.25">
      <c r="A221" s="12">
        <v>5750</v>
      </c>
      <c r="B221" s="13" t="s">
        <v>305</v>
      </c>
      <c r="C221" s="14">
        <v>299088.89</v>
      </c>
      <c r="D221" s="14">
        <v>38502.18</v>
      </c>
      <c r="E221" s="14"/>
      <c r="F221" s="14">
        <v>990</v>
      </c>
      <c r="G221" s="14">
        <v>1474.65</v>
      </c>
      <c r="H221" s="14">
        <v>63.4</v>
      </c>
      <c r="I221" s="14"/>
      <c r="J221" s="14">
        <v>-6528.49</v>
      </c>
      <c r="K221" s="14">
        <v>462</v>
      </c>
      <c r="L221" s="14">
        <v>11619.05</v>
      </c>
      <c r="M221" s="3">
        <f t="shared" si="9"/>
        <v>345671.68000000005</v>
      </c>
      <c r="N221" s="14">
        <v>9325.7999999999993</v>
      </c>
      <c r="O221" s="14">
        <v>123.2</v>
      </c>
      <c r="P221" s="14">
        <v>2475</v>
      </c>
      <c r="Q221" s="14">
        <v>3668.85</v>
      </c>
      <c r="R221" s="14">
        <v>3412.5</v>
      </c>
      <c r="S221" s="14"/>
      <c r="T221" s="14"/>
      <c r="U221" s="14">
        <v>700</v>
      </c>
      <c r="V221" s="14"/>
      <c r="W221" s="14"/>
      <c r="X221" s="2">
        <f t="shared" si="10"/>
        <v>365377.03</v>
      </c>
      <c r="Y221" s="14">
        <v>6386.55</v>
      </c>
      <c r="Z221" s="14"/>
      <c r="AA221" s="14">
        <v>26541</v>
      </c>
      <c r="AB221" s="14"/>
      <c r="AC221" s="14">
        <v>10147.200000000001</v>
      </c>
      <c r="AD221" s="14">
        <v>218</v>
      </c>
      <c r="AE221" s="14"/>
      <c r="AF221" s="14"/>
      <c r="AG221" s="14">
        <v>320</v>
      </c>
      <c r="AH221" s="14">
        <v>4061.25</v>
      </c>
      <c r="AI221" s="14"/>
      <c r="AJ221" s="14"/>
      <c r="AK221" s="14"/>
      <c r="AL221" s="48">
        <f t="shared" si="11"/>
        <v>47674</v>
      </c>
      <c r="AM221" s="22">
        <v>80</v>
      </c>
      <c r="AN221" s="14">
        <v>186</v>
      </c>
      <c r="AO221" s="14">
        <v>-7531.54</v>
      </c>
      <c r="AP221" s="14"/>
      <c r="AQ221" s="14">
        <v>-265.85000000000002</v>
      </c>
      <c r="AR221" s="44">
        <v>0.6</v>
      </c>
      <c r="AU221" s="46"/>
      <c r="AV221" s="46"/>
    </row>
    <row r="222" spans="1:48" x14ac:dyDescent="0.25">
      <c r="A222" s="12">
        <v>5752</v>
      </c>
      <c r="B222" s="13" t="s">
        <v>366</v>
      </c>
      <c r="C222" s="14">
        <f>709810.9-(209811)/2</f>
        <v>604905.4</v>
      </c>
      <c r="D222" s="14">
        <v>295707.49</v>
      </c>
      <c r="E222" s="14"/>
      <c r="F222" s="14"/>
      <c r="G222" s="14">
        <v>7356.7</v>
      </c>
      <c r="H222" s="14">
        <v>186.5</v>
      </c>
      <c r="I222" s="14"/>
      <c r="J222" s="14">
        <v>4661.34</v>
      </c>
      <c r="K222" s="14">
        <v>724.5</v>
      </c>
      <c r="L222" s="14">
        <v>29951.85</v>
      </c>
      <c r="M222" s="3">
        <f t="shared" si="9"/>
        <v>943493.77999999991</v>
      </c>
      <c r="N222" s="14">
        <v>24819.55</v>
      </c>
      <c r="O222" s="14">
        <v>1994.1</v>
      </c>
      <c r="P222" s="14">
        <v>25123.85</v>
      </c>
      <c r="Q222" s="14"/>
      <c r="R222" s="14">
        <v>44325.8</v>
      </c>
      <c r="S222" s="14">
        <v>31.25</v>
      </c>
      <c r="T222" s="14"/>
      <c r="U222" s="14">
        <v>2300</v>
      </c>
      <c r="V222" s="14"/>
      <c r="W222" s="14"/>
      <c r="X222" s="2">
        <f t="shared" si="10"/>
        <v>1042088.33</v>
      </c>
      <c r="Y222" s="14">
        <v>39456</v>
      </c>
      <c r="Z222" s="14"/>
      <c r="AA222" s="14">
        <v>49805</v>
      </c>
      <c r="AB222" s="14"/>
      <c r="AC222" s="14">
        <v>17168.05</v>
      </c>
      <c r="AD222" s="14">
        <v>39456</v>
      </c>
      <c r="AE222" s="14"/>
      <c r="AF222" s="14"/>
      <c r="AG222" s="14"/>
      <c r="AH222" s="14"/>
      <c r="AI222" s="14"/>
      <c r="AJ222" s="14"/>
      <c r="AK222" s="14"/>
      <c r="AL222" s="48">
        <f t="shared" si="11"/>
        <v>145885.04999999999</v>
      </c>
      <c r="AM222" s="22">
        <v>74</v>
      </c>
      <c r="AN222" s="14">
        <v>335</v>
      </c>
      <c r="AO222" s="14">
        <v>-2742.14</v>
      </c>
      <c r="AP222" s="14"/>
      <c r="AQ222" s="14"/>
      <c r="AR222" s="44">
        <v>0.7</v>
      </c>
      <c r="AU222" s="46"/>
      <c r="AV222" s="46"/>
    </row>
    <row r="223" spans="1:48" x14ac:dyDescent="0.25">
      <c r="A223" s="12">
        <v>5754</v>
      </c>
      <c r="B223" s="13" t="s">
        <v>367</v>
      </c>
      <c r="C223" s="14">
        <v>446272.23</v>
      </c>
      <c r="D223" s="14">
        <v>14369.04</v>
      </c>
      <c r="E223" s="14"/>
      <c r="F223" s="14"/>
      <c r="G223" s="14">
        <v>3326.35</v>
      </c>
      <c r="H223" s="14">
        <v>620.4</v>
      </c>
      <c r="I223" s="14"/>
      <c r="J223" s="14">
        <v>10391.49</v>
      </c>
      <c r="K223" s="14">
        <v>931</v>
      </c>
      <c r="L223" s="14">
        <v>36297.5</v>
      </c>
      <c r="M223" s="3">
        <f t="shared" si="9"/>
        <v>512208.00999999995</v>
      </c>
      <c r="N223" s="14">
        <v>7180.45</v>
      </c>
      <c r="O223" s="14">
        <v>28085.8</v>
      </c>
      <c r="P223" s="14">
        <v>1829.9</v>
      </c>
      <c r="Q223" s="14"/>
      <c r="R223" s="14">
        <v>3497.15</v>
      </c>
      <c r="S223" s="14"/>
      <c r="T223" s="14"/>
      <c r="U223" s="14">
        <v>1360</v>
      </c>
      <c r="V223" s="14"/>
      <c r="W223" s="14"/>
      <c r="X223" s="2">
        <f t="shared" si="10"/>
        <v>554161.31000000006</v>
      </c>
      <c r="Y223" s="14">
        <v>3480</v>
      </c>
      <c r="Z223" s="14"/>
      <c r="AA223" s="14">
        <v>39565</v>
      </c>
      <c r="AB223" s="14"/>
      <c r="AC223" s="14">
        <v>36705</v>
      </c>
      <c r="AD223" s="14">
        <v>1740</v>
      </c>
      <c r="AE223" s="14"/>
      <c r="AF223" s="14"/>
      <c r="AG223" s="14"/>
      <c r="AH223" s="14"/>
      <c r="AI223" s="14"/>
      <c r="AJ223" s="14"/>
      <c r="AK223" s="14"/>
      <c r="AL223" s="48">
        <f t="shared" si="11"/>
        <v>81490</v>
      </c>
      <c r="AM223" s="22">
        <v>79</v>
      </c>
      <c r="AN223" s="14">
        <v>302</v>
      </c>
      <c r="AO223" s="14">
        <v>-582.99</v>
      </c>
      <c r="AP223" s="14"/>
      <c r="AQ223" s="14">
        <v>-35.909999999999997</v>
      </c>
      <c r="AR223" s="44">
        <v>1</v>
      </c>
      <c r="AU223" s="46"/>
      <c r="AV223" s="46"/>
    </row>
    <row r="224" spans="1:48" x14ac:dyDescent="0.25">
      <c r="A224" s="12">
        <v>5755</v>
      </c>
      <c r="B224" s="13" t="s">
        <v>368</v>
      </c>
      <c r="C224" s="14">
        <v>609719.96</v>
      </c>
      <c r="D224" s="14">
        <v>45289.61</v>
      </c>
      <c r="E224" s="14"/>
      <c r="F224" s="14"/>
      <c r="G224" s="14">
        <v>16563.400000000001</v>
      </c>
      <c r="H224" s="14">
        <v>274.45</v>
      </c>
      <c r="I224" s="14">
        <v>0</v>
      </c>
      <c r="J224" s="14">
        <v>4420.13</v>
      </c>
      <c r="K224" s="14">
        <v>1039</v>
      </c>
      <c r="L224" s="14">
        <v>33426.85</v>
      </c>
      <c r="M224" s="3">
        <f t="shared" si="9"/>
        <v>710733.39999999991</v>
      </c>
      <c r="N224" s="14">
        <v>18380.650000000001</v>
      </c>
      <c r="O224" s="14">
        <v>30632.799999999999</v>
      </c>
      <c r="P224" s="14">
        <v>15363.1</v>
      </c>
      <c r="Q224" s="14">
        <v>24128.97</v>
      </c>
      <c r="R224" s="14">
        <v>26503.75</v>
      </c>
      <c r="S224" s="14">
        <v>15.65</v>
      </c>
      <c r="T224" s="14"/>
      <c r="U224" s="14">
        <v>2400</v>
      </c>
      <c r="V224" s="14"/>
      <c r="W224" s="14"/>
      <c r="X224" s="2">
        <f t="shared" si="10"/>
        <v>828158.32</v>
      </c>
      <c r="Y224" s="14">
        <v>8190</v>
      </c>
      <c r="Z224" s="14"/>
      <c r="AA224" s="14">
        <v>58752</v>
      </c>
      <c r="AB224" s="14"/>
      <c r="AC224" s="14">
        <v>43950</v>
      </c>
      <c r="AD224" s="14">
        <v>8240</v>
      </c>
      <c r="AE224" s="14"/>
      <c r="AF224" s="14"/>
      <c r="AG224" s="14"/>
      <c r="AH224" s="14"/>
      <c r="AI224" s="14"/>
      <c r="AJ224" s="14"/>
      <c r="AK224" s="14"/>
      <c r="AL224" s="48">
        <f t="shared" si="11"/>
        <v>119132</v>
      </c>
      <c r="AM224" s="22">
        <v>81</v>
      </c>
      <c r="AN224" s="14">
        <v>394</v>
      </c>
      <c r="AO224" s="14">
        <v>-30585.41</v>
      </c>
      <c r="AP224" s="14"/>
      <c r="AQ224" s="14">
        <v>-12.01</v>
      </c>
      <c r="AR224" s="44">
        <v>0.7</v>
      </c>
      <c r="AU224" s="46"/>
      <c r="AV224" s="46"/>
    </row>
    <row r="225" spans="1:48" x14ac:dyDescent="0.25">
      <c r="A225" s="12">
        <v>5756</v>
      </c>
      <c r="B225" s="13" t="s">
        <v>369</v>
      </c>
      <c r="C225" s="14">
        <v>771055.69</v>
      </c>
      <c r="D225" s="14">
        <v>133318.54</v>
      </c>
      <c r="E225" s="14"/>
      <c r="F225" s="14"/>
      <c r="G225" s="14">
        <v>32297.8</v>
      </c>
      <c r="H225" s="14">
        <v>807.7</v>
      </c>
      <c r="I225" s="14"/>
      <c r="J225" s="14">
        <v>7091.3</v>
      </c>
      <c r="K225" s="14">
        <v>368.5</v>
      </c>
      <c r="L225" s="14">
        <v>47441.05</v>
      </c>
      <c r="M225" s="3">
        <f t="shared" si="9"/>
        <v>992380.58000000007</v>
      </c>
      <c r="N225" s="14">
        <v>20611.55</v>
      </c>
      <c r="O225" s="14"/>
      <c r="P225" s="14">
        <v>34199</v>
      </c>
      <c r="Q225" s="14"/>
      <c r="R225" s="14">
        <v>20743.45</v>
      </c>
      <c r="S225" s="14">
        <v>981.25</v>
      </c>
      <c r="T225" s="14"/>
      <c r="U225" s="14">
        <v>1545</v>
      </c>
      <c r="V225" s="14"/>
      <c r="W225" s="14"/>
      <c r="X225" s="2">
        <f t="shared" si="10"/>
        <v>1070460.83</v>
      </c>
      <c r="Y225" s="14">
        <v>5880</v>
      </c>
      <c r="Z225" s="14"/>
      <c r="AA225" s="14">
        <v>53556.800000000003</v>
      </c>
      <c r="AB225" s="14"/>
      <c r="AC225" s="14">
        <v>23124</v>
      </c>
      <c r="AD225" s="14">
        <v>3591.45</v>
      </c>
      <c r="AE225" s="14"/>
      <c r="AF225" s="14"/>
      <c r="AG225" s="14"/>
      <c r="AH225" s="14">
        <v>10898.13</v>
      </c>
      <c r="AI225" s="14"/>
      <c r="AJ225" s="14"/>
      <c r="AK225" s="14"/>
      <c r="AL225" s="48">
        <f t="shared" si="11"/>
        <v>97050.38</v>
      </c>
      <c r="AM225" s="22">
        <v>69</v>
      </c>
      <c r="AN225" s="14">
        <v>474</v>
      </c>
      <c r="AO225" s="14">
        <v>-2097.64</v>
      </c>
      <c r="AP225" s="14"/>
      <c r="AQ225" s="14">
        <v>-141.38999999999999</v>
      </c>
      <c r="AR225" s="44">
        <v>0.6</v>
      </c>
      <c r="AU225" s="46"/>
      <c r="AV225" s="46"/>
    </row>
    <row r="226" spans="1:48" x14ac:dyDescent="0.25">
      <c r="A226" s="12">
        <v>5757</v>
      </c>
      <c r="B226" s="13" t="s">
        <v>370</v>
      </c>
      <c r="C226" s="14">
        <v>10343289.390000001</v>
      </c>
      <c r="D226" s="14">
        <v>779515.3</v>
      </c>
      <c r="E226" s="14"/>
      <c r="F226" s="14"/>
      <c r="G226" s="14">
        <v>2521681.2999999998</v>
      </c>
      <c r="H226" s="14">
        <v>24206.5</v>
      </c>
      <c r="I226" s="14"/>
      <c r="J226" s="14">
        <v>532263.12</v>
      </c>
      <c r="K226" s="14">
        <v>59331.5</v>
      </c>
      <c r="L226" s="14">
        <v>1049710.3999999999</v>
      </c>
      <c r="M226" s="3">
        <f t="shared" si="9"/>
        <v>15309997.510000002</v>
      </c>
      <c r="N226" s="14">
        <v>2824411.25</v>
      </c>
      <c r="O226" s="14">
        <v>14567.3</v>
      </c>
      <c r="P226" s="14">
        <v>342180.7</v>
      </c>
      <c r="Q226" s="14">
        <v>104524.4</v>
      </c>
      <c r="R226" s="14">
        <v>415568.85</v>
      </c>
      <c r="S226" s="14">
        <v>35306.800000000003</v>
      </c>
      <c r="T226" s="14"/>
      <c r="U226" s="14">
        <v>40680</v>
      </c>
      <c r="V226" s="14">
        <v>180</v>
      </c>
      <c r="W226" s="14"/>
      <c r="X226" s="2">
        <f t="shared" si="10"/>
        <v>19087416.810000002</v>
      </c>
      <c r="Y226" s="14">
        <v>40110</v>
      </c>
      <c r="Z226" s="14"/>
      <c r="AA226" s="14">
        <v>1199562.8999999999</v>
      </c>
      <c r="AB226" s="14"/>
      <c r="AC226" s="14">
        <v>656474.35</v>
      </c>
      <c r="AD226" s="14"/>
      <c r="AE226" s="14">
        <v>32279.25</v>
      </c>
      <c r="AF226" s="14"/>
      <c r="AG226" s="14">
        <v>18499</v>
      </c>
      <c r="AH226" s="14"/>
      <c r="AI226" s="14">
        <v>129837.7</v>
      </c>
      <c r="AJ226" s="14">
        <v>129837.7</v>
      </c>
      <c r="AK226" s="14"/>
      <c r="AL226" s="48">
        <f t="shared" si="11"/>
        <v>2206600.9</v>
      </c>
      <c r="AM226" s="22">
        <v>72</v>
      </c>
      <c r="AN226" s="14">
        <v>6767</v>
      </c>
      <c r="AO226" s="14">
        <v>-260069.62</v>
      </c>
      <c r="AP226" s="14"/>
      <c r="AQ226" s="14">
        <v>-3464.81</v>
      </c>
      <c r="AR226" s="44">
        <v>1</v>
      </c>
      <c r="AU226" s="46"/>
      <c r="AV226" s="46"/>
    </row>
    <row r="227" spans="1:48" x14ac:dyDescent="0.25">
      <c r="A227" s="12">
        <v>5758</v>
      </c>
      <c r="B227" s="13" t="s">
        <v>246</v>
      </c>
      <c r="C227" s="14">
        <v>271548.27</v>
      </c>
      <c r="D227" s="14">
        <v>38498.6</v>
      </c>
      <c r="E227" s="14"/>
      <c r="F227" s="14">
        <v>880</v>
      </c>
      <c r="G227" s="14">
        <v>640.4</v>
      </c>
      <c r="H227" s="14">
        <v>652.79999999999995</v>
      </c>
      <c r="I227" s="14"/>
      <c r="J227" s="14">
        <v>358.98</v>
      </c>
      <c r="K227" s="14"/>
      <c r="L227" s="14">
        <v>18917.95</v>
      </c>
      <c r="M227" s="3">
        <f t="shared" si="9"/>
        <v>331497</v>
      </c>
      <c r="N227" s="14"/>
      <c r="O227" s="14">
        <v>6147.8</v>
      </c>
      <c r="P227" s="14">
        <v>6503.55</v>
      </c>
      <c r="Q227" s="14"/>
      <c r="R227" s="14"/>
      <c r="S227" s="14"/>
      <c r="T227" s="14"/>
      <c r="U227" s="14">
        <v>880</v>
      </c>
      <c r="V227" s="14"/>
      <c r="W227" s="14"/>
      <c r="X227" s="2">
        <f t="shared" si="10"/>
        <v>345028.35</v>
      </c>
      <c r="Y227" s="14">
        <v>14504.3</v>
      </c>
      <c r="Z227" s="14"/>
      <c r="AA227" s="14">
        <v>26556.6</v>
      </c>
      <c r="AB227" s="14"/>
      <c r="AC227" s="14">
        <v>12623.3</v>
      </c>
      <c r="AD227" s="14">
        <v>30218.6</v>
      </c>
      <c r="AE227" s="14"/>
      <c r="AF227" s="14"/>
      <c r="AG227" s="14"/>
      <c r="AH227" s="14"/>
      <c r="AI227" s="14"/>
      <c r="AJ227" s="14"/>
      <c r="AK227" s="14"/>
      <c r="AL227" s="48">
        <f t="shared" si="11"/>
        <v>83902.799999999988</v>
      </c>
      <c r="AM227" s="22">
        <v>83</v>
      </c>
      <c r="AN227" s="14">
        <v>160</v>
      </c>
      <c r="AO227" s="14">
        <v>-12869.7</v>
      </c>
      <c r="AP227" s="14"/>
      <c r="AQ227" s="14"/>
      <c r="AR227" s="44">
        <v>0.9</v>
      </c>
      <c r="AU227" s="46"/>
      <c r="AV227" s="46"/>
    </row>
    <row r="228" spans="1:48" x14ac:dyDescent="0.25">
      <c r="A228" s="12">
        <v>5759</v>
      </c>
      <c r="B228" s="13" t="s">
        <v>247</v>
      </c>
      <c r="C228" s="14">
        <v>289294.92</v>
      </c>
      <c r="D228" s="14">
        <v>46294.73</v>
      </c>
      <c r="E228" s="14"/>
      <c r="F228" s="14"/>
      <c r="G228" s="14">
        <v>5606.65</v>
      </c>
      <c r="H228" s="14">
        <v>122.25</v>
      </c>
      <c r="I228" s="14"/>
      <c r="J228" s="14">
        <v>2764.98</v>
      </c>
      <c r="K228" s="14">
        <v>242</v>
      </c>
      <c r="L228" s="14">
        <v>25277.3</v>
      </c>
      <c r="M228" s="3">
        <f t="shared" si="9"/>
        <v>369602.82999999996</v>
      </c>
      <c r="N228" s="14">
        <v>2753.1</v>
      </c>
      <c r="O228" s="14"/>
      <c r="P228" s="14">
        <v>7985.8</v>
      </c>
      <c r="Q228" s="14"/>
      <c r="R228" s="14">
        <v>11243.85</v>
      </c>
      <c r="S228" s="14"/>
      <c r="T228" s="14"/>
      <c r="U228" s="14">
        <v>1100</v>
      </c>
      <c r="V228" s="14"/>
      <c r="W228" s="14"/>
      <c r="X228" s="2">
        <f t="shared" si="10"/>
        <v>392685.5799999999</v>
      </c>
      <c r="Y228" s="14"/>
      <c r="Z228" s="14"/>
      <c r="AA228" s="14">
        <v>24937.5</v>
      </c>
      <c r="AB228" s="14"/>
      <c r="AC228" s="14">
        <v>17372.05</v>
      </c>
      <c r="AD228" s="14"/>
      <c r="AE228" s="14"/>
      <c r="AF228" s="14"/>
      <c r="AG228" s="14"/>
      <c r="AH228" s="14"/>
      <c r="AI228" s="14"/>
      <c r="AJ228" s="14"/>
      <c r="AK228" s="14"/>
      <c r="AL228" s="48">
        <f t="shared" si="11"/>
        <v>42309.55</v>
      </c>
      <c r="AM228" s="22">
        <v>81</v>
      </c>
      <c r="AN228" s="14">
        <v>185</v>
      </c>
      <c r="AO228" s="14">
        <v>-212.33</v>
      </c>
      <c r="AP228" s="14"/>
      <c r="AQ228" s="14">
        <v>-133.77000000000001</v>
      </c>
      <c r="AR228" s="44">
        <v>1</v>
      </c>
      <c r="AU228" s="46"/>
      <c r="AV228" s="46"/>
    </row>
    <row r="229" spans="1:48" x14ac:dyDescent="0.25">
      <c r="A229" s="12">
        <v>5760</v>
      </c>
      <c r="B229" s="13" t="s">
        <v>248</v>
      </c>
      <c r="C229" s="14">
        <v>754308.86</v>
      </c>
      <c r="D229" s="14">
        <v>83150.45</v>
      </c>
      <c r="E229" s="14"/>
      <c r="F229" s="14"/>
      <c r="G229" s="14">
        <v>188.400000000001</v>
      </c>
      <c r="H229" s="14">
        <v>832.3</v>
      </c>
      <c r="I229" s="14"/>
      <c r="J229" s="14">
        <v>9017.81</v>
      </c>
      <c r="K229" s="14"/>
      <c r="L229" s="14">
        <v>89292.15</v>
      </c>
      <c r="M229" s="3">
        <f t="shared" si="9"/>
        <v>936789.97000000009</v>
      </c>
      <c r="N229" s="14">
        <v>7957.9</v>
      </c>
      <c r="O229" s="14"/>
      <c r="P229" s="14">
        <v>29868.25</v>
      </c>
      <c r="Q229" s="14">
        <v>475.8</v>
      </c>
      <c r="R229" s="14">
        <v>15800.8</v>
      </c>
      <c r="S229" s="14">
        <v>15.65</v>
      </c>
      <c r="T229" s="14"/>
      <c r="U229" s="14">
        <v>2330</v>
      </c>
      <c r="V229" s="14"/>
      <c r="W229" s="14"/>
      <c r="X229" s="2">
        <f t="shared" si="10"/>
        <v>993238.37000000023</v>
      </c>
      <c r="Y229" s="14"/>
      <c r="Z229" s="14"/>
      <c r="AA229" s="14"/>
      <c r="AB229" s="14">
        <v>43451.85</v>
      </c>
      <c r="AC229" s="14">
        <v>62195.8</v>
      </c>
      <c r="AD229" s="14">
        <v>26791.95</v>
      </c>
      <c r="AE229" s="14"/>
      <c r="AF229" s="14"/>
      <c r="AG229" s="14"/>
      <c r="AH229" s="14"/>
      <c r="AI229" s="14"/>
      <c r="AJ229" s="14"/>
      <c r="AK229" s="14"/>
      <c r="AL229" s="48">
        <f t="shared" si="11"/>
        <v>132439.6</v>
      </c>
      <c r="AM229" s="22">
        <v>78</v>
      </c>
      <c r="AN229" s="14">
        <v>460</v>
      </c>
      <c r="AO229" s="14">
        <v>-12249.95</v>
      </c>
      <c r="AP229" s="14"/>
      <c r="AQ229" s="14">
        <v>-570.33000000000004</v>
      </c>
      <c r="AR229" s="44">
        <v>1.5</v>
      </c>
      <c r="AU229" s="46"/>
      <c r="AV229" s="46"/>
    </row>
    <row r="230" spans="1:48" x14ac:dyDescent="0.25">
      <c r="A230" s="12">
        <v>5761</v>
      </c>
      <c r="B230" s="13" t="s">
        <v>163</v>
      </c>
      <c r="C230" s="14">
        <v>701861.94</v>
      </c>
      <c r="D230" s="14">
        <v>83454.009999999995</v>
      </c>
      <c r="E230" s="14"/>
      <c r="F230" s="14"/>
      <c r="G230" s="14">
        <v>1655.55</v>
      </c>
      <c r="H230" s="14">
        <v>259.7</v>
      </c>
      <c r="I230" s="14"/>
      <c r="J230" s="14">
        <v>8338.2199999999993</v>
      </c>
      <c r="K230" s="14">
        <v>3614.5</v>
      </c>
      <c r="L230" s="14">
        <v>56734.5</v>
      </c>
      <c r="M230" s="3">
        <f t="shared" si="9"/>
        <v>855918.41999999993</v>
      </c>
      <c r="N230" s="14">
        <v>48393.15</v>
      </c>
      <c r="O230" s="14">
        <v>6689.8</v>
      </c>
      <c r="P230" s="14">
        <v>10042.450000000001</v>
      </c>
      <c r="Q230" s="14">
        <v>258.89</v>
      </c>
      <c r="R230" s="14">
        <v>39696.949999999997</v>
      </c>
      <c r="S230" s="14">
        <v>242.5</v>
      </c>
      <c r="T230" s="14"/>
      <c r="U230" s="14">
        <v>2916</v>
      </c>
      <c r="V230" s="14">
        <v>3935.3</v>
      </c>
      <c r="W230" s="14"/>
      <c r="X230" s="2">
        <f t="shared" si="10"/>
        <v>968093.46</v>
      </c>
      <c r="Y230" s="14">
        <v>23157.85</v>
      </c>
      <c r="Z230" s="14"/>
      <c r="AA230" s="14">
        <v>91544.9</v>
      </c>
      <c r="AB230" s="14"/>
      <c r="AC230" s="14">
        <v>48451.3</v>
      </c>
      <c r="AD230" s="14">
        <v>8421.0499999999993</v>
      </c>
      <c r="AE230" s="14"/>
      <c r="AF230" s="14"/>
      <c r="AG230" s="14"/>
      <c r="AH230" s="14">
        <v>15704.55</v>
      </c>
      <c r="AI230" s="14"/>
      <c r="AJ230" s="14"/>
      <c r="AK230" s="14"/>
      <c r="AL230" s="48">
        <f t="shared" si="11"/>
        <v>187279.64999999997</v>
      </c>
      <c r="AM230" s="22">
        <v>76</v>
      </c>
      <c r="AN230" s="14">
        <v>525</v>
      </c>
      <c r="AO230" s="14">
        <v>-7961.9</v>
      </c>
      <c r="AP230" s="14"/>
      <c r="AQ230" s="14"/>
      <c r="AR230" s="44">
        <v>0.8</v>
      </c>
      <c r="AU230" s="46"/>
      <c r="AV230" s="46"/>
    </row>
    <row r="231" spans="1:48" x14ac:dyDescent="0.25">
      <c r="A231" s="12">
        <v>5762</v>
      </c>
      <c r="B231" s="13" t="s">
        <v>164</v>
      </c>
      <c r="C231" s="14">
        <v>221936.12</v>
      </c>
      <c r="D231" s="14">
        <v>19697.52</v>
      </c>
      <c r="E231" s="14"/>
      <c r="F231" s="14"/>
      <c r="G231" s="14">
        <v>-3003.25</v>
      </c>
      <c r="H231" s="14">
        <v>404.85</v>
      </c>
      <c r="I231" s="14"/>
      <c r="J231" s="14">
        <v>1205.19</v>
      </c>
      <c r="K231" s="14"/>
      <c r="L231" s="14">
        <v>18134.099999999999</v>
      </c>
      <c r="M231" s="3">
        <f t="shared" si="9"/>
        <v>258374.53</v>
      </c>
      <c r="N231" s="14">
        <v>4150.2</v>
      </c>
      <c r="O231" s="14"/>
      <c r="P231" s="14"/>
      <c r="Q231" s="14"/>
      <c r="R231" s="14"/>
      <c r="S231" s="14"/>
      <c r="T231" s="14"/>
      <c r="U231" s="14">
        <v>1100</v>
      </c>
      <c r="V231" s="14"/>
      <c r="W231" s="14"/>
      <c r="X231" s="2">
        <f t="shared" si="10"/>
        <v>263624.73</v>
      </c>
      <c r="Y231" s="14"/>
      <c r="Z231" s="14">
        <v>1317</v>
      </c>
      <c r="AA231" s="14">
        <v>5940</v>
      </c>
      <c r="AB231" s="14"/>
      <c r="AC231" s="14">
        <v>12970</v>
      </c>
      <c r="AD231" s="14"/>
      <c r="AE231" s="14">
        <v>1881</v>
      </c>
      <c r="AF231" s="14"/>
      <c r="AG231" s="14"/>
      <c r="AH231" s="14"/>
      <c r="AI231" s="14"/>
      <c r="AJ231" s="14"/>
      <c r="AK231" s="14"/>
      <c r="AL231" s="48">
        <f t="shared" si="11"/>
        <v>22108</v>
      </c>
      <c r="AM231" s="22">
        <v>81</v>
      </c>
      <c r="AN231" s="14">
        <v>144</v>
      </c>
      <c r="AO231" s="14">
        <v>-6884.98</v>
      </c>
      <c r="AP231" s="14"/>
      <c r="AQ231" s="14"/>
      <c r="AR231" s="44">
        <v>1</v>
      </c>
      <c r="AU231" s="46"/>
      <c r="AV231" s="46"/>
    </row>
    <row r="232" spans="1:48" x14ac:dyDescent="0.25">
      <c r="A232" s="12">
        <v>5763</v>
      </c>
      <c r="B232" s="13" t="s">
        <v>165</v>
      </c>
      <c r="C232" s="14">
        <v>874743.56</v>
      </c>
      <c r="D232" s="14">
        <v>97870.1</v>
      </c>
      <c r="E232" s="14"/>
      <c r="F232" s="14">
        <v>3310</v>
      </c>
      <c r="G232" s="14">
        <v>9821.75</v>
      </c>
      <c r="H232" s="14">
        <v>196.9</v>
      </c>
      <c r="I232" s="14"/>
      <c r="J232" s="14">
        <v>35094.410000000003</v>
      </c>
      <c r="K232" s="14">
        <v>3428.5</v>
      </c>
      <c r="L232" s="14">
        <v>73998.649999999994</v>
      </c>
      <c r="M232" s="3">
        <f t="shared" si="9"/>
        <v>1098463.8700000001</v>
      </c>
      <c r="N232" s="14">
        <v>80286.55</v>
      </c>
      <c r="O232" s="14"/>
      <c r="P232" s="14">
        <v>36605.050000000003</v>
      </c>
      <c r="Q232" s="14">
        <v>477.46</v>
      </c>
      <c r="R232" s="14">
        <v>29960.1</v>
      </c>
      <c r="S232" s="14"/>
      <c r="T232" s="14">
        <v>1400</v>
      </c>
      <c r="U232" s="14">
        <v>3650</v>
      </c>
      <c r="V232" s="14"/>
      <c r="W232" s="14"/>
      <c r="X232" s="2">
        <f t="shared" si="10"/>
        <v>1250843.0300000003</v>
      </c>
      <c r="Y232" s="14">
        <v>15624.8</v>
      </c>
      <c r="Z232" s="14"/>
      <c r="AA232" s="14">
        <v>89083.85</v>
      </c>
      <c r="AB232" s="14"/>
      <c r="AC232" s="14">
        <v>56379.85</v>
      </c>
      <c r="AD232" s="14">
        <v>9794.9</v>
      </c>
      <c r="AE232" s="14"/>
      <c r="AF232" s="14"/>
      <c r="AG232" s="14"/>
      <c r="AH232" s="14"/>
      <c r="AI232" s="14"/>
      <c r="AJ232" s="14"/>
      <c r="AK232" s="14"/>
      <c r="AL232" s="48">
        <f t="shared" si="11"/>
        <v>170883.4</v>
      </c>
      <c r="AM232" s="22">
        <v>68</v>
      </c>
      <c r="AN232" s="14">
        <v>600</v>
      </c>
      <c r="AO232" s="14">
        <v>-2029.55</v>
      </c>
      <c r="AP232" s="14"/>
      <c r="AQ232" s="14">
        <v>-129.46</v>
      </c>
      <c r="AR232" s="44">
        <v>1</v>
      </c>
      <c r="AU232" s="46"/>
      <c r="AV232" s="46"/>
    </row>
    <row r="233" spans="1:48" x14ac:dyDescent="0.25">
      <c r="A233" s="12">
        <v>5764</v>
      </c>
      <c r="B233" s="13" t="s">
        <v>371</v>
      </c>
      <c r="C233" s="14">
        <v>4551451.0199999996</v>
      </c>
      <c r="D233" s="14">
        <v>380995.35</v>
      </c>
      <c r="E233" s="14"/>
      <c r="F233" s="14"/>
      <c r="G233" s="14">
        <v>729190</v>
      </c>
      <c r="H233" s="14">
        <v>24493.200000000001</v>
      </c>
      <c r="I233" s="14"/>
      <c r="J233" s="14">
        <v>275244.33</v>
      </c>
      <c r="K233" s="14">
        <v>19187</v>
      </c>
      <c r="L233" s="14">
        <v>379534.25</v>
      </c>
      <c r="M233" s="3">
        <f t="shared" si="9"/>
        <v>6360095.1499999994</v>
      </c>
      <c r="N233" s="14">
        <v>2510152.4500000002</v>
      </c>
      <c r="O233" s="14">
        <v>15995.2</v>
      </c>
      <c r="P233" s="14">
        <v>168100.95</v>
      </c>
      <c r="Q233" s="14">
        <v>34058.699999999997</v>
      </c>
      <c r="R233" s="14">
        <v>139517.35</v>
      </c>
      <c r="S233" s="14">
        <v>668.75</v>
      </c>
      <c r="T233" s="14">
        <v>7605.65</v>
      </c>
      <c r="U233" s="14">
        <v>17692.5</v>
      </c>
      <c r="V233" s="14">
        <v>51345.599999999999</v>
      </c>
      <c r="W233" s="14">
        <v>6163.3</v>
      </c>
      <c r="X233" s="2">
        <f t="shared" si="10"/>
        <v>9311395.5999999978</v>
      </c>
      <c r="Y233" s="14">
        <v>92024</v>
      </c>
      <c r="Z233" s="14">
        <v>17570</v>
      </c>
      <c r="AA233" s="14">
        <v>535193.49</v>
      </c>
      <c r="AB233" s="14"/>
      <c r="AC233" s="14">
        <v>529139.43999999994</v>
      </c>
      <c r="AD233" s="14">
        <v>49712.2</v>
      </c>
      <c r="AE233" s="14">
        <v>7001.95</v>
      </c>
      <c r="AF233" s="14"/>
      <c r="AG233" s="14">
        <v>7429.45</v>
      </c>
      <c r="AH233" s="14">
        <v>186581.65</v>
      </c>
      <c r="AI233" s="14"/>
      <c r="AJ233" s="14"/>
      <c r="AK233" s="14"/>
      <c r="AL233" s="48">
        <f t="shared" si="11"/>
        <v>1424652.1799999997</v>
      </c>
      <c r="AM233" s="22">
        <v>74</v>
      </c>
      <c r="AN233" s="14">
        <v>3650</v>
      </c>
      <c r="AO233" s="14">
        <v>-148221.28</v>
      </c>
      <c r="AP233" s="14"/>
      <c r="AQ233" s="14">
        <v>-777.05</v>
      </c>
      <c r="AR233" s="44">
        <v>1</v>
      </c>
      <c r="AU233" s="46"/>
      <c r="AV233" s="46"/>
    </row>
    <row r="234" spans="1:48" x14ac:dyDescent="0.25">
      <c r="A234" s="12">
        <v>5765</v>
      </c>
      <c r="B234" s="13" t="s">
        <v>372</v>
      </c>
      <c r="C234" s="14">
        <v>621128.92000000004</v>
      </c>
      <c r="D234" s="14">
        <v>63080.81</v>
      </c>
      <c r="E234" s="14"/>
      <c r="F234" s="14"/>
      <c r="G234" s="14">
        <v>10609.55</v>
      </c>
      <c r="H234" s="14">
        <v>412.05</v>
      </c>
      <c r="I234" s="14"/>
      <c r="J234" s="14">
        <v>19926.54</v>
      </c>
      <c r="K234" s="14"/>
      <c r="L234" s="14">
        <v>28230.65</v>
      </c>
      <c r="M234" s="3">
        <f t="shared" si="9"/>
        <v>743388.52000000014</v>
      </c>
      <c r="N234" s="14">
        <v>48456.65</v>
      </c>
      <c r="O234" s="14">
        <v>1661.6</v>
      </c>
      <c r="P234" s="14">
        <v>36810.35</v>
      </c>
      <c r="Q234" s="14">
        <v>910.72</v>
      </c>
      <c r="R234" s="14">
        <v>47579.6</v>
      </c>
      <c r="S234" s="14"/>
      <c r="T234" s="14">
        <v>500</v>
      </c>
      <c r="U234" s="14">
        <v>4260</v>
      </c>
      <c r="V234" s="14">
        <v>805.5</v>
      </c>
      <c r="W234" s="14"/>
      <c r="X234" s="2">
        <f t="shared" si="10"/>
        <v>884372.94000000006</v>
      </c>
      <c r="Y234" s="14"/>
      <c r="Z234" s="14">
        <v>7330.6</v>
      </c>
      <c r="AA234" s="14">
        <v>126733.5</v>
      </c>
      <c r="AB234" s="14"/>
      <c r="AC234" s="14">
        <v>65124.800000000003</v>
      </c>
      <c r="AD234" s="14"/>
      <c r="AE234" s="14">
        <v>4036.15</v>
      </c>
      <c r="AF234" s="14"/>
      <c r="AG234" s="14"/>
      <c r="AH234" s="14"/>
      <c r="AI234" s="14"/>
      <c r="AJ234" s="14"/>
      <c r="AK234" s="14"/>
      <c r="AL234" s="48">
        <f t="shared" si="11"/>
        <v>203225.05000000002</v>
      </c>
      <c r="AM234" s="22">
        <v>81</v>
      </c>
      <c r="AN234" s="14">
        <v>491</v>
      </c>
      <c r="AO234" s="14">
        <v>-18777.439999999999</v>
      </c>
      <c r="AP234" s="14"/>
      <c r="AQ234" s="14">
        <v>-2.06</v>
      </c>
      <c r="AR234" s="44">
        <v>0.5</v>
      </c>
      <c r="AU234" s="46"/>
      <c r="AV234" s="46"/>
    </row>
    <row r="235" spans="1:48" x14ac:dyDescent="0.25">
      <c r="A235" s="12">
        <v>5766</v>
      </c>
      <c r="B235" s="13" t="s">
        <v>373</v>
      </c>
      <c r="C235" s="14">
        <v>719510.64</v>
      </c>
      <c r="D235" s="14">
        <v>84360.42</v>
      </c>
      <c r="E235" s="14"/>
      <c r="F235" s="14"/>
      <c r="G235" s="14">
        <v>-3391.05</v>
      </c>
      <c r="H235" s="14">
        <v>135.15</v>
      </c>
      <c r="I235" s="14"/>
      <c r="J235" s="14">
        <v>28022.61</v>
      </c>
      <c r="K235" s="14">
        <v>3500.5</v>
      </c>
      <c r="L235" s="14">
        <v>47638.65</v>
      </c>
      <c r="M235" s="3">
        <f t="shared" si="9"/>
        <v>879776.92</v>
      </c>
      <c r="N235" s="14">
        <v>24719.4</v>
      </c>
      <c r="O235" s="14"/>
      <c r="P235" s="14">
        <v>50012.4</v>
      </c>
      <c r="Q235" s="14">
        <v>5349.14</v>
      </c>
      <c r="R235" s="14">
        <v>14994.75</v>
      </c>
      <c r="S235" s="14">
        <v>62.5</v>
      </c>
      <c r="T235" s="14"/>
      <c r="U235" s="14">
        <v>1860</v>
      </c>
      <c r="V235" s="14"/>
      <c r="W235" s="14"/>
      <c r="X235" s="2">
        <f t="shared" si="10"/>
        <v>976775.1100000001</v>
      </c>
      <c r="Y235" s="14"/>
      <c r="Z235" s="14"/>
      <c r="AA235" s="14">
        <v>38130.6</v>
      </c>
      <c r="AB235" s="14"/>
      <c r="AC235" s="14">
        <v>21026.7</v>
      </c>
      <c r="AD235" s="14"/>
      <c r="AE235" s="14"/>
      <c r="AF235" s="14"/>
      <c r="AG235" s="14"/>
      <c r="AH235" s="14"/>
      <c r="AI235" s="14"/>
      <c r="AJ235" s="14"/>
      <c r="AK235" s="14"/>
      <c r="AL235" s="48">
        <f t="shared" si="11"/>
        <v>59157.3</v>
      </c>
      <c r="AM235" s="22">
        <v>77</v>
      </c>
      <c r="AN235" s="14">
        <v>538</v>
      </c>
      <c r="AO235" s="14">
        <v>-11189.5</v>
      </c>
      <c r="AP235" s="14"/>
      <c r="AQ235" s="14">
        <v>-0.75</v>
      </c>
      <c r="AR235" s="44">
        <v>0.7</v>
      </c>
      <c r="AU235" s="46"/>
      <c r="AV235" s="46"/>
    </row>
    <row r="236" spans="1:48" x14ac:dyDescent="0.25">
      <c r="A236" s="12">
        <v>5785</v>
      </c>
      <c r="B236" s="13" t="s">
        <v>312</v>
      </c>
      <c r="C236" s="14">
        <v>697174.32</v>
      </c>
      <c r="D236" s="14">
        <v>153735.53</v>
      </c>
      <c r="E236" s="14"/>
      <c r="F236" s="14"/>
      <c r="G236" s="14">
        <v>40636.800000000003</v>
      </c>
      <c r="H236" s="14">
        <v>-519.20000000000005</v>
      </c>
      <c r="I236" s="14"/>
      <c r="J236" s="14">
        <v>15849.26</v>
      </c>
      <c r="K236" s="14">
        <v>1403.5</v>
      </c>
      <c r="L236" s="14">
        <v>63505.9</v>
      </c>
      <c r="M236" s="3">
        <f t="shared" si="9"/>
        <v>971786.1100000001</v>
      </c>
      <c r="N236" s="14">
        <v>2882.75</v>
      </c>
      <c r="O236" s="14"/>
      <c r="P236" s="14">
        <v>24171.95</v>
      </c>
      <c r="Q236" s="14">
        <v>3506.43</v>
      </c>
      <c r="R236" s="14">
        <v>14777.4</v>
      </c>
      <c r="S236" s="14">
        <v>37.5</v>
      </c>
      <c r="T236" s="14"/>
      <c r="U236" s="14">
        <v>2920</v>
      </c>
      <c r="V236" s="14"/>
      <c r="W236" s="14"/>
      <c r="X236" s="2">
        <f t="shared" si="10"/>
        <v>1020082.1400000001</v>
      </c>
      <c r="Y236" s="14">
        <v>12000</v>
      </c>
      <c r="Z236" s="14"/>
      <c r="AA236" s="14">
        <v>67169.649999999994</v>
      </c>
      <c r="AB236" s="14"/>
      <c r="AC236" s="14">
        <v>39228.699999999997</v>
      </c>
      <c r="AD236" s="14">
        <v>23200</v>
      </c>
      <c r="AE236" s="14"/>
      <c r="AF236" s="14"/>
      <c r="AG236" s="14"/>
      <c r="AH236" s="14"/>
      <c r="AI236" s="14"/>
      <c r="AJ236" s="14"/>
      <c r="AK236" s="14"/>
      <c r="AL236" s="48">
        <f t="shared" si="11"/>
        <v>141598.34999999998</v>
      </c>
      <c r="AM236" s="22">
        <v>79</v>
      </c>
      <c r="AN236" s="14">
        <v>421</v>
      </c>
      <c r="AO236" s="14">
        <v>-4128.7700000000004</v>
      </c>
      <c r="AP236" s="14"/>
      <c r="AQ236" s="14">
        <v>-12.16</v>
      </c>
      <c r="AR236" s="44">
        <v>1</v>
      </c>
      <c r="AU236" s="46"/>
      <c r="AV236" s="46"/>
    </row>
    <row r="237" spans="1:48" x14ac:dyDescent="0.25">
      <c r="A237" s="12">
        <v>5788</v>
      </c>
      <c r="B237" s="13" t="s">
        <v>313</v>
      </c>
      <c r="C237" s="14">
        <v>564861.71</v>
      </c>
      <c r="D237" s="14">
        <v>80415.66</v>
      </c>
      <c r="E237" s="14"/>
      <c r="F237" s="14"/>
      <c r="G237" s="14">
        <v>19100.8</v>
      </c>
      <c r="H237" s="14">
        <v>22.55</v>
      </c>
      <c r="I237" s="14"/>
      <c r="J237" s="14">
        <v>13513.84</v>
      </c>
      <c r="K237" s="14">
        <v>585</v>
      </c>
      <c r="L237" s="14">
        <v>67916.75</v>
      </c>
      <c r="M237" s="3">
        <f t="shared" si="9"/>
        <v>746416.31</v>
      </c>
      <c r="N237" s="14"/>
      <c r="O237" s="14"/>
      <c r="P237" s="14">
        <v>28754.45</v>
      </c>
      <c r="Q237" s="14">
        <v>1691.93</v>
      </c>
      <c r="R237" s="14">
        <v>14682.5</v>
      </c>
      <c r="S237" s="14">
        <v>50</v>
      </c>
      <c r="T237" s="14"/>
      <c r="U237" s="14">
        <v>1260</v>
      </c>
      <c r="V237" s="14"/>
      <c r="W237" s="14"/>
      <c r="X237" s="2">
        <f t="shared" si="10"/>
        <v>792855.19000000006</v>
      </c>
      <c r="Y237" s="14">
        <v>14500</v>
      </c>
      <c r="Z237" s="14"/>
      <c r="AA237" s="14">
        <v>41936</v>
      </c>
      <c r="AB237" s="14"/>
      <c r="AC237" s="14">
        <v>17622.8</v>
      </c>
      <c r="AD237" s="14"/>
      <c r="AE237" s="14"/>
      <c r="AF237" s="14"/>
      <c r="AG237" s="14"/>
      <c r="AH237" s="14"/>
      <c r="AI237" s="14"/>
      <c r="AJ237" s="14"/>
      <c r="AK237" s="14"/>
      <c r="AL237" s="48">
        <f t="shared" si="11"/>
        <v>74058.8</v>
      </c>
      <c r="AM237" s="22">
        <v>70</v>
      </c>
      <c r="AN237" s="14">
        <v>330</v>
      </c>
      <c r="AO237" s="14">
        <v>-5662.5</v>
      </c>
      <c r="AP237" s="14"/>
      <c r="AQ237" s="14"/>
      <c r="AR237" s="44">
        <v>1.25</v>
      </c>
      <c r="AU237" s="46"/>
      <c r="AV237" s="46"/>
    </row>
    <row r="238" spans="1:48" x14ac:dyDescent="0.25">
      <c r="A238" s="12">
        <v>5790</v>
      </c>
      <c r="B238" s="13" t="s">
        <v>314</v>
      </c>
      <c r="C238" s="14">
        <v>745551.48</v>
      </c>
      <c r="D238" s="14">
        <v>99518.94</v>
      </c>
      <c r="E238" s="14"/>
      <c r="F238" s="14"/>
      <c r="G238" s="14">
        <v>4610.8999999999996</v>
      </c>
      <c r="H238" s="14">
        <v>89.35</v>
      </c>
      <c r="I238" s="14"/>
      <c r="J238" s="14">
        <v>12721.95</v>
      </c>
      <c r="K238" s="14">
        <v>277.5</v>
      </c>
      <c r="L238" s="14">
        <v>69145.850000000006</v>
      </c>
      <c r="M238" s="3">
        <f t="shared" si="9"/>
        <v>931915.96999999986</v>
      </c>
      <c r="N238" s="14"/>
      <c r="O238" s="14">
        <v>83250</v>
      </c>
      <c r="P238" s="14">
        <v>98365.7</v>
      </c>
      <c r="Q238" s="14"/>
      <c r="R238" s="14">
        <v>33697.050000000003</v>
      </c>
      <c r="S238" s="14"/>
      <c r="T238" s="14">
        <v>52</v>
      </c>
      <c r="U238" s="14">
        <v>4850</v>
      </c>
      <c r="V238" s="14"/>
      <c r="W238" s="14"/>
      <c r="X238" s="2">
        <f t="shared" si="10"/>
        <v>1152130.72</v>
      </c>
      <c r="Y238" s="14">
        <v>28117</v>
      </c>
      <c r="Z238" s="14"/>
      <c r="AA238" s="14">
        <v>57470.8</v>
      </c>
      <c r="AB238" s="14"/>
      <c r="AC238" s="14">
        <v>23687.35</v>
      </c>
      <c r="AD238" s="14">
        <v>3267</v>
      </c>
      <c r="AE238" s="14"/>
      <c r="AF238" s="14"/>
      <c r="AG238" s="14"/>
      <c r="AH238" s="14"/>
      <c r="AI238" s="14"/>
      <c r="AJ238" s="14"/>
      <c r="AK238" s="14"/>
      <c r="AL238" s="48">
        <f t="shared" si="11"/>
        <v>112542.15</v>
      </c>
      <c r="AM238" s="22">
        <v>76</v>
      </c>
      <c r="AN238" s="14">
        <v>444</v>
      </c>
      <c r="AO238" s="14">
        <v>-11711.9</v>
      </c>
      <c r="AP238" s="14"/>
      <c r="AQ238" s="14">
        <v>-18.18</v>
      </c>
      <c r="AR238" s="44">
        <v>1</v>
      </c>
      <c r="AU238" s="46"/>
      <c r="AV238" s="46"/>
    </row>
    <row r="239" spans="1:48" x14ac:dyDescent="0.25">
      <c r="A239" s="12">
        <v>5792</v>
      </c>
      <c r="B239" s="13" t="s">
        <v>315</v>
      </c>
      <c r="C239" s="14">
        <v>1202912.3</v>
      </c>
      <c r="D239" s="14">
        <v>88722.2</v>
      </c>
      <c r="E239" s="14"/>
      <c r="F239" s="14"/>
      <c r="G239" s="14">
        <v>60123</v>
      </c>
      <c r="H239" s="14">
        <v>828.55</v>
      </c>
      <c r="I239" s="14"/>
      <c r="J239" s="14">
        <v>24804.82</v>
      </c>
      <c r="K239" s="14">
        <v>1418</v>
      </c>
      <c r="L239" s="14">
        <v>98953.7</v>
      </c>
      <c r="M239" s="3">
        <f t="shared" si="9"/>
        <v>1477762.57</v>
      </c>
      <c r="N239" s="14">
        <v>2352.5500000000002</v>
      </c>
      <c r="O239" s="14"/>
      <c r="P239" s="14">
        <v>14575</v>
      </c>
      <c r="Q239" s="14">
        <v>56.1</v>
      </c>
      <c r="R239" s="14">
        <v>42126.85</v>
      </c>
      <c r="S239" s="14">
        <v>62.5</v>
      </c>
      <c r="T239" s="14"/>
      <c r="U239" s="14">
        <v>2550</v>
      </c>
      <c r="V239" s="14"/>
      <c r="W239" s="14"/>
      <c r="X239" s="2">
        <f t="shared" si="10"/>
        <v>1539485.5700000003</v>
      </c>
      <c r="Y239" s="14">
        <v>33169.599999999999</v>
      </c>
      <c r="Z239" s="14"/>
      <c r="AA239" s="14">
        <v>64342.45</v>
      </c>
      <c r="AB239" s="14"/>
      <c r="AC239" s="14">
        <v>40200</v>
      </c>
      <c r="AD239" s="14"/>
      <c r="AE239" s="14"/>
      <c r="AF239" s="14"/>
      <c r="AG239" s="14"/>
      <c r="AH239" s="14">
        <v>12531.95</v>
      </c>
      <c r="AI239" s="14"/>
      <c r="AJ239" s="14"/>
      <c r="AK239" s="14"/>
      <c r="AL239" s="48">
        <f t="shared" si="11"/>
        <v>150244</v>
      </c>
      <c r="AM239" s="22">
        <v>77</v>
      </c>
      <c r="AN239" s="14">
        <v>628</v>
      </c>
      <c r="AO239" s="14">
        <v>-7993.22</v>
      </c>
      <c r="AP239" s="14"/>
      <c r="AQ239" s="14">
        <v>-11.4</v>
      </c>
      <c r="AR239" s="44">
        <v>1</v>
      </c>
      <c r="AU239" s="46"/>
      <c r="AV239" s="46"/>
    </row>
    <row r="240" spans="1:48" x14ac:dyDescent="0.25">
      <c r="A240" s="12">
        <v>5798</v>
      </c>
      <c r="B240" s="13" t="s">
        <v>316</v>
      </c>
      <c r="C240" s="14">
        <v>624192.64</v>
      </c>
      <c r="D240" s="14">
        <v>65662.95</v>
      </c>
      <c r="E240" s="14"/>
      <c r="F240" s="14"/>
      <c r="G240" s="14">
        <v>2487.6499999999901</v>
      </c>
      <c r="H240" s="14">
        <v>657.05</v>
      </c>
      <c r="I240" s="14"/>
      <c r="J240" s="14">
        <v>19144.34</v>
      </c>
      <c r="K240" s="14">
        <v>3908</v>
      </c>
      <c r="L240" s="14">
        <v>36274.300000000003</v>
      </c>
      <c r="M240" s="3">
        <f t="shared" si="9"/>
        <v>752326.93</v>
      </c>
      <c r="N240" s="14"/>
      <c r="O240" s="14">
        <v>1357.7</v>
      </c>
      <c r="P240" s="14">
        <v>75699.55</v>
      </c>
      <c r="Q240" s="14">
        <v>6526.93</v>
      </c>
      <c r="R240" s="14">
        <v>9677.2999999999993</v>
      </c>
      <c r="S240" s="14">
        <v>87.5</v>
      </c>
      <c r="T240" s="14"/>
      <c r="U240" s="14">
        <v>2340</v>
      </c>
      <c r="V240" s="14"/>
      <c r="W240" s="14"/>
      <c r="X240" s="2">
        <f t="shared" si="10"/>
        <v>848015.91000000015</v>
      </c>
      <c r="Y240" s="14">
        <v>67960</v>
      </c>
      <c r="Z240" s="14"/>
      <c r="AA240" s="14">
        <v>51225</v>
      </c>
      <c r="AB240" s="14"/>
      <c r="AC240" s="14">
        <v>27450.2</v>
      </c>
      <c r="AD240" s="14">
        <v>38652.5</v>
      </c>
      <c r="AE240" s="14"/>
      <c r="AF240" s="14"/>
      <c r="AG240" s="14"/>
      <c r="AH240" s="14"/>
      <c r="AI240" s="14"/>
      <c r="AJ240" s="14"/>
      <c r="AK240" s="14"/>
      <c r="AL240" s="48">
        <f t="shared" si="11"/>
        <v>185287.7</v>
      </c>
      <c r="AM240" s="22">
        <v>77.5</v>
      </c>
      <c r="AN240" s="14">
        <v>405</v>
      </c>
      <c r="AO240" s="14">
        <v>-17870</v>
      </c>
      <c r="AP240" s="14"/>
      <c r="AQ240" s="14">
        <v>-215.09</v>
      </c>
      <c r="AR240" s="44">
        <v>1</v>
      </c>
      <c r="AU240" s="46"/>
      <c r="AV240" s="46"/>
    </row>
    <row r="241" spans="1:48" x14ac:dyDescent="0.25">
      <c r="A241" s="12">
        <v>5799</v>
      </c>
      <c r="B241" s="13" t="s">
        <v>317</v>
      </c>
      <c r="C241" s="14">
        <v>3219961.95</v>
      </c>
      <c r="D241" s="14">
        <v>334036.23</v>
      </c>
      <c r="E241" s="14"/>
      <c r="F241" s="14"/>
      <c r="G241" s="14">
        <v>-203097.45</v>
      </c>
      <c r="H241" s="14">
        <v>1113.9000000000001</v>
      </c>
      <c r="I241" s="14">
        <v>-31893.4</v>
      </c>
      <c r="J241" s="14">
        <v>-1619.8999999999901</v>
      </c>
      <c r="K241" s="14">
        <v>12399.5</v>
      </c>
      <c r="L241" s="14">
        <v>332522.45</v>
      </c>
      <c r="M241" s="3">
        <f t="shared" si="9"/>
        <v>3663423.2800000003</v>
      </c>
      <c r="N241" s="14">
        <v>12106.1</v>
      </c>
      <c r="O241" s="14">
        <v>166291.29999999999</v>
      </c>
      <c r="P241" s="14">
        <v>141393.15</v>
      </c>
      <c r="Q241" s="14">
        <v>2132.88</v>
      </c>
      <c r="R241" s="14">
        <v>172923.1</v>
      </c>
      <c r="S241" s="14">
        <v>3425</v>
      </c>
      <c r="T241" s="14"/>
      <c r="U241" s="14">
        <v>9275</v>
      </c>
      <c r="V241" s="14">
        <v>64228</v>
      </c>
      <c r="W241" s="14"/>
      <c r="X241" s="2">
        <f t="shared" si="10"/>
        <v>4235197.8100000005</v>
      </c>
      <c r="Y241" s="14">
        <v>12686.4</v>
      </c>
      <c r="Z241" s="14"/>
      <c r="AA241" s="14">
        <v>225052.85</v>
      </c>
      <c r="AB241" s="14"/>
      <c r="AC241" s="14">
        <v>113106.3</v>
      </c>
      <c r="AD241" s="14"/>
      <c r="AE241" s="14"/>
      <c r="AF241" s="14"/>
      <c r="AG241" s="14"/>
      <c r="AH241" s="14">
        <v>53718.9</v>
      </c>
      <c r="AI241" s="14"/>
      <c r="AJ241" s="14"/>
      <c r="AK241" s="14"/>
      <c r="AL241" s="48">
        <f t="shared" si="11"/>
        <v>404564.45</v>
      </c>
      <c r="AM241" s="22">
        <v>69</v>
      </c>
      <c r="AN241" s="14">
        <v>1908</v>
      </c>
      <c r="AO241" s="14">
        <v>-121078.9</v>
      </c>
      <c r="AP241" s="14"/>
      <c r="AQ241" s="14">
        <v>-190.3</v>
      </c>
      <c r="AR241" s="44">
        <v>1</v>
      </c>
      <c r="AU241" s="46"/>
      <c r="AV241" s="46"/>
    </row>
    <row r="242" spans="1:48" x14ac:dyDescent="0.25">
      <c r="A242" s="12">
        <v>5803</v>
      </c>
      <c r="B242" s="13" t="s">
        <v>420</v>
      </c>
      <c r="C242" s="14">
        <v>821660</v>
      </c>
      <c r="D242" s="14">
        <v>117914.6</v>
      </c>
      <c r="E242" s="14"/>
      <c r="F242" s="14"/>
      <c r="G242" s="14">
        <v>-7241.2</v>
      </c>
      <c r="H242" s="14">
        <v>254.15</v>
      </c>
      <c r="I242" s="14"/>
      <c r="J242" s="14">
        <v>23729.41</v>
      </c>
      <c r="K242" s="14"/>
      <c r="L242" s="14">
        <v>67846.75</v>
      </c>
      <c r="M242" s="3">
        <f t="shared" si="9"/>
        <v>1024163.7100000001</v>
      </c>
      <c r="N242" s="14"/>
      <c r="O242" s="14">
        <v>9342.2999999999993</v>
      </c>
      <c r="P242" s="14">
        <v>58169.8</v>
      </c>
      <c r="Q242" s="14"/>
      <c r="R242" s="14">
        <v>105581.4</v>
      </c>
      <c r="S242" s="14">
        <v>750</v>
      </c>
      <c r="T242" s="14"/>
      <c r="U242" s="14">
        <v>5450</v>
      </c>
      <c r="V242" s="14">
        <v>300</v>
      </c>
      <c r="W242" s="14"/>
      <c r="X242" s="2">
        <f t="shared" si="10"/>
        <v>1203757.21</v>
      </c>
      <c r="Y242" s="14">
        <v>24725</v>
      </c>
      <c r="Z242" s="14"/>
      <c r="AA242" s="14">
        <v>36712</v>
      </c>
      <c r="AB242" s="14"/>
      <c r="AC242" s="14">
        <v>25035.8</v>
      </c>
      <c r="AD242" s="14">
        <v>43510</v>
      </c>
      <c r="AE242" s="14">
        <v>10200</v>
      </c>
      <c r="AF242" s="14"/>
      <c r="AG242" s="14"/>
      <c r="AH242" s="14"/>
      <c r="AI242" s="14"/>
      <c r="AJ242" s="14"/>
      <c r="AK242" s="14"/>
      <c r="AL242" s="48">
        <f t="shared" si="11"/>
        <v>140182.79999999999</v>
      </c>
      <c r="AM242" s="22">
        <v>81</v>
      </c>
      <c r="AN242" s="14">
        <v>462</v>
      </c>
      <c r="AO242" s="14">
        <v>-4227.03</v>
      </c>
      <c r="AP242" s="14"/>
      <c r="AQ242" s="14">
        <v>-215.58</v>
      </c>
      <c r="AR242" s="44">
        <v>1</v>
      </c>
      <c r="AU242" s="46"/>
      <c r="AV242" s="46"/>
    </row>
    <row r="243" spans="1:48" x14ac:dyDescent="0.25">
      <c r="A243" s="12">
        <v>5804</v>
      </c>
      <c r="B243" s="13" t="s">
        <v>481</v>
      </c>
      <c r="C243" s="14">
        <v>2435371.29</v>
      </c>
      <c r="D243" s="14">
        <v>245178.48</v>
      </c>
      <c r="E243" s="14"/>
      <c r="F243" s="14"/>
      <c r="G243" s="14">
        <v>25178.7</v>
      </c>
      <c r="H243" s="14">
        <v>850.8</v>
      </c>
      <c r="I243" s="14"/>
      <c r="J243" s="14">
        <v>48482.51</v>
      </c>
      <c r="K243" s="14">
        <v>3083</v>
      </c>
      <c r="L243" s="14">
        <v>226004.05</v>
      </c>
      <c r="M243" s="3">
        <f t="shared" si="9"/>
        <v>2984148.8299999996</v>
      </c>
      <c r="N243" s="14">
        <v>11176.1</v>
      </c>
      <c r="O243" s="14">
        <v>80554.899999999994</v>
      </c>
      <c r="P243" s="14">
        <v>39469.449999999997</v>
      </c>
      <c r="Q243" s="14">
        <v>2905.39</v>
      </c>
      <c r="R243" s="14">
        <v>106455.55</v>
      </c>
      <c r="S243" s="14">
        <v>187.5</v>
      </c>
      <c r="T243" s="14">
        <v>1460</v>
      </c>
      <c r="U243" s="14">
        <v>12600</v>
      </c>
      <c r="V243" s="14"/>
      <c r="W243" s="14"/>
      <c r="X243" s="2">
        <f t="shared" si="10"/>
        <v>3238957.7199999997</v>
      </c>
      <c r="Y243" s="14">
        <v>17904.25</v>
      </c>
      <c r="Z243" s="14"/>
      <c r="AA243" s="14">
        <v>262686.95</v>
      </c>
      <c r="AB243" s="14"/>
      <c r="AC243" s="14">
        <v>138392.07</v>
      </c>
      <c r="AD243" s="14">
        <v>23145.55</v>
      </c>
      <c r="AE243" s="14"/>
      <c r="AF243" s="14"/>
      <c r="AG243" s="14"/>
      <c r="AH243" s="14">
        <v>38858.800000000003</v>
      </c>
      <c r="AI243" s="14"/>
      <c r="AJ243" s="14"/>
      <c r="AK243" s="14"/>
      <c r="AL243" s="48">
        <f t="shared" si="11"/>
        <v>480987.62</v>
      </c>
      <c r="AM243" s="22">
        <v>72</v>
      </c>
      <c r="AN243" s="14">
        <v>1518</v>
      </c>
      <c r="AO243" s="14">
        <v>-23139.38</v>
      </c>
      <c r="AP243" s="14"/>
      <c r="AQ243" s="14">
        <v>-130.82</v>
      </c>
      <c r="AR243" s="44">
        <v>1</v>
      </c>
      <c r="AU243" s="46"/>
      <c r="AV243" s="46"/>
    </row>
    <row r="244" spans="1:48" x14ac:dyDescent="0.25">
      <c r="A244" s="12">
        <v>5805</v>
      </c>
      <c r="B244" s="13" t="s">
        <v>483</v>
      </c>
      <c r="C244" s="14">
        <v>6993796.2999999998</v>
      </c>
      <c r="D244" s="14">
        <v>1015863.01</v>
      </c>
      <c r="E244" s="14"/>
      <c r="F244" s="14"/>
      <c r="G244" s="14">
        <v>1023286.1</v>
      </c>
      <c r="H244" s="14">
        <v>37609.050000000003</v>
      </c>
      <c r="I244" s="14"/>
      <c r="J244" s="14">
        <v>292998.82</v>
      </c>
      <c r="K244" s="14">
        <v>54190.5</v>
      </c>
      <c r="L244" s="14">
        <v>865828.25</v>
      </c>
      <c r="M244" s="3">
        <f t="shared" si="9"/>
        <v>10283572.030000001</v>
      </c>
      <c r="N244" s="14">
        <v>64015.55</v>
      </c>
      <c r="O244" s="14">
        <v>202501</v>
      </c>
      <c r="P244" s="14">
        <v>446393.35</v>
      </c>
      <c r="Q244" s="14">
        <v>91617.54</v>
      </c>
      <c r="R244" s="14">
        <v>235229.15</v>
      </c>
      <c r="S244" s="14">
        <v>4667.5</v>
      </c>
      <c r="T244" s="14"/>
      <c r="U244" s="14">
        <v>37400</v>
      </c>
      <c r="V244" s="14">
        <v>2550</v>
      </c>
      <c r="W244" s="14">
        <v>1959.5</v>
      </c>
      <c r="X244" s="2">
        <f t="shared" si="10"/>
        <v>11369905.620000001</v>
      </c>
      <c r="Y244" s="14">
        <v>197320.5</v>
      </c>
      <c r="Z244" s="14"/>
      <c r="AA244" s="14">
        <v>766725.8</v>
      </c>
      <c r="AB244" s="14"/>
      <c r="AC244" s="14">
        <v>528385.75</v>
      </c>
      <c r="AD244" s="14">
        <v>96902.399999999994</v>
      </c>
      <c r="AE244" s="14"/>
      <c r="AF244" s="14"/>
      <c r="AG244" s="14"/>
      <c r="AH244" s="14"/>
      <c r="AI244" s="14"/>
      <c r="AJ244" s="14"/>
      <c r="AK244" s="14"/>
      <c r="AL244" s="48">
        <f t="shared" si="11"/>
        <v>1589334.45</v>
      </c>
      <c r="AM244" s="22">
        <v>69</v>
      </c>
      <c r="AN244" s="14">
        <v>5297</v>
      </c>
      <c r="AO244" s="14">
        <v>-185423.1</v>
      </c>
      <c r="AP244" s="14"/>
      <c r="AQ244" s="14">
        <v>-2243.63</v>
      </c>
      <c r="AR244" s="44">
        <v>1.1000000000000001</v>
      </c>
      <c r="AU244" s="46"/>
      <c r="AV244" s="46"/>
    </row>
    <row r="245" spans="1:48" x14ac:dyDescent="0.25">
      <c r="A245" s="12">
        <v>5806</v>
      </c>
      <c r="B245" s="13" t="s">
        <v>595</v>
      </c>
      <c r="C245" s="14">
        <v>5009785.8900000006</v>
      </c>
      <c r="D245" s="14">
        <v>582174.80000000005</v>
      </c>
      <c r="E245" s="14">
        <v>0</v>
      </c>
      <c r="F245" s="14">
        <v>0</v>
      </c>
      <c r="G245" s="14">
        <v>205219</v>
      </c>
      <c r="H245" s="14">
        <v>2290.25</v>
      </c>
      <c r="I245" s="14">
        <v>54947.5</v>
      </c>
      <c r="J245" s="14">
        <v>121870.14</v>
      </c>
      <c r="K245" s="14">
        <v>14537</v>
      </c>
      <c r="L245" s="14">
        <v>427238</v>
      </c>
      <c r="M245" s="3">
        <f t="shared" si="9"/>
        <v>6418062.5800000001</v>
      </c>
      <c r="N245" s="14">
        <v>16699.75</v>
      </c>
      <c r="O245" s="14">
        <v>71559.199999999997</v>
      </c>
      <c r="P245" s="14">
        <v>175833.05000000002</v>
      </c>
      <c r="Q245" s="14">
        <v>19636.68</v>
      </c>
      <c r="R245" s="14">
        <v>181033.60000000001</v>
      </c>
      <c r="S245" s="14">
        <v>481.25</v>
      </c>
      <c r="T245" s="14">
        <v>2250</v>
      </c>
      <c r="U245" s="14">
        <v>11020</v>
      </c>
      <c r="V245" s="14">
        <v>20000</v>
      </c>
      <c r="W245" s="14">
        <v>0</v>
      </c>
      <c r="X245" s="2">
        <f t="shared" si="10"/>
        <v>6916576.1099999994</v>
      </c>
      <c r="Y245" s="14">
        <v>91738.6</v>
      </c>
      <c r="Z245" s="14">
        <v>0</v>
      </c>
      <c r="AA245" s="14">
        <v>353620.35</v>
      </c>
      <c r="AB245" s="14">
        <v>0</v>
      </c>
      <c r="AC245" s="14">
        <v>148840.59999999998</v>
      </c>
      <c r="AD245" s="14">
        <v>68197.5</v>
      </c>
      <c r="AE245" s="14">
        <v>0</v>
      </c>
      <c r="AF245" s="14">
        <v>0</v>
      </c>
      <c r="AG245" s="14">
        <v>2082</v>
      </c>
      <c r="AH245" s="14">
        <v>0</v>
      </c>
      <c r="AI245" s="14">
        <v>0</v>
      </c>
      <c r="AJ245" s="14">
        <v>0</v>
      </c>
      <c r="AK245" s="14">
        <v>0</v>
      </c>
      <c r="AL245" s="48">
        <f t="shared" si="11"/>
        <v>664479.04999999993</v>
      </c>
      <c r="AM245" s="22">
        <v>76.12</v>
      </c>
      <c r="AN245" s="14">
        <v>2755</v>
      </c>
      <c r="AO245" s="14">
        <v>-114928.05</v>
      </c>
      <c r="AP245" s="14">
        <v>0</v>
      </c>
      <c r="AQ245" s="14">
        <v>-292.87</v>
      </c>
      <c r="AR245" s="360">
        <v>1</v>
      </c>
      <c r="AU245" s="46"/>
      <c r="AV245" s="46"/>
    </row>
    <row r="246" spans="1:48" x14ac:dyDescent="0.25">
      <c r="A246" s="12">
        <v>5812</v>
      </c>
      <c r="B246" s="13" t="s">
        <v>421</v>
      </c>
      <c r="C246" s="14">
        <v>163027.28</v>
      </c>
      <c r="D246" s="14">
        <v>11173.2</v>
      </c>
      <c r="E246" s="14"/>
      <c r="F246" s="14"/>
      <c r="G246" s="14">
        <v>1161.5</v>
      </c>
      <c r="H246" s="14">
        <v>155.85</v>
      </c>
      <c r="I246" s="14"/>
      <c r="J246" s="14">
        <v>-308.89</v>
      </c>
      <c r="K246" s="14">
        <v>10</v>
      </c>
      <c r="L246" s="14">
        <v>11621.7</v>
      </c>
      <c r="M246" s="3">
        <f t="shared" si="9"/>
        <v>186840.64</v>
      </c>
      <c r="N246" s="14"/>
      <c r="O246" s="14"/>
      <c r="P246" s="14">
        <v>15914.85</v>
      </c>
      <c r="Q246" s="14">
        <v>70.48</v>
      </c>
      <c r="R246" s="14">
        <v>19161.75</v>
      </c>
      <c r="S246" s="14"/>
      <c r="T246" s="14"/>
      <c r="U246" s="14">
        <v>560</v>
      </c>
      <c r="V246" s="14"/>
      <c r="W246" s="14"/>
      <c r="X246" s="2">
        <f t="shared" si="10"/>
        <v>222547.72000000003</v>
      </c>
      <c r="Y246" s="14"/>
      <c r="Z246" s="14"/>
      <c r="AA246" s="14">
        <v>11158</v>
      </c>
      <c r="AB246" s="14"/>
      <c r="AC246" s="14">
        <v>6973</v>
      </c>
      <c r="AD246" s="14"/>
      <c r="AE246" s="14"/>
      <c r="AF246" s="14">
        <v>120</v>
      </c>
      <c r="AG246" s="14"/>
      <c r="AH246" s="14">
        <v>2834</v>
      </c>
      <c r="AI246" s="14"/>
      <c r="AJ246" s="14"/>
      <c r="AK246" s="14"/>
      <c r="AL246" s="48">
        <f t="shared" si="11"/>
        <v>21085</v>
      </c>
      <c r="AM246" s="22">
        <v>77</v>
      </c>
      <c r="AN246" s="14">
        <v>133</v>
      </c>
      <c r="AO246" s="14">
        <v>-3462.07</v>
      </c>
      <c r="AP246" s="14"/>
      <c r="AQ246" s="14"/>
      <c r="AR246" s="44">
        <v>0.8</v>
      </c>
      <c r="AU246" s="46"/>
      <c r="AV246" s="46"/>
    </row>
    <row r="247" spans="1:48" x14ac:dyDescent="0.25">
      <c r="A247" s="12">
        <v>5813</v>
      </c>
      <c r="B247" s="13" t="s">
        <v>422</v>
      </c>
      <c r="C247" s="14">
        <v>617060.85</v>
      </c>
      <c r="D247" s="14">
        <v>92185.93</v>
      </c>
      <c r="E247" s="14"/>
      <c r="F247" s="14">
        <v>2730</v>
      </c>
      <c r="G247" s="14">
        <v>21089.7</v>
      </c>
      <c r="H247" s="14">
        <v>359.25</v>
      </c>
      <c r="I247" s="14"/>
      <c r="J247" s="14">
        <v>18253.95</v>
      </c>
      <c r="K247" s="14"/>
      <c r="L247" s="14">
        <v>80261.100000000006</v>
      </c>
      <c r="M247" s="3">
        <f t="shared" si="9"/>
        <v>831940.77999999991</v>
      </c>
      <c r="N247" s="14"/>
      <c r="O247" s="14">
        <v>10436.1</v>
      </c>
      <c r="P247" s="14">
        <v>35255</v>
      </c>
      <c r="Q247" s="14">
        <v>104.31</v>
      </c>
      <c r="R247" s="14">
        <v>20744.099999999999</v>
      </c>
      <c r="S247" s="14"/>
      <c r="T247" s="14">
        <v>960</v>
      </c>
      <c r="U247" s="14">
        <v>3750</v>
      </c>
      <c r="V247" s="14"/>
      <c r="W247" s="14"/>
      <c r="X247" s="2">
        <f t="shared" si="10"/>
        <v>903190.28999999992</v>
      </c>
      <c r="Y247" s="14">
        <v>8122</v>
      </c>
      <c r="Z247" s="14"/>
      <c r="AA247" s="14">
        <v>49160</v>
      </c>
      <c r="AB247" s="14"/>
      <c r="AC247" s="14">
        <v>43372.1</v>
      </c>
      <c r="AD247" s="14">
        <v>4061</v>
      </c>
      <c r="AE247" s="14"/>
      <c r="AF247" s="14"/>
      <c r="AG247" s="14">
        <v>84071.5</v>
      </c>
      <c r="AH247" s="14"/>
      <c r="AI247" s="14">
        <v>16423.099999999999</v>
      </c>
      <c r="AJ247" s="14"/>
      <c r="AK247" s="14"/>
      <c r="AL247" s="48">
        <f t="shared" si="11"/>
        <v>205209.7</v>
      </c>
      <c r="AM247" s="22">
        <v>70</v>
      </c>
      <c r="AN247" s="14">
        <v>430</v>
      </c>
      <c r="AO247" s="14">
        <v>-7224.84</v>
      </c>
      <c r="AP247" s="14"/>
      <c r="AQ247" s="14">
        <v>-122.5</v>
      </c>
      <c r="AR247" s="44">
        <v>1.2</v>
      </c>
      <c r="AU247" s="46"/>
      <c r="AV247" s="46"/>
    </row>
    <row r="248" spans="1:48" x14ac:dyDescent="0.25">
      <c r="A248" s="12">
        <v>5816</v>
      </c>
      <c r="B248" s="13" t="s">
        <v>10</v>
      </c>
      <c r="C248" s="14">
        <v>2738413.05</v>
      </c>
      <c r="D248" s="14">
        <v>264865.40000000002</v>
      </c>
      <c r="E248" s="14"/>
      <c r="F248" s="14"/>
      <c r="G248" s="14">
        <v>414720.15</v>
      </c>
      <c r="H248" s="14">
        <v>11966.05</v>
      </c>
      <c r="I248" s="14"/>
      <c r="J248" s="14">
        <v>156592.57</v>
      </c>
      <c r="K248" s="14">
        <v>2977</v>
      </c>
      <c r="L248" s="14">
        <v>193843.20000000001</v>
      </c>
      <c r="M248" s="3">
        <f t="shared" si="9"/>
        <v>3783377.4199999995</v>
      </c>
      <c r="N248" s="14">
        <v>7755.25</v>
      </c>
      <c r="O248" s="14">
        <v>72343.8</v>
      </c>
      <c r="P248" s="14">
        <v>259257.65</v>
      </c>
      <c r="Q248" s="14">
        <v>145949.46</v>
      </c>
      <c r="R248" s="14">
        <v>144862.65</v>
      </c>
      <c r="S248" s="14">
        <v>475</v>
      </c>
      <c r="T248" s="14">
        <v>6250</v>
      </c>
      <c r="U248" s="14">
        <v>7950</v>
      </c>
      <c r="V248" s="14"/>
      <c r="W248" s="14"/>
      <c r="X248" s="2">
        <f t="shared" si="10"/>
        <v>4428221.2299999995</v>
      </c>
      <c r="Y248" s="14">
        <v>103253.3</v>
      </c>
      <c r="Z248" s="14"/>
      <c r="AA248" s="14">
        <v>438797.85</v>
      </c>
      <c r="AB248" s="14"/>
      <c r="AC248" s="14">
        <v>144344.25</v>
      </c>
      <c r="AD248" s="14">
        <v>54069.2</v>
      </c>
      <c r="AE248" s="14"/>
      <c r="AF248" s="14"/>
      <c r="AG248" s="14"/>
      <c r="AH248" s="14"/>
      <c r="AI248" s="14"/>
      <c r="AJ248" s="14"/>
      <c r="AK248" s="14"/>
      <c r="AL248" s="48">
        <f t="shared" si="11"/>
        <v>740464.6</v>
      </c>
      <c r="AM248" s="22">
        <v>72</v>
      </c>
      <c r="AN248" s="14">
        <v>2229</v>
      </c>
      <c r="AO248" s="14">
        <v>-199731.88</v>
      </c>
      <c r="AP248" s="14"/>
      <c r="AQ248" s="14">
        <v>-10.87</v>
      </c>
      <c r="AR248" s="44">
        <v>0.7</v>
      </c>
      <c r="AU248" s="46"/>
      <c r="AV248" s="46"/>
    </row>
    <row r="249" spans="1:48" x14ac:dyDescent="0.25">
      <c r="A249" s="12">
        <v>5817</v>
      </c>
      <c r="B249" s="13" t="s">
        <v>11</v>
      </c>
      <c r="C249" s="14">
        <v>1332096.53</v>
      </c>
      <c r="D249" s="14">
        <v>159079.10999999999</v>
      </c>
      <c r="E249" s="14"/>
      <c r="F249" s="14">
        <v>4740</v>
      </c>
      <c r="G249" s="14">
        <v>44096.55</v>
      </c>
      <c r="H249" s="14">
        <v>800.7</v>
      </c>
      <c r="I249" s="14"/>
      <c r="J249" s="14">
        <v>23848.21</v>
      </c>
      <c r="K249" s="14">
        <v>3299.5</v>
      </c>
      <c r="L249" s="14">
        <v>98504.9</v>
      </c>
      <c r="M249" s="3">
        <f t="shared" si="9"/>
        <v>1666465.5</v>
      </c>
      <c r="N249" s="14"/>
      <c r="O249" s="14">
        <v>2584</v>
      </c>
      <c r="P249" s="14">
        <v>49422.85</v>
      </c>
      <c r="Q249" s="14">
        <v>4131.72</v>
      </c>
      <c r="R249" s="14">
        <v>28132.2</v>
      </c>
      <c r="S249" s="14">
        <v>125</v>
      </c>
      <c r="T249" s="14"/>
      <c r="U249" s="14">
        <v>5475</v>
      </c>
      <c r="V249" s="14"/>
      <c r="W249" s="14"/>
      <c r="X249" s="2">
        <f t="shared" si="10"/>
        <v>1756336.27</v>
      </c>
      <c r="Y249" s="14">
        <v>53378.7</v>
      </c>
      <c r="Z249" s="14"/>
      <c r="AA249" s="14">
        <v>234584.4</v>
      </c>
      <c r="AB249" s="14"/>
      <c r="AC249" s="14">
        <v>70144.600000000006</v>
      </c>
      <c r="AD249" s="14">
        <v>20178.5</v>
      </c>
      <c r="AE249" s="14"/>
      <c r="AF249" s="14"/>
      <c r="AG249" s="14"/>
      <c r="AH249" s="14">
        <v>13136</v>
      </c>
      <c r="AI249" s="14"/>
      <c r="AJ249" s="14"/>
      <c r="AK249" s="14"/>
      <c r="AL249" s="48">
        <f t="shared" si="11"/>
        <v>391422.19999999995</v>
      </c>
      <c r="AM249" s="22">
        <v>79.5</v>
      </c>
      <c r="AN249" s="14">
        <v>856</v>
      </c>
      <c r="AO249" s="14">
        <v>-9354.32</v>
      </c>
      <c r="AP249" s="14"/>
      <c r="AQ249" s="14">
        <v>-27.62</v>
      </c>
      <c r="AR249" s="44">
        <v>1</v>
      </c>
      <c r="AU249" s="46"/>
      <c r="AV249" s="46"/>
    </row>
    <row r="250" spans="1:48" x14ac:dyDescent="0.25">
      <c r="A250" s="12">
        <v>5819</v>
      </c>
      <c r="B250" s="13" t="s">
        <v>12</v>
      </c>
      <c r="C250" s="14">
        <v>440167.49</v>
      </c>
      <c r="D250" s="14">
        <v>123730.32</v>
      </c>
      <c r="E250" s="14"/>
      <c r="F250" s="14"/>
      <c r="G250" s="14">
        <v>228324.45</v>
      </c>
      <c r="H250" s="14">
        <v>642.4</v>
      </c>
      <c r="I250" s="14"/>
      <c r="J250" s="14">
        <v>23475.03</v>
      </c>
      <c r="K250" s="14">
        <v>1534.5</v>
      </c>
      <c r="L250" s="14">
        <v>72380.649999999994</v>
      </c>
      <c r="M250" s="3">
        <f t="shared" si="9"/>
        <v>890254.84000000008</v>
      </c>
      <c r="N250" s="14">
        <v>21737.15</v>
      </c>
      <c r="O250" s="14">
        <v>1734</v>
      </c>
      <c r="P250" s="14">
        <v>23661</v>
      </c>
      <c r="Q250" s="14">
        <v>2077.54</v>
      </c>
      <c r="R250" s="14">
        <v>11709.65</v>
      </c>
      <c r="S250" s="14"/>
      <c r="T250" s="14"/>
      <c r="U250" s="14">
        <v>750</v>
      </c>
      <c r="V250" s="14"/>
      <c r="W250" s="14"/>
      <c r="X250" s="2">
        <f t="shared" si="10"/>
        <v>951924.18000000017</v>
      </c>
      <c r="Y250" s="14">
        <v>12500</v>
      </c>
      <c r="Z250" s="14"/>
      <c r="AA250" s="14">
        <v>15348.8</v>
      </c>
      <c r="AB250" s="14"/>
      <c r="AC250" s="14">
        <v>31230.799999999999</v>
      </c>
      <c r="AD250" s="14">
        <v>5300</v>
      </c>
      <c r="AE250" s="14"/>
      <c r="AF250" s="14"/>
      <c r="AG250" s="14"/>
      <c r="AH250" s="14"/>
      <c r="AI250" s="14"/>
      <c r="AJ250" s="14"/>
      <c r="AK250" s="14"/>
      <c r="AL250" s="48">
        <f t="shared" si="11"/>
        <v>64379.6</v>
      </c>
      <c r="AM250" s="22">
        <v>67</v>
      </c>
      <c r="AN250" s="14">
        <v>339</v>
      </c>
      <c r="AO250" s="14">
        <v>-14156.45</v>
      </c>
      <c r="AP250" s="14"/>
      <c r="AQ250" s="14">
        <v>-8.31</v>
      </c>
      <c r="AR250" s="44">
        <v>1</v>
      </c>
      <c r="AU250" s="46"/>
      <c r="AV250" s="46"/>
    </row>
    <row r="251" spans="1:48" x14ac:dyDescent="0.25">
      <c r="A251" s="12">
        <v>5821</v>
      </c>
      <c r="B251" s="13" t="s">
        <v>13</v>
      </c>
      <c r="C251" s="14">
        <v>441139.72</v>
      </c>
      <c r="D251" s="14">
        <v>53135.12</v>
      </c>
      <c r="E251" s="14"/>
      <c r="F251" s="14"/>
      <c r="G251" s="14">
        <v>5334.35</v>
      </c>
      <c r="H251" s="14">
        <v>-23.5</v>
      </c>
      <c r="I251" s="14"/>
      <c r="J251" s="14">
        <v>22945.02</v>
      </c>
      <c r="K251" s="14">
        <v>1306.5</v>
      </c>
      <c r="L251" s="14">
        <v>40708.300000000003</v>
      </c>
      <c r="M251" s="3">
        <f t="shared" si="9"/>
        <v>564545.51</v>
      </c>
      <c r="N251" s="14"/>
      <c r="O251" s="14">
        <v>63755.4</v>
      </c>
      <c r="P251" s="14">
        <v>16148.8</v>
      </c>
      <c r="Q251" s="14">
        <v>-2655.73</v>
      </c>
      <c r="R251" s="14">
        <v>17238.099999999999</v>
      </c>
      <c r="S251" s="14"/>
      <c r="T251" s="14"/>
      <c r="U251" s="14">
        <v>3150</v>
      </c>
      <c r="V251" s="14"/>
      <c r="W251" s="14"/>
      <c r="X251" s="2">
        <f t="shared" si="10"/>
        <v>662182.08000000007</v>
      </c>
      <c r="Y251" s="14">
        <v>17970</v>
      </c>
      <c r="Z251" s="14"/>
      <c r="AA251" s="14">
        <v>52137.5</v>
      </c>
      <c r="AB251" s="14"/>
      <c r="AC251" s="14">
        <v>28765.1</v>
      </c>
      <c r="AD251" s="14">
        <v>27755.35</v>
      </c>
      <c r="AE251" s="14"/>
      <c r="AF251" s="14"/>
      <c r="AG251" s="14"/>
      <c r="AH251" s="14">
        <v>7819.85</v>
      </c>
      <c r="AI251" s="14"/>
      <c r="AJ251" s="14">
        <v>72.75</v>
      </c>
      <c r="AK251" s="14"/>
      <c r="AL251" s="48">
        <f t="shared" si="11"/>
        <v>134520.55000000002</v>
      </c>
      <c r="AM251" s="22">
        <v>72</v>
      </c>
      <c r="AN251" s="14">
        <v>350</v>
      </c>
      <c r="AO251" s="14">
        <v>-35295.67</v>
      </c>
      <c r="AP251" s="14"/>
      <c r="AQ251" s="14"/>
      <c r="AR251" s="44">
        <v>1</v>
      </c>
      <c r="AU251" s="46"/>
      <c r="AV251" s="46"/>
    </row>
    <row r="252" spans="1:48" x14ac:dyDescent="0.25">
      <c r="A252" s="12">
        <v>5822</v>
      </c>
      <c r="B252" s="13" t="s">
        <v>14</v>
      </c>
      <c r="C252" s="14">
        <v>12232489.859999999</v>
      </c>
      <c r="D252" s="14">
        <v>1317437.3700000001</v>
      </c>
      <c r="E252" s="14"/>
      <c r="F252" s="14"/>
      <c r="G252" s="14">
        <v>1782233.6</v>
      </c>
      <c r="H252" s="14">
        <v>44443.65</v>
      </c>
      <c r="I252" s="14"/>
      <c r="J252" s="14">
        <v>678510.52</v>
      </c>
      <c r="K252" s="14">
        <v>146425.5</v>
      </c>
      <c r="L252" s="14">
        <v>1188663.05</v>
      </c>
      <c r="M252" s="3">
        <f t="shared" si="9"/>
        <v>17390203.550000001</v>
      </c>
      <c r="N252" s="14">
        <v>48080.9</v>
      </c>
      <c r="O252" s="14">
        <v>124887.6</v>
      </c>
      <c r="P252" s="14">
        <v>809056.95</v>
      </c>
      <c r="Q252" s="14">
        <v>116187.35</v>
      </c>
      <c r="R252" s="14">
        <v>407033.35</v>
      </c>
      <c r="S252" s="14">
        <v>69242.95</v>
      </c>
      <c r="T252" s="14">
        <v>32375</v>
      </c>
      <c r="U252" s="14">
        <v>17950</v>
      </c>
      <c r="V252" s="14">
        <v>64896.7</v>
      </c>
      <c r="W252" s="14"/>
      <c r="X252" s="2">
        <f t="shared" si="10"/>
        <v>19079914.350000001</v>
      </c>
      <c r="Y252" s="14">
        <v>572946.5</v>
      </c>
      <c r="Z252" s="14"/>
      <c r="AA252" s="14">
        <v>2198806.2999999998</v>
      </c>
      <c r="AB252" s="14"/>
      <c r="AC252" s="14"/>
      <c r="AD252" s="14">
        <v>1151126.79</v>
      </c>
      <c r="AE252" s="14">
        <v>152289.35</v>
      </c>
      <c r="AF252" s="14"/>
      <c r="AG252" s="14">
        <v>1590</v>
      </c>
      <c r="AH252" s="14"/>
      <c r="AI252" s="14"/>
      <c r="AJ252" s="14"/>
      <c r="AK252" s="14"/>
      <c r="AL252" s="48">
        <f t="shared" si="11"/>
        <v>4076758.94</v>
      </c>
      <c r="AM252" s="22">
        <v>75</v>
      </c>
      <c r="AN252" s="14">
        <v>9302</v>
      </c>
      <c r="AO252" s="14">
        <v>-672577.71</v>
      </c>
      <c r="AP252" s="14"/>
      <c r="AQ252" s="14">
        <v>-400.05</v>
      </c>
      <c r="AR252" s="44">
        <v>1</v>
      </c>
      <c r="AU252" s="46"/>
      <c r="AV252" s="46"/>
    </row>
    <row r="253" spans="1:48" x14ac:dyDescent="0.25">
      <c r="A253" s="12">
        <v>5827</v>
      </c>
      <c r="B253" s="13" t="s">
        <v>15</v>
      </c>
      <c r="C253" s="14">
        <v>418416.78</v>
      </c>
      <c r="D253" s="14">
        <v>51056.23</v>
      </c>
      <c r="E253" s="14"/>
      <c r="F253" s="14">
        <v>1340</v>
      </c>
      <c r="G253" s="14">
        <v>24322.400000000001</v>
      </c>
      <c r="H253" s="14">
        <v>102</v>
      </c>
      <c r="I253" s="14"/>
      <c r="J253" s="14">
        <v>5080.47</v>
      </c>
      <c r="K253" s="14">
        <v>141</v>
      </c>
      <c r="L253" s="14">
        <v>32169.95</v>
      </c>
      <c r="M253" s="3">
        <f t="shared" si="9"/>
        <v>532628.82999999996</v>
      </c>
      <c r="N253" s="14">
        <v>10533.4</v>
      </c>
      <c r="O253" s="14"/>
      <c r="P253" s="14">
        <v>25559.8</v>
      </c>
      <c r="Q253" s="14">
        <v>2196.1999999999998</v>
      </c>
      <c r="R253" s="14">
        <v>20130</v>
      </c>
      <c r="S253" s="14"/>
      <c r="T253" s="14"/>
      <c r="U253" s="14">
        <v>1700</v>
      </c>
      <c r="V253" s="14"/>
      <c r="W253" s="14"/>
      <c r="X253" s="2">
        <f t="shared" si="10"/>
        <v>592748.23</v>
      </c>
      <c r="Y253" s="14"/>
      <c r="Z253" s="14"/>
      <c r="AA253" s="14">
        <v>43178.6</v>
      </c>
      <c r="AB253" s="14"/>
      <c r="AC253" s="14">
        <v>13090</v>
      </c>
      <c r="AD253" s="14"/>
      <c r="AE253" s="14"/>
      <c r="AF253" s="14"/>
      <c r="AG253" s="14"/>
      <c r="AH253" s="14"/>
      <c r="AI253" s="14"/>
      <c r="AJ253" s="14"/>
      <c r="AK253" s="14"/>
      <c r="AL253" s="48">
        <f t="shared" si="11"/>
        <v>56268.6</v>
      </c>
      <c r="AM253" s="22">
        <v>80</v>
      </c>
      <c r="AN253" s="14">
        <v>255</v>
      </c>
      <c r="AO253" s="14">
        <v>-11268.8</v>
      </c>
      <c r="AP253" s="14"/>
      <c r="AQ253" s="14">
        <v>-9.5399999999999991</v>
      </c>
      <c r="AR253" s="44">
        <v>1</v>
      </c>
      <c r="AU253" s="46"/>
      <c r="AV253" s="46"/>
    </row>
    <row r="254" spans="1:48" x14ac:dyDescent="0.25">
      <c r="A254" s="12">
        <v>5828</v>
      </c>
      <c r="B254" s="13" t="s">
        <v>577</v>
      </c>
      <c r="C254" s="14">
        <v>154290.03</v>
      </c>
      <c r="D254" s="14">
        <v>13086.9</v>
      </c>
      <c r="E254" s="14"/>
      <c r="F254" s="14"/>
      <c r="G254" s="14">
        <v>458.4</v>
      </c>
      <c r="H254" s="14">
        <v>-9.8499999999999908</v>
      </c>
      <c r="I254" s="14"/>
      <c r="J254" s="14">
        <v>2077.92</v>
      </c>
      <c r="K254" s="14"/>
      <c r="L254" s="14">
        <v>20475.55</v>
      </c>
      <c r="M254" s="3">
        <f t="shared" si="9"/>
        <v>190378.94999999998</v>
      </c>
      <c r="N254" s="14"/>
      <c r="O254" s="14"/>
      <c r="P254" s="14">
        <v>6712.8</v>
      </c>
      <c r="Q254" s="14"/>
      <c r="R254" s="14">
        <v>9585.4500000000007</v>
      </c>
      <c r="S254" s="14"/>
      <c r="T254" s="14"/>
      <c r="U254" s="14">
        <v>580</v>
      </c>
      <c r="V254" s="14"/>
      <c r="W254" s="14"/>
      <c r="X254" s="2">
        <f t="shared" si="10"/>
        <v>207257.19999999998</v>
      </c>
      <c r="Y254" s="14"/>
      <c r="Z254" s="14"/>
      <c r="AA254" s="14">
        <v>18980</v>
      </c>
      <c r="AB254" s="14"/>
      <c r="AC254" s="14">
        <v>9584.2999999999993</v>
      </c>
      <c r="AD254" s="14"/>
      <c r="AE254" s="14"/>
      <c r="AF254" s="14"/>
      <c r="AG254" s="14"/>
      <c r="AH254" s="14">
        <v>2994.8</v>
      </c>
      <c r="AI254" s="14"/>
      <c r="AJ254" s="14"/>
      <c r="AK254" s="14"/>
      <c r="AL254" s="48">
        <f t="shared" si="11"/>
        <v>31559.1</v>
      </c>
      <c r="AM254" s="22">
        <v>84</v>
      </c>
      <c r="AN254" s="14">
        <v>124</v>
      </c>
      <c r="AO254" s="14">
        <v>-4086.27</v>
      </c>
      <c r="AP254" s="14"/>
      <c r="AQ254" s="14">
        <v>-0.08</v>
      </c>
      <c r="AR254" s="44">
        <v>1.5</v>
      </c>
      <c r="AU254" s="46"/>
      <c r="AV254" s="46"/>
    </row>
    <row r="255" spans="1:48" x14ac:dyDescent="0.25">
      <c r="A255" s="12">
        <v>5830</v>
      </c>
      <c r="B255" s="13" t="s">
        <v>16</v>
      </c>
      <c r="C255" s="14">
        <v>664720.68999999994</v>
      </c>
      <c r="D255" s="14">
        <v>78862.64</v>
      </c>
      <c r="E255" s="14"/>
      <c r="F255" s="14">
        <v>2460</v>
      </c>
      <c r="G255" s="14">
        <v>1968.35</v>
      </c>
      <c r="H255" s="14">
        <v>154.15</v>
      </c>
      <c r="I255" s="14"/>
      <c r="J255" s="14">
        <v>11864.11</v>
      </c>
      <c r="K255" s="14">
        <v>1396.5</v>
      </c>
      <c r="L255" s="14">
        <v>50415.25</v>
      </c>
      <c r="M255" s="3">
        <f t="shared" si="9"/>
        <v>811841.69</v>
      </c>
      <c r="N255" s="14"/>
      <c r="O255" s="14"/>
      <c r="P255" s="14">
        <v>22117.05</v>
      </c>
      <c r="Q255" s="14">
        <v>2833.53</v>
      </c>
      <c r="R255" s="14">
        <v>9342</v>
      </c>
      <c r="S255" s="14"/>
      <c r="T255" s="14"/>
      <c r="U255" s="14">
        <v>2910</v>
      </c>
      <c r="V255" s="14"/>
      <c r="W255" s="14"/>
      <c r="X255" s="2">
        <f t="shared" si="10"/>
        <v>849044.27</v>
      </c>
      <c r="Y255" s="14">
        <v>43000</v>
      </c>
      <c r="Z255" s="14"/>
      <c r="AA255" s="14">
        <v>51961.2</v>
      </c>
      <c r="AB255" s="14"/>
      <c r="AC255" s="14">
        <v>28019.15</v>
      </c>
      <c r="AD255" s="14">
        <v>14000</v>
      </c>
      <c r="AE255" s="14"/>
      <c r="AF255" s="14"/>
      <c r="AG255" s="14"/>
      <c r="AH255" s="14"/>
      <c r="AI255" s="14"/>
      <c r="AJ255" s="14"/>
      <c r="AK255" s="14"/>
      <c r="AL255" s="48">
        <f t="shared" si="11"/>
        <v>136980.35</v>
      </c>
      <c r="AM255" s="22">
        <v>79</v>
      </c>
      <c r="AN255" s="14">
        <v>415</v>
      </c>
      <c r="AO255" s="14">
        <v>-5952.52</v>
      </c>
      <c r="AP255" s="14"/>
      <c r="AQ255" s="14">
        <v>-1.1599999999999999</v>
      </c>
      <c r="AR255" s="44">
        <v>1</v>
      </c>
      <c r="AU255" s="46"/>
      <c r="AV255" s="46"/>
    </row>
    <row r="256" spans="1:48" x14ac:dyDescent="0.25">
      <c r="A256" s="12">
        <v>5831</v>
      </c>
      <c r="B256" s="13" t="s">
        <v>482</v>
      </c>
      <c r="C256" s="14">
        <v>4103634.55</v>
      </c>
      <c r="D256" s="14">
        <v>555868.30000000005</v>
      </c>
      <c r="E256" s="14"/>
      <c r="F256" s="14"/>
      <c r="G256" s="14">
        <v>535837.80000000005</v>
      </c>
      <c r="H256" s="14">
        <v>9044.1</v>
      </c>
      <c r="I256" s="14"/>
      <c r="J256" s="14">
        <v>158558.10999999999</v>
      </c>
      <c r="K256" s="14">
        <v>14554</v>
      </c>
      <c r="L256" s="14">
        <v>227280.9</v>
      </c>
      <c r="M256" s="3">
        <f t="shared" ref="M256:M315" si="12">SUM(C256:L256)</f>
        <v>5604777.7599999998</v>
      </c>
      <c r="N256" s="14">
        <v>15624.5</v>
      </c>
      <c r="O256" s="14">
        <v>20045.400000000001</v>
      </c>
      <c r="P256" s="14">
        <v>118024.2</v>
      </c>
      <c r="Q256" s="14">
        <v>10214.52</v>
      </c>
      <c r="R256" s="14">
        <v>71420.55</v>
      </c>
      <c r="S256" s="14">
        <v>800</v>
      </c>
      <c r="T256" s="14"/>
      <c r="U256" s="14">
        <v>15700</v>
      </c>
      <c r="V256" s="14"/>
      <c r="W256" s="14"/>
      <c r="X256" s="2">
        <f t="shared" ref="X256:X315" si="13">SUM(M256:W256)</f>
        <v>5856606.9299999997</v>
      </c>
      <c r="Y256" s="14">
        <v>421085</v>
      </c>
      <c r="Z256" s="14"/>
      <c r="AA256" s="14">
        <v>317378.40000000002</v>
      </c>
      <c r="AB256" s="14"/>
      <c r="AC256" s="14">
        <v>252863.92</v>
      </c>
      <c r="AD256" s="14">
        <v>118828.5</v>
      </c>
      <c r="AE256" s="14"/>
      <c r="AF256" s="14"/>
      <c r="AG256" s="14"/>
      <c r="AH256" s="14">
        <v>144044.25</v>
      </c>
      <c r="AI256" s="14"/>
      <c r="AJ256" s="14"/>
      <c r="AK256" s="14"/>
      <c r="AL256" s="48">
        <f t="shared" ref="AL256:AL315" si="14">SUM(Y256:AK256)</f>
        <v>1254200.07</v>
      </c>
      <c r="AM256" s="22">
        <v>73</v>
      </c>
      <c r="AN256" s="14">
        <v>2960</v>
      </c>
      <c r="AO256" s="14">
        <v>-69451.69</v>
      </c>
      <c r="AP256" s="14"/>
      <c r="AQ256" s="14">
        <v>-307.89</v>
      </c>
      <c r="AR256" s="44">
        <v>0.6</v>
      </c>
      <c r="AU256" s="46"/>
      <c r="AV256" s="46"/>
    </row>
    <row r="257" spans="1:48" x14ac:dyDescent="0.25">
      <c r="A257" s="12">
        <v>5841</v>
      </c>
      <c r="B257" s="13" t="s">
        <v>17</v>
      </c>
      <c r="C257" s="14">
        <v>5157111.03</v>
      </c>
      <c r="D257" s="14">
        <v>1585913.55</v>
      </c>
      <c r="E257" s="14"/>
      <c r="F257" s="14"/>
      <c r="G257" s="14">
        <v>493507.2</v>
      </c>
      <c r="H257" s="14">
        <v>36983.35</v>
      </c>
      <c r="I257" s="14">
        <v>402138.35</v>
      </c>
      <c r="J257" s="14">
        <v>396476.08</v>
      </c>
      <c r="K257" s="14">
        <v>21166</v>
      </c>
      <c r="L257" s="14">
        <v>1319261.95</v>
      </c>
      <c r="M257" s="3">
        <f t="shared" si="12"/>
        <v>9412557.5099999998</v>
      </c>
      <c r="N257" s="14">
        <v>6542.25</v>
      </c>
      <c r="O257" s="14">
        <v>245457.5</v>
      </c>
      <c r="P257" s="14">
        <v>591028.69999999995</v>
      </c>
      <c r="Q257" s="14">
        <v>15507.12</v>
      </c>
      <c r="R257" s="14">
        <v>350583.1</v>
      </c>
      <c r="S257" s="14">
        <v>906.25</v>
      </c>
      <c r="T257" s="14">
        <v>18720</v>
      </c>
      <c r="U257" s="14">
        <v>22860</v>
      </c>
      <c r="V257" s="14"/>
      <c r="W257" s="14"/>
      <c r="X257" s="2">
        <f t="shared" si="13"/>
        <v>10664162.429999998</v>
      </c>
      <c r="Y257" s="14">
        <v>58425.98</v>
      </c>
      <c r="Z257" s="14"/>
      <c r="AA257" s="14">
        <v>1098577.1200000001</v>
      </c>
      <c r="AB257" s="14"/>
      <c r="AC257" s="14">
        <v>595039.43000000005</v>
      </c>
      <c r="AD257" s="14"/>
      <c r="AE257" s="14"/>
      <c r="AF257" s="14"/>
      <c r="AG257" s="14">
        <v>551644.69999999995</v>
      </c>
      <c r="AH257" s="14">
        <v>155082.85</v>
      </c>
      <c r="AI257" s="14"/>
      <c r="AJ257" s="14"/>
      <c r="AK257" s="14"/>
      <c r="AL257" s="48">
        <f t="shared" si="14"/>
        <v>2458770.0800000005</v>
      </c>
      <c r="AM257" s="22">
        <v>83</v>
      </c>
      <c r="AN257" s="14">
        <v>3408</v>
      </c>
      <c r="AO257" s="14">
        <v>-60285.38</v>
      </c>
      <c r="AP257" s="14"/>
      <c r="AQ257" s="14">
        <v>-3389.2</v>
      </c>
      <c r="AR257" s="44">
        <v>1.5</v>
      </c>
      <c r="AU257" s="46"/>
      <c r="AV257" s="46"/>
    </row>
    <row r="258" spans="1:48" x14ac:dyDescent="0.25">
      <c r="A258" s="12">
        <v>5842</v>
      </c>
      <c r="B258" s="13" t="s">
        <v>18</v>
      </c>
      <c r="C258" s="14">
        <v>919641.33</v>
      </c>
      <c r="D258" s="14">
        <v>350636.72</v>
      </c>
      <c r="E258" s="14"/>
      <c r="F258" s="14"/>
      <c r="G258" s="14">
        <v>15474.6</v>
      </c>
      <c r="H258" s="14">
        <v>221.2</v>
      </c>
      <c r="I258" s="14">
        <v>-50592</v>
      </c>
      <c r="J258" s="14">
        <v>26513.34</v>
      </c>
      <c r="K258" s="14">
        <v>387.5</v>
      </c>
      <c r="L258" s="14">
        <v>124819.7</v>
      </c>
      <c r="M258" s="3">
        <f t="shared" si="12"/>
        <v>1387102.39</v>
      </c>
      <c r="N258" s="14"/>
      <c r="O258" s="14">
        <v>906</v>
      </c>
      <c r="P258" s="14">
        <v>24868.5</v>
      </c>
      <c r="Q258" s="14">
        <v>29275.48</v>
      </c>
      <c r="R258" s="14">
        <v>40321.85</v>
      </c>
      <c r="S258" s="14">
        <v>93.75</v>
      </c>
      <c r="T258" s="14"/>
      <c r="U258" s="14">
        <v>2920</v>
      </c>
      <c r="V258" s="14"/>
      <c r="W258" s="14"/>
      <c r="X258" s="2">
        <f t="shared" si="13"/>
        <v>1485487.97</v>
      </c>
      <c r="Y258" s="14"/>
      <c r="Z258" s="14"/>
      <c r="AA258" s="14">
        <v>64978.55</v>
      </c>
      <c r="AB258" s="14"/>
      <c r="AC258" s="14">
        <v>42058.720000000001</v>
      </c>
      <c r="AD258" s="14"/>
      <c r="AE258" s="14"/>
      <c r="AF258" s="14"/>
      <c r="AG258" s="14"/>
      <c r="AH258" s="14"/>
      <c r="AI258" s="14"/>
      <c r="AJ258" s="14"/>
      <c r="AK258" s="14"/>
      <c r="AL258" s="48">
        <f t="shared" si="14"/>
        <v>107037.27</v>
      </c>
      <c r="AM258" s="22">
        <v>81</v>
      </c>
      <c r="AN258" s="14">
        <v>565</v>
      </c>
      <c r="AO258" s="14">
        <v>-33300.019999999997</v>
      </c>
      <c r="AP258" s="14"/>
      <c r="AQ258" s="14">
        <v>-587.13</v>
      </c>
      <c r="AR258" s="44">
        <v>1.5</v>
      </c>
      <c r="AU258" s="46"/>
      <c r="AV258" s="46"/>
    </row>
    <row r="259" spans="1:48" x14ac:dyDescent="0.25">
      <c r="A259" s="12">
        <v>5843</v>
      </c>
      <c r="B259" s="13" t="s">
        <v>19</v>
      </c>
      <c r="C259" s="14">
        <v>2340901.62</v>
      </c>
      <c r="D259" s="14">
        <v>1574570.21</v>
      </c>
      <c r="E259" s="14"/>
      <c r="F259" s="14"/>
      <c r="G259" s="14">
        <v>180179.45</v>
      </c>
      <c r="H259" s="14">
        <v>8521.9500000000007</v>
      </c>
      <c r="I259" s="14">
        <v>1369263.38</v>
      </c>
      <c r="J259" s="14">
        <v>223773.67</v>
      </c>
      <c r="K259" s="14">
        <v>14008.5</v>
      </c>
      <c r="L259" s="14">
        <v>1016251.25</v>
      </c>
      <c r="M259" s="3">
        <f t="shared" si="12"/>
        <v>6727470.0300000003</v>
      </c>
      <c r="N259" s="14"/>
      <c r="O259" s="14">
        <v>372020.3</v>
      </c>
      <c r="P259" s="14">
        <v>665186.35</v>
      </c>
      <c r="Q259" s="14">
        <v>479.82</v>
      </c>
      <c r="R259" s="14">
        <v>1087677.2</v>
      </c>
      <c r="S259" s="14">
        <v>387.5</v>
      </c>
      <c r="T259" s="14">
        <v>2290</v>
      </c>
      <c r="U259" s="14">
        <v>4980</v>
      </c>
      <c r="V259" s="14"/>
      <c r="W259" s="14"/>
      <c r="X259" s="2">
        <f t="shared" si="13"/>
        <v>8860491.1999999993</v>
      </c>
      <c r="Y259" s="14">
        <v>90825</v>
      </c>
      <c r="Z259" s="14"/>
      <c r="AA259" s="14">
        <v>228689.35</v>
      </c>
      <c r="AB259" s="14"/>
      <c r="AC259" s="14">
        <v>239340.17</v>
      </c>
      <c r="AD259" s="14">
        <v>144450</v>
      </c>
      <c r="AE259" s="14"/>
      <c r="AF259" s="14"/>
      <c r="AG259" s="14">
        <v>744396.65</v>
      </c>
      <c r="AH259" s="14">
        <v>81623.100000000006</v>
      </c>
      <c r="AI259" s="14"/>
      <c r="AJ259" s="14"/>
      <c r="AK259" s="14"/>
      <c r="AL259" s="48">
        <f t="shared" si="14"/>
        <v>1529324.27</v>
      </c>
      <c r="AM259" s="22">
        <v>69</v>
      </c>
      <c r="AN259" s="14">
        <v>881</v>
      </c>
      <c r="AO259" s="14">
        <v>-15867.56</v>
      </c>
      <c r="AP259" s="14"/>
      <c r="AQ259" s="14">
        <v>-4807.5600000000004</v>
      </c>
      <c r="AR259" s="44">
        <v>1.5</v>
      </c>
      <c r="AU259" s="46"/>
      <c r="AV259" s="46"/>
    </row>
    <row r="260" spans="1:48" x14ac:dyDescent="0.25">
      <c r="A260" s="12">
        <v>5851</v>
      </c>
      <c r="B260" s="13" t="s">
        <v>20</v>
      </c>
      <c r="C260" s="14">
        <v>820124</v>
      </c>
      <c r="D260" s="14">
        <v>155318.53</v>
      </c>
      <c r="E260" s="14"/>
      <c r="F260" s="14"/>
      <c r="G260" s="14">
        <v>380907.4</v>
      </c>
      <c r="H260" s="14">
        <v>3589</v>
      </c>
      <c r="I260" s="14"/>
      <c r="J260" s="14">
        <v>52232.76</v>
      </c>
      <c r="K260" s="14">
        <v>23919</v>
      </c>
      <c r="L260" s="14">
        <v>218525.8</v>
      </c>
      <c r="M260" s="3">
        <f t="shared" si="12"/>
        <v>1654616.4900000002</v>
      </c>
      <c r="N260" s="14">
        <v>37241.65</v>
      </c>
      <c r="O260" s="14">
        <v>-645981.1</v>
      </c>
      <c r="P260" s="14">
        <v>36630</v>
      </c>
      <c r="Q260" s="14">
        <v>1947.81</v>
      </c>
      <c r="R260" s="14">
        <v>106521.9</v>
      </c>
      <c r="S260" s="14">
        <v>268.75</v>
      </c>
      <c r="T260" s="14"/>
      <c r="U260" s="14">
        <v>1950</v>
      </c>
      <c r="V260" s="14">
        <v>100</v>
      </c>
      <c r="W260" s="14"/>
      <c r="X260" s="2">
        <f t="shared" si="13"/>
        <v>1193295.5</v>
      </c>
      <c r="Y260" s="14">
        <v>2531.1999999999998</v>
      </c>
      <c r="Z260" s="14"/>
      <c r="AA260" s="14">
        <v>187419.47</v>
      </c>
      <c r="AB260" s="14"/>
      <c r="AC260" s="14">
        <v>40069.300000000003</v>
      </c>
      <c r="AD260" s="14"/>
      <c r="AE260" s="14"/>
      <c r="AF260" s="14"/>
      <c r="AG260" s="14"/>
      <c r="AH260" s="14">
        <v>58638.5</v>
      </c>
      <c r="AI260" s="14"/>
      <c r="AJ260" s="14"/>
      <c r="AK260" s="14"/>
      <c r="AL260" s="48">
        <f t="shared" si="14"/>
        <v>288658.47000000003</v>
      </c>
      <c r="AM260" s="22">
        <v>62</v>
      </c>
      <c r="AN260" s="14">
        <v>393</v>
      </c>
      <c r="AO260" s="14">
        <v>-5169.84</v>
      </c>
      <c r="AP260" s="14"/>
      <c r="AQ260" s="14">
        <v>-190.97</v>
      </c>
      <c r="AR260" s="44">
        <v>1.1000000000000001</v>
      </c>
      <c r="AU260" s="46"/>
      <c r="AV260" s="46"/>
    </row>
    <row r="261" spans="1:48" x14ac:dyDescent="0.25">
      <c r="A261" s="12">
        <v>5852</v>
      </c>
      <c r="B261" s="13" t="s">
        <v>21</v>
      </c>
      <c r="C261" s="14">
        <f>1233072.65-11123.25</f>
        <v>1221949.3999999999</v>
      </c>
      <c r="D261" s="14">
        <v>256850.37</v>
      </c>
      <c r="E261" s="14"/>
      <c r="F261" s="14"/>
      <c r="G261" s="14">
        <v>-2114.1</v>
      </c>
      <c r="H261" s="14">
        <v>1823.95</v>
      </c>
      <c r="I261" s="14">
        <v>368446.95</v>
      </c>
      <c r="J261" s="14">
        <v>-6169.53</v>
      </c>
      <c r="K261" s="14">
        <v>6697.5</v>
      </c>
      <c r="L261" s="14">
        <v>168401.6</v>
      </c>
      <c r="M261" s="3">
        <f t="shared" si="12"/>
        <v>2015886.14</v>
      </c>
      <c r="N261" s="14">
        <v>8016.75</v>
      </c>
      <c r="O261" s="14"/>
      <c r="P261" s="14">
        <v>113025</v>
      </c>
      <c r="Q261" s="14"/>
      <c r="R261" s="14">
        <v>122989.65</v>
      </c>
      <c r="S261" s="14"/>
      <c r="T261" s="14"/>
      <c r="U261" s="14">
        <v>3442.5</v>
      </c>
      <c r="V261" s="14"/>
      <c r="W261" s="14"/>
      <c r="X261" s="2">
        <f t="shared" si="13"/>
        <v>2263360.0399999996</v>
      </c>
      <c r="Y261" s="14">
        <v>857.75</v>
      </c>
      <c r="Z261" s="14"/>
      <c r="AA261" s="14">
        <v>41970</v>
      </c>
      <c r="AB261" s="14"/>
      <c r="AC261" s="14">
        <v>16740</v>
      </c>
      <c r="AD261" s="14"/>
      <c r="AE261" s="14"/>
      <c r="AF261" s="14"/>
      <c r="AG261" s="14">
        <v>8996</v>
      </c>
      <c r="AH261" s="14"/>
      <c r="AI261" s="14"/>
      <c r="AJ261" s="14"/>
      <c r="AK261" s="14"/>
      <c r="AL261" s="48">
        <f t="shared" si="14"/>
        <v>68563.75</v>
      </c>
      <c r="AM261" s="22">
        <v>63.5</v>
      </c>
      <c r="AN261" s="14">
        <v>477</v>
      </c>
      <c r="AO261" s="14">
        <v>-6579.61</v>
      </c>
      <c r="AP261" s="14"/>
      <c r="AQ261" s="14">
        <v>-639.85</v>
      </c>
      <c r="AR261" s="44">
        <v>1</v>
      </c>
      <c r="AU261" s="46"/>
      <c r="AV261" s="46"/>
    </row>
    <row r="262" spans="1:48" x14ac:dyDescent="0.25">
      <c r="A262" s="12">
        <v>5853</v>
      </c>
      <c r="B262" s="13" t="s">
        <v>22</v>
      </c>
      <c r="C262" s="14">
        <v>1814050.81</v>
      </c>
      <c r="D262" s="14">
        <v>285288.56</v>
      </c>
      <c r="E262" s="14"/>
      <c r="F262" s="14"/>
      <c r="G262" s="14">
        <v>49046.05</v>
      </c>
      <c r="H262" s="14">
        <v>9431.1</v>
      </c>
      <c r="I262" s="14">
        <v>251365.89</v>
      </c>
      <c r="J262" s="14">
        <v>39776.129999999997</v>
      </c>
      <c r="K262" s="14">
        <v>12798</v>
      </c>
      <c r="L262" s="14">
        <v>181020.3</v>
      </c>
      <c r="M262" s="3">
        <f t="shared" si="12"/>
        <v>2642776.84</v>
      </c>
      <c r="N262" s="14">
        <v>55087.7</v>
      </c>
      <c r="O262" s="14">
        <v>30887.1</v>
      </c>
      <c r="P262" s="14">
        <v>144315.75</v>
      </c>
      <c r="Q262" s="14">
        <v>5136.37</v>
      </c>
      <c r="R262" s="14">
        <v>91122.65</v>
      </c>
      <c r="S262" s="14">
        <v>75</v>
      </c>
      <c r="T262" s="14"/>
      <c r="U262" s="14">
        <v>3800</v>
      </c>
      <c r="V262" s="14"/>
      <c r="W262" s="14"/>
      <c r="X262" s="2">
        <f t="shared" si="13"/>
        <v>2973201.41</v>
      </c>
      <c r="Y262" s="14">
        <v>6557.8</v>
      </c>
      <c r="Z262" s="14">
        <v>147324.29999999999</v>
      </c>
      <c r="AA262" s="14"/>
      <c r="AB262" s="14"/>
      <c r="AC262" s="14">
        <v>42911.5</v>
      </c>
      <c r="AD262" s="14"/>
      <c r="AE262" s="14"/>
      <c r="AF262" s="14"/>
      <c r="AG262" s="14">
        <v>6133.9</v>
      </c>
      <c r="AH262" s="14"/>
      <c r="AI262" s="14"/>
      <c r="AJ262" s="14"/>
      <c r="AK262" s="14"/>
      <c r="AL262" s="48">
        <f t="shared" si="14"/>
        <v>202927.49999999997</v>
      </c>
      <c r="AM262" s="22">
        <v>71</v>
      </c>
      <c r="AN262" s="14">
        <v>772</v>
      </c>
      <c r="AO262" s="14">
        <v>-12000.35</v>
      </c>
      <c r="AP262" s="14"/>
      <c r="AQ262" s="14">
        <v>-482.72</v>
      </c>
      <c r="AR262" s="44">
        <v>1</v>
      </c>
      <c r="AU262" s="46"/>
      <c r="AV262" s="46"/>
    </row>
    <row r="263" spans="1:48" x14ac:dyDescent="0.25">
      <c r="A263" s="12">
        <v>5854</v>
      </c>
      <c r="B263" s="13" t="s">
        <v>23</v>
      </c>
      <c r="C263" s="14">
        <v>642029.30000000005</v>
      </c>
      <c r="D263" s="14">
        <v>94606.64</v>
      </c>
      <c r="E263" s="14"/>
      <c r="F263" s="14"/>
      <c r="G263" s="14">
        <v>19408.05</v>
      </c>
      <c r="H263" s="14">
        <v>424.2</v>
      </c>
      <c r="I263" s="14"/>
      <c r="J263" s="14">
        <v>9172.26</v>
      </c>
      <c r="K263" s="14">
        <v>1274</v>
      </c>
      <c r="L263" s="14">
        <v>91626.35</v>
      </c>
      <c r="M263" s="3">
        <f t="shared" si="12"/>
        <v>858540.8</v>
      </c>
      <c r="N263" s="14">
        <v>24172.9</v>
      </c>
      <c r="O263" s="14"/>
      <c r="P263" s="14">
        <v>7705.75</v>
      </c>
      <c r="Q263" s="14"/>
      <c r="R263" s="14"/>
      <c r="S263" s="14"/>
      <c r="T263" s="14"/>
      <c r="U263" s="14">
        <v>950</v>
      </c>
      <c r="V263" s="14"/>
      <c r="W263" s="14"/>
      <c r="X263" s="2">
        <f t="shared" si="13"/>
        <v>891369.45000000007</v>
      </c>
      <c r="Y263" s="14">
        <v>973</v>
      </c>
      <c r="Z263" s="14"/>
      <c r="AA263" s="14">
        <v>29080</v>
      </c>
      <c r="AB263" s="14"/>
      <c r="AC263" s="14">
        <v>33172.400000000001</v>
      </c>
      <c r="AD263" s="14">
        <v>30</v>
      </c>
      <c r="AE263" s="14"/>
      <c r="AF263" s="14"/>
      <c r="AG263" s="14">
        <v>654.9</v>
      </c>
      <c r="AH263" s="14">
        <v>7675.65</v>
      </c>
      <c r="AI263" s="14"/>
      <c r="AJ263" s="14"/>
      <c r="AK263" s="14"/>
      <c r="AL263" s="48">
        <f t="shared" si="14"/>
        <v>71585.95</v>
      </c>
      <c r="AM263" s="22">
        <v>80</v>
      </c>
      <c r="AN263" s="14">
        <v>352</v>
      </c>
      <c r="AO263" s="14">
        <v>-8356.2199999999993</v>
      </c>
      <c r="AP263" s="14"/>
      <c r="AQ263" s="14">
        <v>-109.34</v>
      </c>
      <c r="AR263" s="44">
        <v>1.5</v>
      </c>
      <c r="AU263" s="46"/>
      <c r="AV263" s="46"/>
    </row>
    <row r="264" spans="1:48" x14ac:dyDescent="0.25">
      <c r="A264" s="12">
        <v>5855</v>
      </c>
      <c r="B264" s="13" t="s">
        <v>24</v>
      </c>
      <c r="C264" s="14">
        <v>1771746.2</v>
      </c>
      <c r="D264" s="14">
        <v>421277.41</v>
      </c>
      <c r="E264" s="14"/>
      <c r="F264" s="14"/>
      <c r="G264" s="14">
        <v>2221.65</v>
      </c>
      <c r="H264" s="14">
        <v>19644.5</v>
      </c>
      <c r="I264" s="14">
        <v>618638.89</v>
      </c>
      <c r="J264" s="14">
        <v>77095.53</v>
      </c>
      <c r="K264" s="14">
        <v>2549</v>
      </c>
      <c r="L264" s="14">
        <v>149493.70000000001</v>
      </c>
      <c r="M264" s="3">
        <f t="shared" si="12"/>
        <v>3062666.88</v>
      </c>
      <c r="N264" s="14">
        <v>2150.65</v>
      </c>
      <c r="O264" s="14">
        <v>515090</v>
      </c>
      <c r="P264" s="14">
        <v>265586.90000000002</v>
      </c>
      <c r="Q264" s="14"/>
      <c r="R264" s="14">
        <v>133343.04999999999</v>
      </c>
      <c r="S264" s="14">
        <v>93.75</v>
      </c>
      <c r="T264" s="14"/>
      <c r="U264" s="14">
        <v>2280</v>
      </c>
      <c r="V264" s="14"/>
      <c r="W264" s="14"/>
      <c r="X264" s="2">
        <f t="shared" si="13"/>
        <v>3981211.2299999995</v>
      </c>
      <c r="Y264" s="14">
        <v>57128.45</v>
      </c>
      <c r="Z264" s="14"/>
      <c r="AA264" s="14">
        <v>128233.3</v>
      </c>
      <c r="AB264" s="14"/>
      <c r="AC264" s="14">
        <v>20075.849999999999</v>
      </c>
      <c r="AD264" s="14"/>
      <c r="AE264" s="14"/>
      <c r="AF264" s="14"/>
      <c r="AG264" s="14">
        <v>11766.1</v>
      </c>
      <c r="AH264" s="14"/>
      <c r="AI264" s="14"/>
      <c r="AJ264" s="14"/>
      <c r="AK264" s="14"/>
      <c r="AL264" s="48">
        <f t="shared" si="14"/>
        <v>217203.7</v>
      </c>
      <c r="AM264" s="22">
        <v>49</v>
      </c>
      <c r="AN264" s="14">
        <v>636</v>
      </c>
      <c r="AO264" s="14">
        <v>-7712.89</v>
      </c>
      <c r="AP264" s="14"/>
      <c r="AQ264" s="14">
        <v>-2142.0500000000002</v>
      </c>
      <c r="AR264" s="44">
        <v>0.5</v>
      </c>
      <c r="AU264" s="46"/>
      <c r="AV264" s="46"/>
    </row>
    <row r="265" spans="1:48" x14ac:dyDescent="0.25">
      <c r="A265" s="12">
        <v>5856</v>
      </c>
      <c r="B265" s="13" t="s">
        <v>25</v>
      </c>
      <c r="C265" s="14">
        <v>1341271.72</v>
      </c>
      <c r="D265" s="14">
        <v>190878.22</v>
      </c>
      <c r="E265" s="14"/>
      <c r="F265" s="14"/>
      <c r="G265" s="14">
        <v>506.25</v>
      </c>
      <c r="H265" s="14">
        <v>608.54999999999995</v>
      </c>
      <c r="I265" s="14">
        <v>180427.05</v>
      </c>
      <c r="J265" s="14">
        <v>77898.73</v>
      </c>
      <c r="K265" s="14">
        <v>1786</v>
      </c>
      <c r="L265" s="14">
        <v>218060.2</v>
      </c>
      <c r="M265" s="3">
        <f t="shared" si="12"/>
        <v>2011436.72</v>
      </c>
      <c r="N265" s="14"/>
      <c r="O265" s="14">
        <v>4594.8999999999996</v>
      </c>
      <c r="P265" s="14">
        <v>7396.65</v>
      </c>
      <c r="Q265" s="14">
        <v>2285.09</v>
      </c>
      <c r="R265" s="14">
        <v>25890.05</v>
      </c>
      <c r="S265" s="14"/>
      <c r="T265" s="14"/>
      <c r="U265" s="14">
        <v>2775</v>
      </c>
      <c r="V265" s="14"/>
      <c r="W265" s="14"/>
      <c r="X265" s="2">
        <f t="shared" si="13"/>
        <v>2054378.41</v>
      </c>
      <c r="Y265" s="14">
        <v>1150</v>
      </c>
      <c r="Z265" s="14"/>
      <c r="AA265" s="14">
        <v>132831.1</v>
      </c>
      <c r="AB265" s="14"/>
      <c r="AC265" s="14">
        <v>63565.9</v>
      </c>
      <c r="AD265" s="14">
        <v>78.099999999999994</v>
      </c>
      <c r="AE265" s="14"/>
      <c r="AF265" s="14"/>
      <c r="AG265" s="14"/>
      <c r="AH265" s="14"/>
      <c r="AI265" s="14"/>
      <c r="AJ265" s="14"/>
      <c r="AK265" s="14"/>
      <c r="AL265" s="48">
        <f t="shared" si="14"/>
        <v>197625.1</v>
      </c>
      <c r="AM265" s="22">
        <v>68</v>
      </c>
      <c r="AN265" s="14">
        <v>700</v>
      </c>
      <c r="AO265" s="14">
        <v>-6983.38</v>
      </c>
      <c r="AP265" s="14"/>
      <c r="AQ265" s="14">
        <v>-311.41000000000003</v>
      </c>
      <c r="AR265" s="44">
        <v>1.3</v>
      </c>
      <c r="AU265" s="46"/>
      <c r="AV265" s="46"/>
    </row>
    <row r="266" spans="1:48" x14ac:dyDescent="0.25">
      <c r="A266" s="12">
        <v>5857</v>
      </c>
      <c r="B266" s="13" t="s">
        <v>26</v>
      </c>
      <c r="C266" s="14">
        <v>2861672.92</v>
      </c>
      <c r="D266" s="14">
        <v>531548.43999999994</v>
      </c>
      <c r="E266" s="14"/>
      <c r="F266" s="14"/>
      <c r="G266" s="14">
        <v>46803.75</v>
      </c>
      <c r="H266" s="14">
        <v>1255.4000000000001</v>
      </c>
      <c r="I266" s="14">
        <v>10166.549999999999</v>
      </c>
      <c r="J266" s="14">
        <v>7886.67</v>
      </c>
      <c r="K266" s="14">
        <v>5690.5</v>
      </c>
      <c r="L266" s="14">
        <v>312500.25</v>
      </c>
      <c r="M266" s="3">
        <f t="shared" si="12"/>
        <v>3777524.4799999995</v>
      </c>
      <c r="N266" s="14">
        <v>62919.5</v>
      </c>
      <c r="O266" s="14">
        <v>123134.3</v>
      </c>
      <c r="P266" s="14">
        <v>276375.75</v>
      </c>
      <c r="Q266" s="14"/>
      <c r="R266" s="14">
        <v>264007.65000000002</v>
      </c>
      <c r="S266" s="14">
        <v>62.5</v>
      </c>
      <c r="T266" s="14"/>
      <c r="U266" s="14">
        <v>1950</v>
      </c>
      <c r="V266" s="14"/>
      <c r="W266" s="14"/>
      <c r="X266" s="2">
        <f t="shared" si="13"/>
        <v>4505974.18</v>
      </c>
      <c r="Y266" s="14">
        <v>19492.5</v>
      </c>
      <c r="Z266" s="14"/>
      <c r="AA266" s="14">
        <v>80189.05</v>
      </c>
      <c r="AB266" s="14"/>
      <c r="AC266" s="14">
        <v>72010.75</v>
      </c>
      <c r="AD266" s="14"/>
      <c r="AE266" s="14"/>
      <c r="AF266" s="14"/>
      <c r="AG266" s="14">
        <v>1510.1</v>
      </c>
      <c r="AH266" s="14">
        <v>27363.55</v>
      </c>
      <c r="AI266" s="14"/>
      <c r="AJ266" s="14"/>
      <c r="AK266" s="14"/>
      <c r="AL266" s="48">
        <f t="shared" si="14"/>
        <v>200565.94999999998</v>
      </c>
      <c r="AM266" s="22">
        <v>66</v>
      </c>
      <c r="AN266" s="14">
        <v>1131</v>
      </c>
      <c r="AO266" s="14">
        <v>-100860.13</v>
      </c>
      <c r="AP266" s="14"/>
      <c r="AQ266" s="14">
        <v>-799.71</v>
      </c>
      <c r="AR266" s="44">
        <v>1</v>
      </c>
      <c r="AU266" s="46"/>
      <c r="AV266" s="46"/>
    </row>
    <row r="267" spans="1:48" x14ac:dyDescent="0.25">
      <c r="A267" s="12">
        <v>5858</v>
      </c>
      <c r="B267" s="13" t="s">
        <v>27</v>
      </c>
      <c r="C267" s="14">
        <v>1396188.2</v>
      </c>
      <c r="D267" s="14">
        <v>309338.5</v>
      </c>
      <c r="E267" s="14"/>
      <c r="F267" s="14"/>
      <c r="G267" s="14">
        <v>10713.8</v>
      </c>
      <c r="H267" s="14">
        <v>2194.5</v>
      </c>
      <c r="I267" s="14">
        <v>81744.3</v>
      </c>
      <c r="J267" s="14">
        <v>103421.04</v>
      </c>
      <c r="K267" s="14">
        <v>1042.2</v>
      </c>
      <c r="L267" s="14">
        <v>209145.1</v>
      </c>
      <c r="M267" s="3">
        <f t="shared" si="12"/>
        <v>2113787.64</v>
      </c>
      <c r="N267" s="14">
        <v>11284.05</v>
      </c>
      <c r="O267" s="14">
        <v>1393.8</v>
      </c>
      <c r="P267" s="14">
        <v>26820.3</v>
      </c>
      <c r="Q267" s="14">
        <v>4392.01</v>
      </c>
      <c r="R267" s="14">
        <v>24745.75</v>
      </c>
      <c r="S267" s="14"/>
      <c r="T267" s="14"/>
      <c r="U267" s="14">
        <v>1950</v>
      </c>
      <c r="V267" s="14"/>
      <c r="W267" s="14"/>
      <c r="X267" s="2">
        <f t="shared" si="13"/>
        <v>2184373.5499999993</v>
      </c>
      <c r="Y267" s="14">
        <v>41580</v>
      </c>
      <c r="Z267" s="14"/>
      <c r="AA267" s="14">
        <v>24949.7</v>
      </c>
      <c r="AB267" s="14"/>
      <c r="AC267" s="14">
        <v>32570.799999999999</v>
      </c>
      <c r="AD267" s="14"/>
      <c r="AE267" s="14"/>
      <c r="AF267" s="14"/>
      <c r="AG267" s="14">
        <v>27.3</v>
      </c>
      <c r="AH267" s="14">
        <v>19309.3</v>
      </c>
      <c r="AI267" s="14"/>
      <c r="AJ267" s="14"/>
      <c r="AK267" s="14"/>
      <c r="AL267" s="48">
        <f t="shared" si="14"/>
        <v>118437.1</v>
      </c>
      <c r="AM267" s="22">
        <v>60</v>
      </c>
      <c r="AN267" s="14">
        <v>633</v>
      </c>
      <c r="AO267" s="14">
        <v>-32489.95</v>
      </c>
      <c r="AP267" s="14"/>
      <c r="AQ267" s="14">
        <v>-300.37</v>
      </c>
      <c r="AR267" s="44">
        <v>1.5</v>
      </c>
      <c r="AU267" s="46"/>
      <c r="AV267" s="46"/>
    </row>
    <row r="268" spans="1:48" x14ac:dyDescent="0.25">
      <c r="A268" s="12">
        <v>5859</v>
      </c>
      <c r="B268" s="13" t="s">
        <v>28</v>
      </c>
      <c r="C268" s="14">
        <v>6448741.7599999998</v>
      </c>
      <c r="D268" s="14">
        <v>1649349.52</v>
      </c>
      <c r="E268" s="14"/>
      <c r="F268" s="14"/>
      <c r="G268" s="14">
        <v>136101.20000000001</v>
      </c>
      <c r="H268" s="14">
        <v>-6845.4</v>
      </c>
      <c r="I268" s="14">
        <v>442766.5</v>
      </c>
      <c r="J268" s="14">
        <v>91804.29</v>
      </c>
      <c r="K268" s="14">
        <v>19193.7</v>
      </c>
      <c r="L268" s="14">
        <v>587089.55000000005</v>
      </c>
      <c r="M268" s="3">
        <f t="shared" si="12"/>
        <v>9368201.1199999973</v>
      </c>
      <c r="N268" s="14">
        <v>60557.85</v>
      </c>
      <c r="O268" s="14">
        <v>35430.9</v>
      </c>
      <c r="P268" s="14">
        <v>286768.05</v>
      </c>
      <c r="Q268" s="14">
        <v>359.66</v>
      </c>
      <c r="R268" s="14">
        <v>213633.05</v>
      </c>
      <c r="S268" s="14"/>
      <c r="T268" s="14"/>
      <c r="U268" s="14">
        <v>13250</v>
      </c>
      <c r="V268" s="14"/>
      <c r="W268" s="14"/>
      <c r="X268" s="2">
        <f t="shared" si="13"/>
        <v>9978200.629999999</v>
      </c>
      <c r="Y268" s="14">
        <v>18536.2</v>
      </c>
      <c r="Z268" s="14"/>
      <c r="AA268" s="14">
        <v>376588.1</v>
      </c>
      <c r="AB268" s="14"/>
      <c r="AC268" s="14">
        <v>165769.9</v>
      </c>
      <c r="AD268" s="14"/>
      <c r="AE268" s="14"/>
      <c r="AF268" s="14"/>
      <c r="AG268" s="14"/>
      <c r="AH268" s="14"/>
      <c r="AI268" s="14"/>
      <c r="AJ268" s="14"/>
      <c r="AK268" s="14"/>
      <c r="AL268" s="48">
        <f t="shared" si="14"/>
        <v>560894.19999999995</v>
      </c>
      <c r="AM268" s="22">
        <v>63</v>
      </c>
      <c r="AN268" s="14">
        <v>2594</v>
      </c>
      <c r="AO268" s="14">
        <v>-62389.56</v>
      </c>
      <c r="AP268" s="14"/>
      <c r="AQ268" s="14">
        <v>-5633.05</v>
      </c>
      <c r="AR268" s="44">
        <v>1</v>
      </c>
      <c r="AU268" s="46"/>
      <c r="AV268" s="46"/>
    </row>
    <row r="269" spans="1:48" x14ac:dyDescent="0.25">
      <c r="A269" s="12">
        <v>5860</v>
      </c>
      <c r="B269" s="13" t="s">
        <v>29</v>
      </c>
      <c r="C269" s="14">
        <v>3615313.97</v>
      </c>
      <c r="D269" s="14">
        <v>808258.73</v>
      </c>
      <c r="E269" s="14"/>
      <c r="F269" s="14"/>
      <c r="G269" s="14">
        <v>113140.7</v>
      </c>
      <c r="H269" s="14">
        <v>7498.5</v>
      </c>
      <c r="I269" s="14">
        <v>282874.5</v>
      </c>
      <c r="J269" s="14">
        <v>135430.39000000001</v>
      </c>
      <c r="K269" s="14">
        <v>-19501</v>
      </c>
      <c r="L269" s="14">
        <v>564590.25</v>
      </c>
      <c r="M269" s="3">
        <f t="shared" si="12"/>
        <v>5507606.04</v>
      </c>
      <c r="N269" s="14">
        <v>18250.349999999999</v>
      </c>
      <c r="O269" s="14">
        <v>720.1</v>
      </c>
      <c r="P269" s="14">
        <v>387454.9</v>
      </c>
      <c r="Q269" s="14">
        <v>16479.36</v>
      </c>
      <c r="R269" s="14">
        <v>359146.65</v>
      </c>
      <c r="S269" s="14"/>
      <c r="T269" s="14"/>
      <c r="U269" s="14">
        <v>7320</v>
      </c>
      <c r="V269" s="14"/>
      <c r="W269" s="14"/>
      <c r="X269" s="2">
        <f t="shared" si="13"/>
        <v>6296977.4000000004</v>
      </c>
      <c r="Y269" s="14">
        <v>79990.75</v>
      </c>
      <c r="Z269" s="14"/>
      <c r="AA269" s="14">
        <v>275664.51</v>
      </c>
      <c r="AB269" s="14"/>
      <c r="AC269" s="14">
        <v>85697.22</v>
      </c>
      <c r="AD269" s="14"/>
      <c r="AE269" s="14"/>
      <c r="AF269" s="14"/>
      <c r="AG269" s="14"/>
      <c r="AH269" s="14"/>
      <c r="AI269" s="14"/>
      <c r="AJ269" s="14"/>
      <c r="AK269" s="14"/>
      <c r="AL269" s="48">
        <f t="shared" si="14"/>
        <v>441352.48</v>
      </c>
      <c r="AM269" s="22">
        <v>60</v>
      </c>
      <c r="AN269" s="14">
        <v>1464</v>
      </c>
      <c r="AO269" s="14">
        <v>-94529.2</v>
      </c>
      <c r="AP269" s="14"/>
      <c r="AQ269" s="14">
        <v>-4762.24</v>
      </c>
      <c r="AR269" s="44">
        <v>1.3</v>
      </c>
      <c r="AU269" s="46"/>
      <c r="AV269" s="46"/>
    </row>
    <row r="270" spans="1:48" x14ac:dyDescent="0.25">
      <c r="A270" s="12">
        <v>5861</v>
      </c>
      <c r="B270" s="13" t="s">
        <v>30</v>
      </c>
      <c r="C270" s="14">
        <v>10956241.949999999</v>
      </c>
      <c r="D270" s="14">
        <v>2287345.88</v>
      </c>
      <c r="E270" s="14">
        <v>613651</v>
      </c>
      <c r="F270" s="14"/>
      <c r="G270" s="14">
        <f>18944666.1-(10944666.1)/2</f>
        <v>13472333.050000001</v>
      </c>
      <c r="H270" s="14">
        <v>795856.35</v>
      </c>
      <c r="I270" s="14">
        <v>1313831.51</v>
      </c>
      <c r="J270" s="14">
        <v>1514705.56</v>
      </c>
      <c r="K270" s="14">
        <v>254227.5</v>
      </c>
      <c r="L270" s="14">
        <v>1626037.4</v>
      </c>
      <c r="M270" s="3">
        <f t="shared" si="12"/>
        <v>32834230.199999999</v>
      </c>
      <c r="N270" s="14">
        <v>1381772.65</v>
      </c>
      <c r="O270" s="14">
        <v>628357.1</v>
      </c>
      <c r="P270" s="14">
        <v>490543.75</v>
      </c>
      <c r="Q270" s="14">
        <v>103484.05</v>
      </c>
      <c r="R270" s="14">
        <v>685925.2</v>
      </c>
      <c r="S270" s="14">
        <v>606.25</v>
      </c>
      <c r="T270" s="14"/>
      <c r="U270" s="14">
        <v>16932</v>
      </c>
      <c r="V270" s="14"/>
      <c r="W270" s="14"/>
      <c r="X270" s="2">
        <f t="shared" si="13"/>
        <v>36141851.200000003</v>
      </c>
      <c r="Y270" s="14">
        <v>40890.019999999997</v>
      </c>
      <c r="Z270" s="14">
        <v>415580</v>
      </c>
      <c r="AA270" s="14">
        <v>1052946</v>
      </c>
      <c r="AB270" s="14"/>
      <c r="AC270" s="14">
        <v>356529.15</v>
      </c>
      <c r="AD270" s="14"/>
      <c r="AE270" s="14"/>
      <c r="AF270" s="14"/>
      <c r="AG270" s="14">
        <v>107574.3</v>
      </c>
      <c r="AH270" s="14">
        <v>220179.25</v>
      </c>
      <c r="AI270" s="14"/>
      <c r="AJ270" s="14"/>
      <c r="AK270" s="14"/>
      <c r="AL270" s="48">
        <f t="shared" si="14"/>
        <v>2193698.7199999997</v>
      </c>
      <c r="AM270" s="22">
        <v>59.5</v>
      </c>
      <c r="AN270" s="14">
        <v>6047</v>
      </c>
      <c r="AO270" s="14">
        <v>-253640.76</v>
      </c>
      <c r="AP270" s="14"/>
      <c r="AQ270" s="14">
        <v>-9309.49</v>
      </c>
      <c r="AR270" s="44">
        <v>1</v>
      </c>
      <c r="AU270" s="46"/>
      <c r="AV270" s="46"/>
    </row>
    <row r="271" spans="1:48" x14ac:dyDescent="0.25">
      <c r="A271" s="12">
        <v>5862</v>
      </c>
      <c r="B271" s="13" t="s">
        <v>31</v>
      </c>
      <c r="C271" s="14">
        <v>668193.56000000006</v>
      </c>
      <c r="D271" s="14">
        <v>88530.18</v>
      </c>
      <c r="E271" s="14"/>
      <c r="F271" s="14"/>
      <c r="G271" s="14">
        <v>4942.05</v>
      </c>
      <c r="H271" s="14">
        <v>-12.1</v>
      </c>
      <c r="I271" s="14"/>
      <c r="J271" s="14">
        <v>36158.28</v>
      </c>
      <c r="K271" s="14"/>
      <c r="L271" s="14">
        <v>40354.949999999997</v>
      </c>
      <c r="M271" s="3">
        <f t="shared" si="12"/>
        <v>838166.92</v>
      </c>
      <c r="N271" s="14">
        <v>6283.3</v>
      </c>
      <c r="O271" s="14">
        <v>1224</v>
      </c>
      <c r="P271" s="14">
        <v>13959.15</v>
      </c>
      <c r="Q271" s="14"/>
      <c r="R271" s="14">
        <v>10460.4</v>
      </c>
      <c r="S271" s="14">
        <v>31.25</v>
      </c>
      <c r="T271" s="14"/>
      <c r="U271" s="14">
        <v>750</v>
      </c>
      <c r="V271" s="14"/>
      <c r="W271" s="14"/>
      <c r="X271" s="2">
        <f t="shared" si="13"/>
        <v>870875.02000000014</v>
      </c>
      <c r="Y271" s="14"/>
      <c r="Z271" s="14"/>
      <c r="AA271" s="14">
        <v>46460.4</v>
      </c>
      <c r="AB271" s="14"/>
      <c r="AC271" s="14">
        <v>14251.45</v>
      </c>
      <c r="AD271" s="14"/>
      <c r="AE271" s="14"/>
      <c r="AF271" s="14"/>
      <c r="AG271" s="14"/>
      <c r="AH271" s="14"/>
      <c r="AI271" s="14"/>
      <c r="AJ271" s="14"/>
      <c r="AK271" s="14"/>
      <c r="AL271" s="48">
        <f t="shared" si="14"/>
        <v>60711.850000000006</v>
      </c>
      <c r="AM271" s="22">
        <v>84</v>
      </c>
      <c r="AN271" s="14">
        <v>230</v>
      </c>
      <c r="AO271" s="14">
        <v>-3409.8</v>
      </c>
      <c r="AP271" s="14"/>
      <c r="AQ271" s="14">
        <v>-8.23</v>
      </c>
      <c r="AR271" s="44">
        <v>0.9</v>
      </c>
      <c r="AU271" s="46"/>
      <c r="AV271" s="46"/>
    </row>
    <row r="272" spans="1:48" x14ac:dyDescent="0.25">
      <c r="A272" s="12">
        <v>5863</v>
      </c>
      <c r="B272" s="13" t="s">
        <v>32</v>
      </c>
      <c r="C272" s="14">
        <v>1506874.53</v>
      </c>
      <c r="D272" s="14">
        <v>131401.9</v>
      </c>
      <c r="E272" s="14"/>
      <c r="F272" s="14"/>
      <c r="G272" s="14">
        <v>43462.3</v>
      </c>
      <c r="H272" s="14">
        <v>57.9</v>
      </c>
      <c r="I272" s="14"/>
      <c r="J272" s="14">
        <v>54790.99</v>
      </c>
      <c r="K272" s="14">
        <v>1387</v>
      </c>
      <c r="L272" s="14">
        <v>73096.399999999994</v>
      </c>
      <c r="M272" s="3">
        <f t="shared" si="12"/>
        <v>1811071.0199999998</v>
      </c>
      <c r="N272" s="14">
        <v>20369.650000000001</v>
      </c>
      <c r="O272" s="14"/>
      <c r="P272" s="14">
        <v>17066.55</v>
      </c>
      <c r="Q272" s="14"/>
      <c r="R272" s="14">
        <v>25137.599999999999</v>
      </c>
      <c r="S272" s="14">
        <v>387.5</v>
      </c>
      <c r="T272" s="14"/>
      <c r="U272" s="14">
        <v>1300</v>
      </c>
      <c r="V272" s="14"/>
      <c r="W272" s="14"/>
      <c r="X272" s="2">
        <f t="shared" si="13"/>
        <v>1875332.3199999998</v>
      </c>
      <c r="Y272" s="14"/>
      <c r="Z272" s="14"/>
      <c r="AA272" s="14">
        <v>13424</v>
      </c>
      <c r="AB272" s="14"/>
      <c r="AC272" s="14">
        <v>34921.800000000003</v>
      </c>
      <c r="AD272" s="14"/>
      <c r="AE272" s="14"/>
      <c r="AF272" s="14"/>
      <c r="AG272" s="14">
        <v>1124.6500000000001</v>
      </c>
      <c r="AH272" s="14">
        <v>6522.65</v>
      </c>
      <c r="AI272" s="14"/>
      <c r="AJ272" s="14"/>
      <c r="AK272" s="14"/>
      <c r="AL272" s="48">
        <f t="shared" si="14"/>
        <v>55993.100000000006</v>
      </c>
      <c r="AM272" s="22">
        <v>70</v>
      </c>
      <c r="AN272" s="14">
        <v>349</v>
      </c>
      <c r="AO272" s="14">
        <v>-12386.62</v>
      </c>
      <c r="AP272" s="14"/>
      <c r="AQ272" s="14">
        <v>-2428.83</v>
      </c>
      <c r="AR272" s="44">
        <v>1</v>
      </c>
      <c r="AU272" s="46"/>
      <c r="AV272" s="46"/>
    </row>
    <row r="273" spans="1:48" x14ac:dyDescent="0.25">
      <c r="A273" s="12">
        <v>5871</v>
      </c>
      <c r="B273" s="13" t="s">
        <v>33</v>
      </c>
      <c r="C273" s="14">
        <f>486346.08+1220999.5+1042975.77</f>
        <v>2750321.35</v>
      </c>
      <c r="D273" s="14">
        <v>447664.44</v>
      </c>
      <c r="E273" s="14"/>
      <c r="F273" s="14"/>
      <c r="G273" s="14">
        <v>300058.7</v>
      </c>
      <c r="H273" s="14">
        <v>891.45</v>
      </c>
      <c r="I273" s="14">
        <v>-11689.1</v>
      </c>
      <c r="J273" s="14">
        <v>92115.51</v>
      </c>
      <c r="K273" s="14">
        <v>722.25</v>
      </c>
      <c r="L273" s="14">
        <v>229585.95</v>
      </c>
      <c r="M273" s="3">
        <f t="shared" si="12"/>
        <v>3809670.5500000003</v>
      </c>
      <c r="N273" s="14">
        <v>512529.65</v>
      </c>
      <c r="O273" s="14">
        <v>26791.599999999999</v>
      </c>
      <c r="P273" s="14">
        <v>64423</v>
      </c>
      <c r="Q273" s="14">
        <v>14793.13</v>
      </c>
      <c r="R273" s="14">
        <v>114898.95</v>
      </c>
      <c r="S273" s="14">
        <v>250</v>
      </c>
      <c r="T273" s="14"/>
      <c r="U273" s="14">
        <v>7950</v>
      </c>
      <c r="V273" s="14"/>
      <c r="W273" s="14"/>
      <c r="X273" s="2">
        <f t="shared" si="13"/>
        <v>4551306.88</v>
      </c>
      <c r="Y273" s="14">
        <v>84794</v>
      </c>
      <c r="Z273" s="14">
        <v>12702.55</v>
      </c>
      <c r="AA273" s="14">
        <v>293378.09999999998</v>
      </c>
      <c r="AB273" s="14"/>
      <c r="AC273" s="14">
        <v>145923.70000000001</v>
      </c>
      <c r="AD273" s="14"/>
      <c r="AE273" s="14"/>
      <c r="AF273" s="14"/>
      <c r="AG273" s="14">
        <v>61963.65</v>
      </c>
      <c r="AH273" s="14"/>
      <c r="AI273" s="14"/>
      <c r="AJ273" s="14"/>
      <c r="AK273" s="14"/>
      <c r="AL273" s="48">
        <f t="shared" si="14"/>
        <v>598762</v>
      </c>
      <c r="AM273" s="22">
        <v>77.11</v>
      </c>
      <c r="AN273" s="14">
        <v>1423</v>
      </c>
      <c r="AO273" s="14">
        <v>-25115.439999999999</v>
      </c>
      <c r="AP273" s="14"/>
      <c r="AQ273" s="14">
        <v>-91.14</v>
      </c>
      <c r="AR273" s="44">
        <v>1</v>
      </c>
      <c r="AU273" s="46"/>
      <c r="AV273" s="46"/>
    </row>
    <row r="274" spans="1:48" x14ac:dyDescent="0.25">
      <c r="A274" s="12">
        <v>5872</v>
      </c>
      <c r="B274" s="13" t="s">
        <v>233</v>
      </c>
      <c r="C274" s="14">
        <v>6647562.96</v>
      </c>
      <c r="D274" s="14">
        <v>933260.88</v>
      </c>
      <c r="E274" s="14"/>
      <c r="F274" s="14"/>
      <c r="G274" s="14">
        <v>12698011.800000001</v>
      </c>
      <c r="H274" s="14">
        <v>251010.45</v>
      </c>
      <c r="I274" s="14"/>
      <c r="J274" s="14">
        <v>640725.71</v>
      </c>
      <c r="K274" s="14">
        <v>40783.5</v>
      </c>
      <c r="L274" s="14">
        <v>449151.6</v>
      </c>
      <c r="M274" s="3">
        <f t="shared" si="12"/>
        <v>21660506.900000002</v>
      </c>
      <c r="N274" s="14">
        <v>4336543.1500000004</v>
      </c>
      <c r="O274" s="14">
        <v>67019.899999999994</v>
      </c>
      <c r="P274" s="14">
        <v>287706.5</v>
      </c>
      <c r="Q274" s="14">
        <v>26816.95</v>
      </c>
      <c r="R274" s="14">
        <v>205029.55</v>
      </c>
      <c r="S274" s="14">
        <v>1681.25</v>
      </c>
      <c r="T274" s="14">
        <v>2300</v>
      </c>
      <c r="U274" s="14">
        <v>26400</v>
      </c>
      <c r="V274" s="14"/>
      <c r="W274" s="14"/>
      <c r="X274" s="2">
        <f t="shared" si="13"/>
        <v>26614004.200000003</v>
      </c>
      <c r="Y274" s="14">
        <v>73694</v>
      </c>
      <c r="Z274" s="14">
        <v>36847</v>
      </c>
      <c r="AA274" s="14">
        <v>962389.95</v>
      </c>
      <c r="AB274" s="14"/>
      <c r="AC274" s="14">
        <v>416727.4</v>
      </c>
      <c r="AD274" s="14">
        <v>49129</v>
      </c>
      <c r="AE274" s="14">
        <v>24565</v>
      </c>
      <c r="AF274" s="14"/>
      <c r="AG274" s="14">
        <v>113011.42</v>
      </c>
      <c r="AH274" s="14"/>
      <c r="AI274" s="14"/>
      <c r="AJ274" s="14"/>
      <c r="AK274" s="14"/>
      <c r="AL274" s="48">
        <f t="shared" si="14"/>
        <v>1676363.77</v>
      </c>
      <c r="AM274" s="22">
        <v>69.739999999999995</v>
      </c>
      <c r="AN274" s="14">
        <v>4614</v>
      </c>
      <c r="AO274" s="14">
        <v>-80963.73</v>
      </c>
      <c r="AP274" s="14"/>
      <c r="AQ274" s="14">
        <v>-537.03</v>
      </c>
      <c r="AR274" s="44">
        <v>0.7</v>
      </c>
      <c r="AU274" s="46"/>
      <c r="AV274" s="46"/>
    </row>
    <row r="275" spans="1:48" x14ac:dyDescent="0.25">
      <c r="A275" s="12">
        <v>5873</v>
      </c>
      <c r="B275" s="13" t="s">
        <v>234</v>
      </c>
      <c r="C275" s="14">
        <v>1345521.02</v>
      </c>
      <c r="D275" s="14">
        <v>226128.54</v>
      </c>
      <c r="E275" s="14"/>
      <c r="F275" s="14"/>
      <c r="G275" s="14">
        <v>520590.8</v>
      </c>
      <c r="H275" s="14">
        <v>-14283.1</v>
      </c>
      <c r="I275" s="14"/>
      <c r="J275" s="14">
        <v>48331.14</v>
      </c>
      <c r="K275" s="14"/>
      <c r="L275" s="14">
        <v>131020.8</v>
      </c>
      <c r="M275" s="3">
        <f t="shared" si="12"/>
        <v>2257309.1999999997</v>
      </c>
      <c r="N275" s="14">
        <v>766492.05</v>
      </c>
      <c r="O275" s="14"/>
      <c r="P275" s="14">
        <v>170036.2</v>
      </c>
      <c r="Q275" s="14">
        <v>7929.71</v>
      </c>
      <c r="R275" s="14">
        <v>53636.5</v>
      </c>
      <c r="S275" s="14">
        <v>156.25</v>
      </c>
      <c r="T275" s="14"/>
      <c r="U275" s="14">
        <v>5850</v>
      </c>
      <c r="V275" s="14"/>
      <c r="W275" s="14"/>
      <c r="X275" s="2">
        <f t="shared" si="13"/>
        <v>3261409.91</v>
      </c>
      <c r="Y275" s="14">
        <v>12840</v>
      </c>
      <c r="Z275" s="14"/>
      <c r="AA275" s="14">
        <v>228102</v>
      </c>
      <c r="AB275" s="14"/>
      <c r="AC275" s="14">
        <v>87280.2</v>
      </c>
      <c r="AD275" s="14">
        <v>8140</v>
      </c>
      <c r="AE275" s="14"/>
      <c r="AF275" s="14"/>
      <c r="AG275" s="14">
        <v>23543.7</v>
      </c>
      <c r="AH275" s="14"/>
      <c r="AI275" s="14"/>
      <c r="AJ275" s="14"/>
      <c r="AK275" s="14"/>
      <c r="AL275" s="48">
        <f t="shared" si="14"/>
        <v>359905.9</v>
      </c>
      <c r="AM275" s="22">
        <v>65</v>
      </c>
      <c r="AN275" s="14">
        <v>859</v>
      </c>
      <c r="AO275" s="14">
        <v>-18562.34</v>
      </c>
      <c r="AP275" s="14"/>
      <c r="AQ275" s="14">
        <v>-97.47</v>
      </c>
      <c r="AR275" s="44">
        <v>0.6</v>
      </c>
      <c r="AU275" s="46"/>
      <c r="AV275" s="46"/>
    </row>
    <row r="276" spans="1:48" x14ac:dyDescent="0.25">
      <c r="A276" s="12">
        <v>5881</v>
      </c>
      <c r="B276" s="13" t="s">
        <v>235</v>
      </c>
      <c r="C276" s="14">
        <v>18160616.850000001</v>
      </c>
      <c r="D276" s="14">
        <v>2900510.69</v>
      </c>
      <c r="E276" s="14"/>
      <c r="F276" s="14"/>
      <c r="G276" s="14">
        <v>900957.2</v>
      </c>
      <c r="H276" s="14">
        <v>3584.85</v>
      </c>
      <c r="I276" s="14">
        <v>575811.28</v>
      </c>
      <c r="J276" s="14">
        <v>597643.92000000004</v>
      </c>
      <c r="K276" s="14">
        <v>53867</v>
      </c>
      <c r="L276" s="14">
        <v>1523634.85</v>
      </c>
      <c r="M276" s="3">
        <f t="shared" si="12"/>
        <v>24716626.640000008</v>
      </c>
      <c r="N276" s="14">
        <v>84265.7</v>
      </c>
      <c r="O276" s="14">
        <v>70267.899999999994</v>
      </c>
      <c r="P276" s="14">
        <v>939378</v>
      </c>
      <c r="Q276" s="14">
        <v>308976.87</v>
      </c>
      <c r="R276" s="14">
        <v>881290.3</v>
      </c>
      <c r="S276" s="14">
        <v>431.25</v>
      </c>
      <c r="T276" s="14"/>
      <c r="U276" s="14">
        <v>39550</v>
      </c>
      <c r="V276" s="14"/>
      <c r="W276" s="14"/>
      <c r="X276" s="2">
        <f t="shared" si="13"/>
        <v>27040786.660000008</v>
      </c>
      <c r="Y276" s="14">
        <v>254624.15</v>
      </c>
      <c r="Z276" s="14"/>
      <c r="AA276" s="14">
        <v>452000.9</v>
      </c>
      <c r="AB276" s="14"/>
      <c r="AC276" s="14">
        <v>758353.15</v>
      </c>
      <c r="AD276" s="14">
        <v>326635.65000000002</v>
      </c>
      <c r="AE276" s="14"/>
      <c r="AF276" s="14"/>
      <c r="AG276" s="14"/>
      <c r="AH276" s="14"/>
      <c r="AI276" s="14"/>
      <c r="AJ276" s="14"/>
      <c r="AK276" s="14"/>
      <c r="AL276" s="48">
        <f t="shared" si="14"/>
        <v>1791613.85</v>
      </c>
      <c r="AM276" s="22">
        <v>70</v>
      </c>
      <c r="AN276" s="14">
        <v>6132</v>
      </c>
      <c r="AO276" s="14">
        <v>-495350.95</v>
      </c>
      <c r="AP276" s="14"/>
      <c r="AQ276" s="14">
        <v>-9066.18</v>
      </c>
      <c r="AR276" s="44">
        <v>1</v>
      </c>
      <c r="AU276" s="46"/>
      <c r="AV276" s="46"/>
    </row>
    <row r="277" spans="1:48" x14ac:dyDescent="0.25">
      <c r="A277" s="12">
        <v>5882</v>
      </c>
      <c r="B277" s="13" t="s">
        <v>236</v>
      </c>
      <c r="C277" s="14">
        <v>7148127.3300000001</v>
      </c>
      <c r="D277" s="14">
        <v>1618927.47</v>
      </c>
      <c r="E277" s="14"/>
      <c r="F277" s="14"/>
      <c r="G277" s="14">
        <v>323835.15000000002</v>
      </c>
      <c r="H277" s="14">
        <v>15348.7</v>
      </c>
      <c r="I277" s="14">
        <v>648858.9</v>
      </c>
      <c r="J277" s="14">
        <v>205936.44</v>
      </c>
      <c r="K277" s="14">
        <v>14266</v>
      </c>
      <c r="L277" s="14">
        <v>808765.75</v>
      </c>
      <c r="M277" s="3">
        <f t="shared" si="12"/>
        <v>10784065.74</v>
      </c>
      <c r="N277" s="14"/>
      <c r="O277" s="14">
        <v>714160.5</v>
      </c>
      <c r="P277" s="14">
        <v>472638.5</v>
      </c>
      <c r="Q277" s="14">
        <v>40184.85</v>
      </c>
      <c r="R277" s="14">
        <v>266673.15000000002</v>
      </c>
      <c r="S277" s="14">
        <v>118.9</v>
      </c>
      <c r="T277" s="14"/>
      <c r="U277" s="14">
        <v>11440</v>
      </c>
      <c r="V277" s="14"/>
      <c r="W277" s="14"/>
      <c r="X277" s="2">
        <f t="shared" si="13"/>
        <v>12289281.640000001</v>
      </c>
      <c r="Y277" s="14">
        <v>-17067.25</v>
      </c>
      <c r="Z277" s="14"/>
      <c r="AA277" s="14">
        <v>278639.94</v>
      </c>
      <c r="AB277" s="14"/>
      <c r="AC277" s="14">
        <v>232156.99</v>
      </c>
      <c r="AD277" s="14"/>
      <c r="AE277" s="14"/>
      <c r="AF277" s="14"/>
      <c r="AG277" s="14"/>
      <c r="AH277" s="14"/>
      <c r="AI277" s="14"/>
      <c r="AJ277" s="14"/>
      <c r="AK277" s="14"/>
      <c r="AL277" s="48">
        <f t="shared" si="14"/>
        <v>493729.68</v>
      </c>
      <c r="AM277" s="22">
        <v>66</v>
      </c>
      <c r="AN277" s="14">
        <v>2889</v>
      </c>
      <c r="AO277" s="14">
        <v>-72369.570000000007</v>
      </c>
      <c r="AP277" s="14"/>
      <c r="AQ277" s="14">
        <v>-2180.65</v>
      </c>
      <c r="AR277" s="44">
        <v>1</v>
      </c>
      <c r="AU277" s="46"/>
      <c r="AV277" s="46"/>
    </row>
    <row r="278" spans="1:48" x14ac:dyDescent="0.25">
      <c r="A278" s="12">
        <v>5883</v>
      </c>
      <c r="B278" s="13" t="s">
        <v>237</v>
      </c>
      <c r="C278" s="14">
        <v>6715163.75</v>
      </c>
      <c r="D278" s="14">
        <v>1410564.35</v>
      </c>
      <c r="E278" s="14"/>
      <c r="F278" s="14"/>
      <c r="G278" s="14">
        <v>263465.84999999998</v>
      </c>
      <c r="H278" s="14">
        <v>4142.3999999999996</v>
      </c>
      <c r="I278" s="14">
        <v>119265.4</v>
      </c>
      <c r="J278" s="14">
        <v>163909.34</v>
      </c>
      <c r="K278" s="14">
        <v>15237.5</v>
      </c>
      <c r="L278" s="14">
        <v>586718.55000000005</v>
      </c>
      <c r="M278" s="3">
        <f t="shared" si="12"/>
        <v>9278467.1400000006</v>
      </c>
      <c r="N278" s="14">
        <v>4430.75</v>
      </c>
      <c r="O278" s="14">
        <v>303292.90000000002</v>
      </c>
      <c r="P278" s="14">
        <v>443659.55</v>
      </c>
      <c r="Q278" s="14">
        <v>179154.01</v>
      </c>
      <c r="R278" s="14">
        <v>375029.3</v>
      </c>
      <c r="S278" s="14">
        <v>62.55</v>
      </c>
      <c r="T278" s="14"/>
      <c r="U278" s="14">
        <v>4975</v>
      </c>
      <c r="V278" s="14"/>
      <c r="W278" s="14"/>
      <c r="X278" s="2">
        <f t="shared" si="13"/>
        <v>10589071.200000003</v>
      </c>
      <c r="Y278" s="14"/>
      <c r="Z278" s="14"/>
      <c r="AA278" s="14"/>
      <c r="AB278" s="14">
        <v>445640</v>
      </c>
      <c r="AC278" s="14">
        <v>374072.41</v>
      </c>
      <c r="AD278" s="14">
        <v>228688.64000000001</v>
      </c>
      <c r="AE278" s="14"/>
      <c r="AF278" s="14"/>
      <c r="AG278" s="14"/>
      <c r="AH278" s="14"/>
      <c r="AI278" s="14"/>
      <c r="AJ278" s="14"/>
      <c r="AK278" s="14"/>
      <c r="AL278" s="48">
        <f t="shared" si="14"/>
        <v>1048401.0499999999</v>
      </c>
      <c r="AM278" s="22">
        <v>64</v>
      </c>
      <c r="AN278" s="14">
        <v>2172</v>
      </c>
      <c r="AO278" s="14">
        <v>-203366.76</v>
      </c>
      <c r="AP278" s="14"/>
      <c r="AQ278" s="14">
        <v>-11498.93</v>
      </c>
      <c r="AR278" s="44">
        <v>1</v>
      </c>
      <c r="AU278" s="46"/>
      <c r="AV278" s="46"/>
    </row>
    <row r="279" spans="1:48" x14ac:dyDescent="0.25">
      <c r="A279" s="12">
        <v>5884</v>
      </c>
      <c r="B279" s="13" t="s">
        <v>53</v>
      </c>
      <c r="C279" s="14">
        <v>5323248.8600000003</v>
      </c>
      <c r="D279" s="14">
        <v>766003.5</v>
      </c>
      <c r="E279" s="14"/>
      <c r="F279" s="14"/>
      <c r="G279" s="14">
        <v>1526402.79</v>
      </c>
      <c r="H279" s="14">
        <v>15086.8</v>
      </c>
      <c r="I279" s="14">
        <v>16478.900000000001</v>
      </c>
      <c r="J279" s="14">
        <v>273364.46000000002</v>
      </c>
      <c r="K279" s="14">
        <v>166715.5</v>
      </c>
      <c r="L279" s="14">
        <v>878929.3</v>
      </c>
      <c r="M279" s="3">
        <f t="shared" si="12"/>
        <v>8966230.1100000013</v>
      </c>
      <c r="N279" s="14">
        <v>276074.8</v>
      </c>
      <c r="O279" s="14">
        <v>26716.3</v>
      </c>
      <c r="P279" s="14">
        <v>352541.65</v>
      </c>
      <c r="Q279" s="14">
        <v>66588.81</v>
      </c>
      <c r="R279" s="14">
        <v>140627.29999999999</v>
      </c>
      <c r="S279" s="14">
        <v>487.5</v>
      </c>
      <c r="T279" s="14"/>
      <c r="U279" s="14">
        <v>17150</v>
      </c>
      <c r="V279" s="14"/>
      <c r="W279" s="14"/>
      <c r="X279" s="2">
        <f t="shared" si="13"/>
        <v>9846416.4700000044</v>
      </c>
      <c r="Y279" s="14">
        <v>6153.7</v>
      </c>
      <c r="Z279" s="14">
        <v>307721.2</v>
      </c>
      <c r="AA279" s="14"/>
      <c r="AB279" s="14">
        <v>596673.94999999995</v>
      </c>
      <c r="AC279" s="14">
        <v>244009.55</v>
      </c>
      <c r="AD279" s="14"/>
      <c r="AE279" s="14"/>
      <c r="AF279" s="14"/>
      <c r="AG279" s="14">
        <v>14907</v>
      </c>
      <c r="AH279" s="14">
        <v>275914.05</v>
      </c>
      <c r="AI279" s="14"/>
      <c r="AJ279" s="14"/>
      <c r="AK279" s="14"/>
      <c r="AL279" s="48">
        <f t="shared" si="14"/>
        <v>1445379.45</v>
      </c>
      <c r="AM279" s="22">
        <v>66</v>
      </c>
      <c r="AN279" s="14">
        <v>3427</v>
      </c>
      <c r="AO279" s="14">
        <v>-148978.16</v>
      </c>
      <c r="AP279" s="14"/>
      <c r="AQ279" s="14">
        <v>-276.98</v>
      </c>
      <c r="AR279" s="44">
        <v>1.2</v>
      </c>
      <c r="AU279" s="46"/>
      <c r="AV279" s="46"/>
    </row>
    <row r="280" spans="1:48" x14ac:dyDescent="0.25">
      <c r="A280" s="12">
        <v>5885</v>
      </c>
      <c r="B280" s="13" t="s">
        <v>54</v>
      </c>
      <c r="C280" s="14">
        <f>11194670.01-(8200000)/2</f>
        <v>7094670.0099999998</v>
      </c>
      <c r="D280" s="14">
        <v>1919927.52</v>
      </c>
      <c r="E280" s="14"/>
      <c r="F280" s="14"/>
      <c r="G280" s="14">
        <v>48702.3</v>
      </c>
      <c r="H280" s="14">
        <v>256.5</v>
      </c>
      <c r="I280" s="14">
        <v>108946.15</v>
      </c>
      <c r="J280" s="14">
        <v>41176.28</v>
      </c>
      <c r="K280" s="14">
        <v>7751.5</v>
      </c>
      <c r="L280" s="14">
        <v>378791.05</v>
      </c>
      <c r="M280" s="3">
        <f t="shared" si="12"/>
        <v>9600221.3100000005</v>
      </c>
      <c r="N280" s="14"/>
      <c r="O280" s="14">
        <v>55331</v>
      </c>
      <c r="P280" s="14">
        <v>211033.65</v>
      </c>
      <c r="Q280" s="14">
        <v>3664.73</v>
      </c>
      <c r="R280" s="14">
        <v>116776.7</v>
      </c>
      <c r="S280" s="14">
        <v>93.75</v>
      </c>
      <c r="T280" s="14"/>
      <c r="U280" s="14">
        <v>6750</v>
      </c>
      <c r="V280" s="14"/>
      <c r="W280" s="14"/>
      <c r="X280" s="2">
        <f t="shared" si="13"/>
        <v>9993871.1400000006</v>
      </c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48">
        <f t="shared" si="14"/>
        <v>0</v>
      </c>
      <c r="AM280" s="22">
        <v>69</v>
      </c>
      <c r="AN280" s="14">
        <v>1493</v>
      </c>
      <c r="AO280" s="14">
        <v>-12401.94</v>
      </c>
      <c r="AP280" s="14"/>
      <c r="AQ280" s="14">
        <v>-2502.75</v>
      </c>
      <c r="AR280" s="44">
        <v>1.2</v>
      </c>
      <c r="AU280" s="46"/>
      <c r="AV280" s="46"/>
    </row>
    <row r="281" spans="1:48" x14ac:dyDescent="0.25">
      <c r="A281" s="12">
        <v>5886</v>
      </c>
      <c r="B281" s="13" t="s">
        <v>55</v>
      </c>
      <c r="C281" s="14">
        <v>43222321.770000003</v>
      </c>
      <c r="D281" s="14">
        <v>9715565.9000000004</v>
      </c>
      <c r="E281" s="14"/>
      <c r="F281" s="14"/>
      <c r="G281" s="14">
        <v>7110900.9500000002</v>
      </c>
      <c r="H281" s="14">
        <v>401990.9</v>
      </c>
      <c r="I281" s="14">
        <v>3544361.28</v>
      </c>
      <c r="J281" s="14">
        <v>2751024.59</v>
      </c>
      <c r="K281" s="14">
        <v>532089.94999999995</v>
      </c>
      <c r="L281" s="14">
        <v>9320391.8100000005</v>
      </c>
      <c r="M281" s="3">
        <f t="shared" si="12"/>
        <v>76598647.150000006</v>
      </c>
      <c r="N281" s="14">
        <v>803251.7</v>
      </c>
      <c r="O281" s="14">
        <v>4393730.5999999996</v>
      </c>
      <c r="P281" s="14">
        <v>5594004.7999999998</v>
      </c>
      <c r="Q281" s="14">
        <v>458969.03</v>
      </c>
      <c r="R281" s="14">
        <v>3407815.55</v>
      </c>
      <c r="S281" s="14">
        <v>4162.5</v>
      </c>
      <c r="T281" s="14"/>
      <c r="U281" s="14">
        <v>118450</v>
      </c>
      <c r="V281" s="14"/>
      <c r="W281" s="14"/>
      <c r="X281" s="2">
        <f t="shared" si="13"/>
        <v>91379031.329999998</v>
      </c>
      <c r="Y281" s="14"/>
      <c r="Z281" s="14"/>
      <c r="AA281" s="14">
        <v>2562734.35</v>
      </c>
      <c r="AB281" s="14"/>
      <c r="AC281" s="14">
        <v>3970623.05</v>
      </c>
      <c r="AD281" s="14"/>
      <c r="AE281" s="14"/>
      <c r="AF281" s="14"/>
      <c r="AG281" s="14"/>
      <c r="AH281" s="14"/>
      <c r="AI281" s="14"/>
      <c r="AJ281" s="14"/>
      <c r="AK281" s="14"/>
      <c r="AL281" s="48">
        <f t="shared" si="14"/>
        <v>6533357.4000000004</v>
      </c>
      <c r="AM281" s="22">
        <v>65</v>
      </c>
      <c r="AN281" s="14">
        <v>26283</v>
      </c>
      <c r="AO281" s="14">
        <v>-1572183.83</v>
      </c>
      <c r="AP281" s="14"/>
      <c r="AQ281" s="14">
        <v>-24187.98</v>
      </c>
      <c r="AR281" s="44">
        <v>1.5</v>
      </c>
      <c r="AU281" s="46"/>
      <c r="AV281" s="46"/>
    </row>
    <row r="282" spans="1:48" x14ac:dyDescent="0.25">
      <c r="A282" s="12">
        <v>5888</v>
      </c>
      <c r="B282" s="13" t="s">
        <v>578</v>
      </c>
      <c r="C282" s="14">
        <v>15244940.9</v>
      </c>
      <c r="D282" s="14">
        <v>2792625.57</v>
      </c>
      <c r="E282" s="14"/>
      <c r="F282" s="14"/>
      <c r="G282" s="14">
        <v>653135.5</v>
      </c>
      <c r="H282" s="14">
        <v>31749.65</v>
      </c>
      <c r="I282" s="14">
        <v>389017.5</v>
      </c>
      <c r="J282" s="14">
        <v>359004.09</v>
      </c>
      <c r="K282" s="14">
        <v>36325.5</v>
      </c>
      <c r="L282" s="14">
        <v>1332324.5</v>
      </c>
      <c r="M282" s="3">
        <f t="shared" si="12"/>
        <v>20839123.209999997</v>
      </c>
      <c r="N282" s="14">
        <v>140293.25</v>
      </c>
      <c r="O282" s="14">
        <v>188428.5</v>
      </c>
      <c r="P282" s="14">
        <v>616858.65</v>
      </c>
      <c r="Q282" s="14">
        <v>180523.26</v>
      </c>
      <c r="R282" s="14">
        <v>465120.65</v>
      </c>
      <c r="S282" s="14">
        <v>143.75</v>
      </c>
      <c r="T282" s="14"/>
      <c r="U282" s="14">
        <v>34650</v>
      </c>
      <c r="V282" s="14"/>
      <c r="W282" s="14"/>
      <c r="X282" s="2">
        <f t="shared" si="13"/>
        <v>22465141.269999996</v>
      </c>
      <c r="Y282" s="14">
        <v>81125.600000000006</v>
      </c>
      <c r="Z282" s="14"/>
      <c r="AA282" s="14">
        <v>699846.86</v>
      </c>
      <c r="AB282" s="14">
        <v>965603.9</v>
      </c>
      <c r="AC282" s="14">
        <v>375372.84</v>
      </c>
      <c r="AD282" s="14">
        <v>86243.31</v>
      </c>
      <c r="AE282" s="14"/>
      <c r="AF282" s="14"/>
      <c r="AG282" s="14">
        <v>22859</v>
      </c>
      <c r="AH282" s="14"/>
      <c r="AI282" s="14"/>
      <c r="AJ282" s="14"/>
      <c r="AK282" s="14"/>
      <c r="AL282" s="48">
        <f t="shared" si="14"/>
        <v>2231051.5099999998</v>
      </c>
      <c r="AM282" s="22">
        <v>66</v>
      </c>
      <c r="AN282" s="14">
        <v>5071</v>
      </c>
      <c r="AO282" s="14">
        <v>-330586.90999999997</v>
      </c>
      <c r="AP282" s="14"/>
      <c r="AQ282" s="14">
        <v>-8035.57</v>
      </c>
      <c r="AR282" s="44">
        <v>1</v>
      </c>
      <c r="AU282" s="46"/>
      <c r="AV282" s="46"/>
    </row>
    <row r="283" spans="1:48" x14ac:dyDescent="0.25">
      <c r="A283" s="12">
        <v>5889</v>
      </c>
      <c r="B283" s="13" t="s">
        <v>56</v>
      </c>
      <c r="C283" s="14">
        <v>20993929.710000001</v>
      </c>
      <c r="D283" s="14">
        <v>4430900.1399999997</v>
      </c>
      <c r="E283" s="14"/>
      <c r="F283" s="14"/>
      <c r="G283" s="14">
        <v>3157417.55</v>
      </c>
      <c r="H283" s="14">
        <v>5400112.8499999996</v>
      </c>
      <c r="I283" s="14">
        <v>797235.17</v>
      </c>
      <c r="J283" s="14">
        <v>1160691.54</v>
      </c>
      <c r="K283" s="14">
        <v>146088</v>
      </c>
      <c r="L283" s="14">
        <v>2376504.85</v>
      </c>
      <c r="M283" s="3">
        <f t="shared" si="12"/>
        <v>38462879.810000002</v>
      </c>
      <c r="N283" s="14">
        <v>93323.5</v>
      </c>
      <c r="O283" s="14">
        <v>816285</v>
      </c>
      <c r="P283" s="14">
        <v>794729.85</v>
      </c>
      <c r="Q283" s="14">
        <v>182421.31</v>
      </c>
      <c r="R283" s="14">
        <v>492402.2</v>
      </c>
      <c r="S283" s="14">
        <v>1293.75</v>
      </c>
      <c r="T283" s="14"/>
      <c r="U283" s="14">
        <v>39350</v>
      </c>
      <c r="V283" s="14"/>
      <c r="W283" s="14">
        <v>220224.67</v>
      </c>
      <c r="X283" s="2">
        <f t="shared" si="13"/>
        <v>41102910.090000011</v>
      </c>
      <c r="Y283" s="14">
        <v>2666.25</v>
      </c>
      <c r="Z283" s="14"/>
      <c r="AA283" s="14">
        <v>443443.85</v>
      </c>
      <c r="AB283" s="14">
        <v>1719215.85</v>
      </c>
      <c r="AC283" s="14"/>
      <c r="AD283" s="14"/>
      <c r="AE283" s="14"/>
      <c r="AF283" s="14"/>
      <c r="AG283" s="14"/>
      <c r="AH283" s="14"/>
      <c r="AI283" s="14"/>
      <c r="AJ283" s="14"/>
      <c r="AK283" s="14"/>
      <c r="AL283" s="48">
        <f t="shared" si="14"/>
        <v>2165325.9500000002</v>
      </c>
      <c r="AM283" s="22">
        <v>64</v>
      </c>
      <c r="AN283" s="14">
        <v>11421</v>
      </c>
      <c r="AO283" s="14">
        <v>-467604.81</v>
      </c>
      <c r="AP283" s="14"/>
      <c r="AQ283" s="14">
        <v>-12558.82</v>
      </c>
      <c r="AR283" s="44">
        <v>1.2</v>
      </c>
      <c r="AU283" s="46"/>
      <c r="AV283" s="46"/>
    </row>
    <row r="284" spans="1:48" x14ac:dyDescent="0.25">
      <c r="A284" s="12">
        <v>5890</v>
      </c>
      <c r="B284" s="13" t="s">
        <v>57</v>
      </c>
      <c r="C284" s="14">
        <v>35167149.359999999</v>
      </c>
      <c r="D284" s="14">
        <v>4057124.99</v>
      </c>
      <c r="E284" s="14"/>
      <c r="F284" s="14"/>
      <c r="G284" s="14">
        <v>8902765.0999999996</v>
      </c>
      <c r="H284" s="14">
        <v>10714168.75</v>
      </c>
      <c r="I284" s="14">
        <v>536442.19999999995</v>
      </c>
      <c r="J284" s="14">
        <v>4762131.2</v>
      </c>
      <c r="K284" s="14">
        <v>513240</v>
      </c>
      <c r="L284" s="14">
        <v>3776968.35</v>
      </c>
      <c r="M284" s="3">
        <f t="shared" si="12"/>
        <v>68429989.950000003</v>
      </c>
      <c r="N284" s="14">
        <v>1004989.85</v>
      </c>
      <c r="O284" s="14">
        <v>1398346.6</v>
      </c>
      <c r="P284" s="14">
        <v>1869909.6</v>
      </c>
      <c r="Q284" s="14">
        <v>508956.31</v>
      </c>
      <c r="R284" s="14">
        <v>816410.1</v>
      </c>
      <c r="S284" s="14">
        <v>4043.75</v>
      </c>
      <c r="T284" s="14"/>
      <c r="U284" s="14">
        <v>52875</v>
      </c>
      <c r="V284" s="14"/>
      <c r="W284" s="14"/>
      <c r="X284" s="2">
        <f t="shared" si="13"/>
        <v>74085521.159999982</v>
      </c>
      <c r="Y284" s="14"/>
      <c r="Z284" s="14"/>
      <c r="AA284" s="14">
        <v>907718.7</v>
      </c>
      <c r="AB284" s="14"/>
      <c r="AC284" s="14">
        <v>1243264.6200000001</v>
      </c>
      <c r="AD284" s="14"/>
      <c r="AE284" s="14"/>
      <c r="AF284" s="14"/>
      <c r="AG284" s="14"/>
      <c r="AH284" s="14">
        <v>663245.1</v>
      </c>
      <c r="AI284" s="14"/>
      <c r="AJ284" s="14">
        <v>190355.75</v>
      </c>
      <c r="AK284" s="14"/>
      <c r="AL284" s="48">
        <f t="shared" si="14"/>
        <v>3004584.1700000004</v>
      </c>
      <c r="AM284" s="22">
        <v>73</v>
      </c>
      <c r="AN284" s="14">
        <v>19217</v>
      </c>
      <c r="AO284" s="14">
        <v>-972164.95</v>
      </c>
      <c r="AP284" s="14"/>
      <c r="AQ284" s="14">
        <v>-19920.97</v>
      </c>
      <c r="AR284" s="44">
        <v>1.2</v>
      </c>
      <c r="AU284" s="46"/>
      <c r="AV284" s="46"/>
    </row>
    <row r="285" spans="1:48" x14ac:dyDescent="0.25">
      <c r="A285" s="12">
        <v>5891</v>
      </c>
      <c r="B285" s="13" t="s">
        <v>58</v>
      </c>
      <c r="C285" s="14">
        <v>1785770.75</v>
      </c>
      <c r="D285" s="14">
        <v>430514.31</v>
      </c>
      <c r="E285" s="14"/>
      <c r="F285" s="14"/>
      <c r="G285" s="14">
        <v>105101.65</v>
      </c>
      <c r="H285" s="14">
        <v>20792.45</v>
      </c>
      <c r="I285" s="14">
        <v>40102.449999999997</v>
      </c>
      <c r="J285" s="14">
        <v>38962.089999999997</v>
      </c>
      <c r="K285" s="14">
        <v>12181</v>
      </c>
      <c r="L285" s="14">
        <v>269782.40000000002</v>
      </c>
      <c r="M285" s="3">
        <f t="shared" si="12"/>
        <v>2703207.1</v>
      </c>
      <c r="N285" s="14"/>
      <c r="O285" s="14"/>
      <c r="P285" s="14">
        <v>137655.70000000001</v>
      </c>
      <c r="Q285" s="14">
        <v>13169.34</v>
      </c>
      <c r="R285" s="14">
        <v>87678.2</v>
      </c>
      <c r="S285" s="14">
        <v>125</v>
      </c>
      <c r="T285" s="14"/>
      <c r="U285" s="14">
        <v>3750</v>
      </c>
      <c r="V285" s="14">
        <v>243738.85</v>
      </c>
      <c r="W285" s="14"/>
      <c r="X285" s="2">
        <f t="shared" si="13"/>
        <v>3189324.1900000004</v>
      </c>
      <c r="Y285" s="14">
        <v>33839.599999999999</v>
      </c>
      <c r="Z285" s="14"/>
      <c r="AA285" s="14">
        <v>121519.4</v>
      </c>
      <c r="AB285" s="14"/>
      <c r="AC285" s="14">
        <v>89579.9</v>
      </c>
      <c r="AD285" s="14"/>
      <c r="AE285" s="14"/>
      <c r="AF285" s="14"/>
      <c r="AG285" s="14"/>
      <c r="AH285" s="14">
        <v>63454.1</v>
      </c>
      <c r="AI285" s="14"/>
      <c r="AJ285" s="14"/>
      <c r="AK285" s="14">
        <v>18129.75</v>
      </c>
      <c r="AL285" s="48">
        <f t="shared" si="14"/>
        <v>326522.75</v>
      </c>
      <c r="AM285" s="22">
        <v>69</v>
      </c>
      <c r="AN285" s="14">
        <v>854</v>
      </c>
      <c r="AO285" s="14">
        <v>-98596.09</v>
      </c>
      <c r="AP285" s="14"/>
      <c r="AQ285" s="14">
        <v>-1914.92</v>
      </c>
      <c r="AR285" s="44">
        <v>1.2</v>
      </c>
      <c r="AU285" s="46"/>
      <c r="AV285" s="46"/>
    </row>
    <row r="286" spans="1:48" x14ac:dyDescent="0.25">
      <c r="A286" s="12">
        <v>5902</v>
      </c>
      <c r="B286" s="13" t="s">
        <v>59</v>
      </c>
      <c r="C286" s="14">
        <v>544182.1</v>
      </c>
      <c r="D286" s="14">
        <v>43314.8</v>
      </c>
      <c r="E286" s="14"/>
      <c r="F286" s="14"/>
      <c r="G286" s="14">
        <v>3498.4</v>
      </c>
      <c r="H286" s="14">
        <v>421.1</v>
      </c>
      <c r="I286" s="14"/>
      <c r="J286" s="14">
        <v>16820.37</v>
      </c>
      <c r="K286" s="14"/>
      <c r="L286" s="14">
        <v>48666.8</v>
      </c>
      <c r="M286" s="3">
        <f t="shared" si="12"/>
        <v>656903.57000000007</v>
      </c>
      <c r="N286" s="14">
        <v>7346.95</v>
      </c>
      <c r="O286" s="14">
        <v>7253</v>
      </c>
      <c r="P286" s="14">
        <v>44466.9</v>
      </c>
      <c r="Q286" s="14"/>
      <c r="R286" s="14">
        <v>57201.55</v>
      </c>
      <c r="S286" s="14"/>
      <c r="T286" s="14">
        <v>550</v>
      </c>
      <c r="U286" s="14">
        <v>4300</v>
      </c>
      <c r="V286" s="14">
        <v>90</v>
      </c>
      <c r="W286" s="14"/>
      <c r="X286" s="2">
        <f t="shared" si="13"/>
        <v>778111.97000000009</v>
      </c>
      <c r="Y286" s="14">
        <v>3350</v>
      </c>
      <c r="Z286" s="14"/>
      <c r="AA286" s="14">
        <v>48161.4</v>
      </c>
      <c r="AB286" s="14"/>
      <c r="AC286" s="14">
        <v>24306.2</v>
      </c>
      <c r="AD286" s="14">
        <v>5205</v>
      </c>
      <c r="AE286" s="14"/>
      <c r="AF286" s="14"/>
      <c r="AG286" s="14"/>
      <c r="AH286" s="14"/>
      <c r="AI286" s="14"/>
      <c r="AJ286" s="14"/>
      <c r="AK286" s="14"/>
      <c r="AL286" s="48">
        <f t="shared" si="14"/>
        <v>81022.600000000006</v>
      </c>
      <c r="AM286" s="22">
        <v>76</v>
      </c>
      <c r="AN286" s="14">
        <v>369</v>
      </c>
      <c r="AO286" s="14">
        <v>-94.49</v>
      </c>
      <c r="AP286" s="14"/>
      <c r="AQ286" s="14"/>
      <c r="AR286" s="44">
        <v>1</v>
      </c>
      <c r="AU286" s="46"/>
      <c r="AV286" s="46"/>
    </row>
    <row r="287" spans="1:48" x14ac:dyDescent="0.25">
      <c r="A287" s="12">
        <v>5903</v>
      </c>
      <c r="B287" s="13" t="s">
        <v>60</v>
      </c>
      <c r="C287" s="14">
        <v>368157.84</v>
      </c>
      <c r="D287" s="14">
        <v>38082.65</v>
      </c>
      <c r="E287" s="14"/>
      <c r="F287" s="14"/>
      <c r="G287" s="14">
        <v>8258.6</v>
      </c>
      <c r="H287" s="14">
        <v>76.25</v>
      </c>
      <c r="I287" s="14"/>
      <c r="J287" s="14">
        <v>5979.54</v>
      </c>
      <c r="K287" s="14"/>
      <c r="L287" s="14">
        <v>20890.45</v>
      </c>
      <c r="M287" s="3">
        <f t="shared" si="12"/>
        <v>441445.33</v>
      </c>
      <c r="N287" s="14">
        <v>2883.45</v>
      </c>
      <c r="O287" s="14">
        <v>34609.599999999999</v>
      </c>
      <c r="P287" s="14">
        <v>18039.95</v>
      </c>
      <c r="Q287" s="14"/>
      <c r="R287" s="14">
        <v>36597.4</v>
      </c>
      <c r="S287" s="14">
        <v>31.25</v>
      </c>
      <c r="T287" s="14"/>
      <c r="U287" s="14">
        <v>1160</v>
      </c>
      <c r="V287" s="14"/>
      <c r="W287" s="14"/>
      <c r="X287" s="2">
        <f t="shared" si="13"/>
        <v>534766.98</v>
      </c>
      <c r="Y287" s="14"/>
      <c r="Z287" s="14"/>
      <c r="AA287" s="14">
        <v>13932</v>
      </c>
      <c r="AB287" s="14"/>
      <c r="AC287" s="14">
        <v>7440.65</v>
      </c>
      <c r="AD287" s="14"/>
      <c r="AE287" s="14"/>
      <c r="AF287" s="14"/>
      <c r="AG287" s="14"/>
      <c r="AH287" s="14"/>
      <c r="AI287" s="14"/>
      <c r="AJ287" s="14"/>
      <c r="AK287" s="14"/>
      <c r="AL287" s="48">
        <f t="shared" si="14"/>
        <v>21372.65</v>
      </c>
      <c r="AM287" s="22">
        <v>74</v>
      </c>
      <c r="AN287" s="14">
        <v>201</v>
      </c>
      <c r="AO287" s="14">
        <v>-2955.37</v>
      </c>
      <c r="AP287" s="14"/>
      <c r="AQ287" s="14"/>
      <c r="AR287" s="44">
        <v>0.7</v>
      </c>
      <c r="AU287" s="46"/>
      <c r="AV287" s="46"/>
    </row>
    <row r="288" spans="1:48" x14ac:dyDescent="0.25">
      <c r="A288" s="12">
        <v>5904</v>
      </c>
      <c r="B288" s="13" t="s">
        <v>61</v>
      </c>
      <c r="C288" s="14">
        <v>1117503.02</v>
      </c>
      <c r="D288" s="14">
        <v>103821.67</v>
      </c>
      <c r="E288" s="14"/>
      <c r="F288" s="14"/>
      <c r="G288" s="14">
        <v>6555</v>
      </c>
      <c r="H288" s="14">
        <v>519.4</v>
      </c>
      <c r="I288" s="14"/>
      <c r="J288" s="14">
        <v>29155.51</v>
      </c>
      <c r="K288" s="14">
        <v>2632</v>
      </c>
      <c r="L288" s="14">
        <v>90432.6</v>
      </c>
      <c r="M288" s="3">
        <f t="shared" si="12"/>
        <v>1350619.2</v>
      </c>
      <c r="N288" s="14">
        <v>31596.75</v>
      </c>
      <c r="O288" s="14">
        <v>48888.800000000003</v>
      </c>
      <c r="P288" s="14">
        <v>46992.5</v>
      </c>
      <c r="Q288" s="14"/>
      <c r="R288" s="14">
        <v>36470.699999999997</v>
      </c>
      <c r="S288" s="14">
        <v>31.25</v>
      </c>
      <c r="T288" s="14">
        <v>100</v>
      </c>
      <c r="U288" s="14">
        <v>4200</v>
      </c>
      <c r="V288" s="14"/>
      <c r="W288" s="14"/>
      <c r="X288" s="2">
        <f t="shared" si="13"/>
        <v>1518899.2</v>
      </c>
      <c r="Y288" s="14"/>
      <c r="Z288" s="14"/>
      <c r="AA288" s="14">
        <v>92979.8</v>
      </c>
      <c r="AB288" s="14"/>
      <c r="AC288" s="14">
        <v>36368.199999999997</v>
      </c>
      <c r="AD288" s="14"/>
      <c r="AE288" s="14"/>
      <c r="AF288" s="14"/>
      <c r="AG288" s="14"/>
      <c r="AH288" s="14">
        <v>21247.05</v>
      </c>
      <c r="AI288" s="14"/>
      <c r="AJ288" s="14"/>
      <c r="AK288" s="14"/>
      <c r="AL288" s="48">
        <f t="shared" si="14"/>
        <v>150595.04999999999</v>
      </c>
      <c r="AM288" s="22">
        <v>66</v>
      </c>
      <c r="AN288" s="14">
        <v>568</v>
      </c>
      <c r="AO288" s="14">
        <v>-19370.52</v>
      </c>
      <c r="AP288" s="14"/>
      <c r="AQ288" s="14"/>
      <c r="AR288" s="44">
        <v>1</v>
      </c>
      <c r="AU288" s="46"/>
      <c r="AV288" s="46"/>
    </row>
    <row r="289" spans="1:48" x14ac:dyDescent="0.25">
      <c r="A289" s="12">
        <v>5905</v>
      </c>
      <c r="B289" s="13" t="s">
        <v>62</v>
      </c>
      <c r="C289" s="14">
        <v>939989.2</v>
      </c>
      <c r="D289" s="14">
        <v>94556.24</v>
      </c>
      <c r="E289" s="14"/>
      <c r="F289" s="14"/>
      <c r="G289" s="14">
        <v>168670.95</v>
      </c>
      <c r="H289" s="14">
        <v>3222.45</v>
      </c>
      <c r="I289" s="14"/>
      <c r="J289" s="14">
        <v>10030.450000000001</v>
      </c>
      <c r="K289" s="14">
        <v>3072.3</v>
      </c>
      <c r="L289" s="14">
        <v>82807</v>
      </c>
      <c r="M289" s="3">
        <f t="shared" si="12"/>
        <v>1302348.5899999999</v>
      </c>
      <c r="N289" s="14">
        <v>94811.1</v>
      </c>
      <c r="O289" s="14">
        <v>6520.5</v>
      </c>
      <c r="P289" s="14">
        <v>24304.1</v>
      </c>
      <c r="Q289" s="14"/>
      <c r="R289" s="14">
        <v>8176.4</v>
      </c>
      <c r="S289" s="14"/>
      <c r="T289" s="14"/>
      <c r="U289" s="14"/>
      <c r="V289" s="14"/>
      <c r="W289" s="14"/>
      <c r="X289" s="2">
        <f t="shared" si="13"/>
        <v>1436160.69</v>
      </c>
      <c r="Y289" s="14">
        <v>17068</v>
      </c>
      <c r="Z289" s="14"/>
      <c r="AA289" s="14">
        <v>84568</v>
      </c>
      <c r="AB289" s="14"/>
      <c r="AC289" s="14">
        <v>16592</v>
      </c>
      <c r="AD289" s="14"/>
      <c r="AE289" s="14">
        <v>43012</v>
      </c>
      <c r="AF289" s="14"/>
      <c r="AG289" s="14"/>
      <c r="AH289" s="14"/>
      <c r="AI289" s="14"/>
      <c r="AJ289" s="14"/>
      <c r="AK289" s="14"/>
      <c r="AL289" s="48">
        <f t="shared" si="14"/>
        <v>161240</v>
      </c>
      <c r="AM289" s="22">
        <v>71</v>
      </c>
      <c r="AN289" s="14">
        <v>617</v>
      </c>
      <c r="AO289" s="14">
        <v>-8669.3700000000008</v>
      </c>
      <c r="AP289" s="14"/>
      <c r="AQ289" s="14">
        <v>-4.8600000000000003</v>
      </c>
      <c r="AR289" s="44">
        <v>1</v>
      </c>
      <c r="AU289" s="46"/>
      <c r="AV289" s="46"/>
    </row>
    <row r="290" spans="1:48" x14ac:dyDescent="0.25">
      <c r="A290" s="12">
        <v>5907</v>
      </c>
      <c r="B290" s="13" t="s">
        <v>63</v>
      </c>
      <c r="C290" s="14">
        <v>440277.53</v>
      </c>
      <c r="D290" s="14">
        <v>72583.72</v>
      </c>
      <c r="E290" s="14"/>
      <c r="F290" s="14">
        <v>1620</v>
      </c>
      <c r="G290" s="14">
        <v>2102.6999999999998</v>
      </c>
      <c r="H290" s="14">
        <v>21.2</v>
      </c>
      <c r="I290" s="14"/>
      <c r="J290" s="14">
        <v>1201.98</v>
      </c>
      <c r="K290" s="14">
        <v>134</v>
      </c>
      <c r="L290" s="14">
        <v>35690.6</v>
      </c>
      <c r="M290" s="3">
        <f t="shared" si="12"/>
        <v>553631.73</v>
      </c>
      <c r="N290" s="14">
        <v>4950.3500000000004</v>
      </c>
      <c r="O290" s="14">
        <v>6897</v>
      </c>
      <c r="P290" s="14">
        <v>14003.2</v>
      </c>
      <c r="Q290" s="14"/>
      <c r="R290" s="14">
        <v>16580.650000000001</v>
      </c>
      <c r="S290" s="14"/>
      <c r="T290" s="14">
        <v>1460</v>
      </c>
      <c r="U290" s="14">
        <v>1680</v>
      </c>
      <c r="V290" s="14"/>
      <c r="W290" s="14"/>
      <c r="X290" s="2">
        <f t="shared" si="13"/>
        <v>599202.92999999993</v>
      </c>
      <c r="Y290" s="14">
        <v>5500</v>
      </c>
      <c r="Z290" s="14"/>
      <c r="AA290" s="14">
        <v>6441.7</v>
      </c>
      <c r="AB290" s="14"/>
      <c r="AC290" s="14">
        <v>11702.5</v>
      </c>
      <c r="AD290" s="14">
        <v>6541.7</v>
      </c>
      <c r="AE290" s="14"/>
      <c r="AF290" s="14"/>
      <c r="AG290" s="14"/>
      <c r="AH290" s="14"/>
      <c r="AI290" s="14"/>
      <c r="AJ290" s="14"/>
      <c r="AK290" s="14"/>
      <c r="AL290" s="48">
        <f t="shared" si="14"/>
        <v>30185.9</v>
      </c>
      <c r="AM290" s="22">
        <v>78</v>
      </c>
      <c r="AN290" s="14">
        <v>278</v>
      </c>
      <c r="AO290" s="14">
        <v>-10467.200000000001</v>
      </c>
      <c r="AP290" s="14"/>
      <c r="AQ290" s="14">
        <v>-928.2</v>
      </c>
      <c r="AR290" s="44">
        <v>1</v>
      </c>
      <c r="AU290" s="46"/>
      <c r="AV290" s="46"/>
    </row>
    <row r="291" spans="1:48" x14ac:dyDescent="0.25">
      <c r="A291" s="12">
        <v>5908</v>
      </c>
      <c r="B291" s="13" t="s">
        <v>64</v>
      </c>
      <c r="C291" s="14">
        <v>187578.55</v>
      </c>
      <c r="D291" s="14">
        <v>40638.78</v>
      </c>
      <c r="E291" s="14"/>
      <c r="F291" s="14"/>
      <c r="G291" s="14">
        <v>7577.15</v>
      </c>
      <c r="H291" s="14">
        <v>-7.2</v>
      </c>
      <c r="I291" s="14"/>
      <c r="J291" s="14">
        <v>1817.14</v>
      </c>
      <c r="K291" s="14">
        <v>49.5</v>
      </c>
      <c r="L291" s="14">
        <v>15550</v>
      </c>
      <c r="M291" s="3">
        <f t="shared" si="12"/>
        <v>253203.91999999998</v>
      </c>
      <c r="N291" s="14"/>
      <c r="O291" s="14"/>
      <c r="P291" s="14">
        <v>13904</v>
      </c>
      <c r="Q291" s="14"/>
      <c r="R291" s="14"/>
      <c r="S291" s="14"/>
      <c r="T291" s="14"/>
      <c r="U291" s="14">
        <v>1452</v>
      </c>
      <c r="V291" s="14"/>
      <c r="W291" s="14"/>
      <c r="X291" s="2">
        <f t="shared" si="13"/>
        <v>268559.92</v>
      </c>
      <c r="Y291" s="14"/>
      <c r="Z291" s="14"/>
      <c r="AA291" s="14">
        <v>22700</v>
      </c>
      <c r="AB291" s="14"/>
      <c r="AC291" s="14">
        <v>4945</v>
      </c>
      <c r="AD291" s="14"/>
      <c r="AE291" s="14"/>
      <c r="AF291" s="14"/>
      <c r="AG291" s="14"/>
      <c r="AH291" s="14"/>
      <c r="AI291" s="14"/>
      <c r="AJ291" s="14"/>
      <c r="AK291" s="14"/>
      <c r="AL291" s="48">
        <f t="shared" si="14"/>
        <v>27645</v>
      </c>
      <c r="AM291" s="22">
        <v>79</v>
      </c>
      <c r="AN291" s="14">
        <v>125</v>
      </c>
      <c r="AO291" s="14">
        <v>-24182.78</v>
      </c>
      <c r="AP291" s="14"/>
      <c r="AQ291" s="14"/>
      <c r="AR291" s="44">
        <v>1</v>
      </c>
      <c r="AU291" s="46"/>
      <c r="AV291" s="46"/>
    </row>
    <row r="292" spans="1:48" x14ac:dyDescent="0.25">
      <c r="A292" s="12">
        <v>5909</v>
      </c>
      <c r="B292" s="13" t="s">
        <v>65</v>
      </c>
      <c r="C292" s="14">
        <v>1143532.8600000001</v>
      </c>
      <c r="D292" s="14">
        <v>265754.03999999998</v>
      </c>
      <c r="E292" s="14"/>
      <c r="F292" s="14"/>
      <c r="G292" s="14">
        <v>43196.7</v>
      </c>
      <c r="H292" s="14">
        <v>4372.8</v>
      </c>
      <c r="I292" s="14"/>
      <c r="J292" s="14">
        <v>1383.48</v>
      </c>
      <c r="K292" s="14">
        <v>822.5</v>
      </c>
      <c r="L292" s="14">
        <v>140675.20000000001</v>
      </c>
      <c r="M292" s="3">
        <f t="shared" si="12"/>
        <v>1599737.58</v>
      </c>
      <c r="N292" s="14">
        <v>8154.8</v>
      </c>
      <c r="O292" s="14"/>
      <c r="P292" s="14">
        <v>46098.15</v>
      </c>
      <c r="Q292" s="14"/>
      <c r="R292" s="14">
        <v>58144.35</v>
      </c>
      <c r="S292" s="14"/>
      <c r="T292" s="14"/>
      <c r="U292" s="14">
        <v>860</v>
      </c>
      <c r="V292" s="14"/>
      <c r="W292" s="14">
        <v>2000</v>
      </c>
      <c r="X292" s="2">
        <f t="shared" si="13"/>
        <v>1714994.8800000001</v>
      </c>
      <c r="Y292" s="14">
        <v>18125</v>
      </c>
      <c r="Z292" s="14"/>
      <c r="AA292" s="14">
        <v>60314.23</v>
      </c>
      <c r="AB292" s="14"/>
      <c r="AC292" s="14">
        <v>42237.599999999999</v>
      </c>
      <c r="AD292" s="14">
        <v>18026.2</v>
      </c>
      <c r="AE292" s="14"/>
      <c r="AF292" s="14"/>
      <c r="AG292" s="14">
        <v>72165.55</v>
      </c>
      <c r="AH292" s="14"/>
      <c r="AI292" s="14"/>
      <c r="AJ292" s="14"/>
      <c r="AK292" s="14"/>
      <c r="AL292" s="48">
        <f t="shared" si="14"/>
        <v>210868.58000000002</v>
      </c>
      <c r="AM292" s="22">
        <v>70</v>
      </c>
      <c r="AN292" s="14">
        <v>664</v>
      </c>
      <c r="AO292" s="14">
        <v>-5598.22</v>
      </c>
      <c r="AP292" s="14">
        <v>-7666.65</v>
      </c>
      <c r="AQ292" s="14">
        <v>-143.44</v>
      </c>
      <c r="AR292" s="44">
        <v>1</v>
      </c>
      <c r="AU292" s="46"/>
      <c r="AV292" s="46"/>
    </row>
    <row r="293" spans="1:48" x14ac:dyDescent="0.25">
      <c r="A293" s="12">
        <v>5910</v>
      </c>
      <c r="B293" s="13" t="s">
        <v>66</v>
      </c>
      <c r="C293" s="14">
        <v>716918.64</v>
      </c>
      <c r="D293" s="14">
        <v>62510.95</v>
      </c>
      <c r="E293" s="14"/>
      <c r="F293" s="14">
        <v>2080</v>
      </c>
      <c r="G293" s="14">
        <v>11976.55</v>
      </c>
      <c r="H293" s="14">
        <v>81.55</v>
      </c>
      <c r="I293" s="14"/>
      <c r="J293" s="14">
        <v>2962.48</v>
      </c>
      <c r="K293" s="14"/>
      <c r="L293" s="14">
        <v>46950</v>
      </c>
      <c r="M293" s="3">
        <f t="shared" si="12"/>
        <v>843480.17</v>
      </c>
      <c r="N293" s="14"/>
      <c r="O293" s="14"/>
      <c r="P293" s="14">
        <v>46770.5</v>
      </c>
      <c r="Q293" s="14">
        <v>1373.15</v>
      </c>
      <c r="R293" s="14">
        <v>56372.2</v>
      </c>
      <c r="S293" s="14"/>
      <c r="T293" s="14">
        <v>610</v>
      </c>
      <c r="U293" s="14">
        <v>3473</v>
      </c>
      <c r="V293" s="14"/>
      <c r="W293" s="14"/>
      <c r="X293" s="2">
        <f t="shared" si="13"/>
        <v>952079.02</v>
      </c>
      <c r="Y293" s="14">
        <v>16007</v>
      </c>
      <c r="Z293" s="14"/>
      <c r="AA293" s="14">
        <v>23650</v>
      </c>
      <c r="AB293" s="14"/>
      <c r="AC293" s="14">
        <v>20587</v>
      </c>
      <c r="AD293" s="14"/>
      <c r="AE293" s="14"/>
      <c r="AF293" s="14"/>
      <c r="AG293" s="14"/>
      <c r="AH293" s="14"/>
      <c r="AI293" s="14"/>
      <c r="AJ293" s="14"/>
      <c r="AK293" s="14"/>
      <c r="AL293" s="48">
        <f t="shared" si="14"/>
        <v>60244</v>
      </c>
      <c r="AM293" s="22">
        <v>81</v>
      </c>
      <c r="AN293" s="14">
        <v>364</v>
      </c>
      <c r="AO293" s="14">
        <v>-1662.47</v>
      </c>
      <c r="AP293" s="14"/>
      <c r="AQ293" s="14">
        <v>-0.84</v>
      </c>
      <c r="AR293" s="44">
        <v>1</v>
      </c>
      <c r="AU293" s="46"/>
      <c r="AV293" s="46"/>
    </row>
    <row r="294" spans="1:48" x14ac:dyDescent="0.25">
      <c r="A294" s="12">
        <v>5911</v>
      </c>
      <c r="B294" s="13" t="s">
        <v>67</v>
      </c>
      <c r="C294" s="14">
        <v>485271.95</v>
      </c>
      <c r="D294" s="14">
        <v>27359.19</v>
      </c>
      <c r="E294" s="14"/>
      <c r="F294" s="14">
        <v>1250</v>
      </c>
      <c r="G294" s="14">
        <v>13373.25</v>
      </c>
      <c r="H294" s="14">
        <v>78.650000000000006</v>
      </c>
      <c r="I294" s="14"/>
      <c r="J294" s="14">
        <v>1532.42</v>
      </c>
      <c r="K294" s="14">
        <v>348</v>
      </c>
      <c r="L294" s="14">
        <v>23760.35</v>
      </c>
      <c r="M294" s="3">
        <f t="shared" si="12"/>
        <v>552973.81000000006</v>
      </c>
      <c r="N294" s="14"/>
      <c r="O294" s="14">
        <v>691.5</v>
      </c>
      <c r="P294" s="14"/>
      <c r="Q294" s="14"/>
      <c r="R294" s="14"/>
      <c r="S294" s="14"/>
      <c r="T294" s="14"/>
      <c r="U294" s="14">
        <v>800</v>
      </c>
      <c r="V294" s="14"/>
      <c r="W294" s="14"/>
      <c r="X294" s="2">
        <f t="shared" si="13"/>
        <v>554465.31000000006</v>
      </c>
      <c r="Y294" s="14"/>
      <c r="Z294" s="14"/>
      <c r="AA294" s="14">
        <v>31846.400000000001</v>
      </c>
      <c r="AB294" s="14"/>
      <c r="AC294" s="14">
        <v>13567</v>
      </c>
      <c r="AD294" s="14"/>
      <c r="AE294" s="14"/>
      <c r="AF294" s="14"/>
      <c r="AG294" s="14"/>
      <c r="AH294" s="14"/>
      <c r="AI294" s="14"/>
      <c r="AJ294" s="14"/>
      <c r="AK294" s="14"/>
      <c r="AL294" s="48">
        <f t="shared" si="14"/>
        <v>45413.4</v>
      </c>
      <c r="AM294" s="22">
        <v>81</v>
      </c>
      <c r="AN294" s="14">
        <v>216</v>
      </c>
      <c r="AO294" s="14">
        <v>-2867.13</v>
      </c>
      <c r="AP294" s="14"/>
      <c r="AQ294" s="14">
        <v>-632.80999999999995</v>
      </c>
      <c r="AR294" s="44">
        <v>1</v>
      </c>
      <c r="AU294" s="46"/>
      <c r="AV294" s="46"/>
    </row>
    <row r="295" spans="1:48" x14ac:dyDescent="0.25">
      <c r="A295" s="12">
        <v>5912</v>
      </c>
      <c r="B295" s="13" t="s">
        <v>68</v>
      </c>
      <c r="C295" s="14">
        <v>208480.69</v>
      </c>
      <c r="D295" s="14">
        <v>27792.11</v>
      </c>
      <c r="E295" s="14"/>
      <c r="F295" s="14">
        <v>800</v>
      </c>
      <c r="G295" s="14">
        <v>2618.6</v>
      </c>
      <c r="H295" s="14">
        <v>-1.4</v>
      </c>
      <c r="I295" s="14"/>
      <c r="J295" s="14">
        <v>530.30999999999995</v>
      </c>
      <c r="K295" s="14"/>
      <c r="L295" s="14">
        <v>14718.7</v>
      </c>
      <c r="M295" s="3">
        <f t="shared" si="12"/>
        <v>254939.01</v>
      </c>
      <c r="N295" s="14"/>
      <c r="O295" s="14">
        <v>100384.8</v>
      </c>
      <c r="P295" s="14"/>
      <c r="Q295" s="14"/>
      <c r="R295" s="14"/>
      <c r="S295" s="14"/>
      <c r="T295" s="14"/>
      <c r="U295" s="14">
        <v>1200</v>
      </c>
      <c r="V295" s="14"/>
      <c r="W295" s="14"/>
      <c r="X295" s="2">
        <f t="shared" si="13"/>
        <v>356523.81</v>
      </c>
      <c r="Y295" s="14">
        <v>5000</v>
      </c>
      <c r="Z295" s="14"/>
      <c r="AA295" s="14">
        <v>14928</v>
      </c>
      <c r="AB295" s="14"/>
      <c r="AC295" s="14">
        <v>7050</v>
      </c>
      <c r="AD295" s="14">
        <v>4200</v>
      </c>
      <c r="AE295" s="14"/>
      <c r="AF295" s="14"/>
      <c r="AG295" s="14"/>
      <c r="AH295" s="14"/>
      <c r="AI295" s="14"/>
      <c r="AJ295" s="14"/>
      <c r="AK295" s="14"/>
      <c r="AL295" s="48">
        <f t="shared" si="14"/>
        <v>31178</v>
      </c>
      <c r="AM295" s="22">
        <v>81</v>
      </c>
      <c r="AN295" s="14">
        <v>123</v>
      </c>
      <c r="AO295" s="14">
        <v>-64.2</v>
      </c>
      <c r="AP295" s="14"/>
      <c r="AQ295" s="14"/>
      <c r="AR295" s="44">
        <v>1</v>
      </c>
      <c r="AU295" s="46"/>
      <c r="AV295" s="46"/>
    </row>
    <row r="296" spans="1:48" x14ac:dyDescent="0.25">
      <c r="A296" s="12">
        <v>5913</v>
      </c>
      <c r="B296" s="13" t="s">
        <v>69</v>
      </c>
      <c r="C296" s="14">
        <v>1317199.1299999999</v>
      </c>
      <c r="D296" s="14">
        <v>225318.11</v>
      </c>
      <c r="E296" s="14"/>
      <c r="F296" s="14"/>
      <c r="G296" s="14">
        <v>47915.8</v>
      </c>
      <c r="H296" s="14">
        <v>182.2</v>
      </c>
      <c r="I296" s="14"/>
      <c r="J296" s="14">
        <v>9154.9</v>
      </c>
      <c r="K296" s="14">
        <v>1518.5</v>
      </c>
      <c r="L296" s="14">
        <v>92662.2</v>
      </c>
      <c r="M296" s="3">
        <f t="shared" si="12"/>
        <v>1693950.8399999996</v>
      </c>
      <c r="N296" s="14">
        <v>11064.15</v>
      </c>
      <c r="O296" s="14">
        <v>543.79999999999995</v>
      </c>
      <c r="P296" s="14">
        <v>60358.75</v>
      </c>
      <c r="Q296" s="14">
        <v>4248.55</v>
      </c>
      <c r="R296" s="14">
        <v>59792.6</v>
      </c>
      <c r="S296" s="14"/>
      <c r="T296" s="14">
        <v>300</v>
      </c>
      <c r="U296" s="14">
        <v>5496.5</v>
      </c>
      <c r="V296" s="14">
        <v>88</v>
      </c>
      <c r="W296" s="14"/>
      <c r="X296" s="2">
        <f t="shared" si="13"/>
        <v>1835843.1899999997</v>
      </c>
      <c r="Y296" s="14">
        <v>8835</v>
      </c>
      <c r="Z296" s="14"/>
      <c r="AA296" s="14">
        <v>66471.75</v>
      </c>
      <c r="AB296" s="14"/>
      <c r="AC296" s="14">
        <v>34487.5</v>
      </c>
      <c r="AD296" s="14">
        <v>41254.75</v>
      </c>
      <c r="AE296" s="14"/>
      <c r="AF296" s="14"/>
      <c r="AG296" s="14"/>
      <c r="AH296" s="14">
        <v>21349.599999999999</v>
      </c>
      <c r="AI296" s="14"/>
      <c r="AJ296" s="14"/>
      <c r="AK296" s="14"/>
      <c r="AL296" s="48">
        <f t="shared" si="14"/>
        <v>172398.6</v>
      </c>
      <c r="AM296" s="22">
        <v>73</v>
      </c>
      <c r="AN296" s="14">
        <v>765</v>
      </c>
      <c r="AO296" s="14">
        <v>-10697.47</v>
      </c>
      <c r="AP296" s="14"/>
      <c r="AQ296" s="14">
        <v>-16.489999999999998</v>
      </c>
      <c r="AR296" s="44">
        <v>1</v>
      </c>
      <c r="AU296" s="46"/>
      <c r="AV296" s="46"/>
    </row>
    <row r="297" spans="1:48" x14ac:dyDescent="0.25">
      <c r="A297" s="12">
        <v>5914</v>
      </c>
      <c r="B297" s="13" t="s">
        <v>70</v>
      </c>
      <c r="C297" s="14">
        <v>531212.73</v>
      </c>
      <c r="D297" s="14">
        <v>48855.69</v>
      </c>
      <c r="E297" s="14"/>
      <c r="F297" s="14">
        <v>2070</v>
      </c>
      <c r="G297" s="14">
        <v>23531.7</v>
      </c>
      <c r="H297" s="14">
        <v>7417.25</v>
      </c>
      <c r="I297" s="14"/>
      <c r="J297" s="14">
        <v>5017.58</v>
      </c>
      <c r="K297" s="14">
        <v>4447.5</v>
      </c>
      <c r="L297" s="14">
        <v>42792.15</v>
      </c>
      <c r="M297" s="3">
        <f t="shared" si="12"/>
        <v>665344.59999999986</v>
      </c>
      <c r="N297" s="14"/>
      <c r="O297" s="14"/>
      <c r="P297" s="14">
        <v>8941.9</v>
      </c>
      <c r="Q297" s="14">
        <v>6210.75</v>
      </c>
      <c r="R297" s="14">
        <v>7594.5</v>
      </c>
      <c r="S297" s="14"/>
      <c r="T297" s="14">
        <v>1126</v>
      </c>
      <c r="U297" s="14">
        <v>1340</v>
      </c>
      <c r="V297" s="14"/>
      <c r="W297" s="14"/>
      <c r="X297" s="2">
        <f t="shared" si="13"/>
        <v>690557.74999999988</v>
      </c>
      <c r="Y297" s="14">
        <v>9730</v>
      </c>
      <c r="Z297" s="14"/>
      <c r="AA297" s="14">
        <v>81168.149999999994</v>
      </c>
      <c r="AB297" s="14"/>
      <c r="AC297" s="14">
        <v>31063.25</v>
      </c>
      <c r="AD297" s="14">
        <v>2147.5</v>
      </c>
      <c r="AE297" s="14"/>
      <c r="AF297" s="14"/>
      <c r="AG297" s="14"/>
      <c r="AH297" s="14"/>
      <c r="AI297" s="14"/>
      <c r="AJ297" s="14"/>
      <c r="AK297" s="14"/>
      <c r="AL297" s="48">
        <f t="shared" si="14"/>
        <v>124108.9</v>
      </c>
      <c r="AM297" s="22">
        <v>75</v>
      </c>
      <c r="AN297" s="14">
        <v>345</v>
      </c>
      <c r="AO297" s="14">
        <v>-15283.42</v>
      </c>
      <c r="AP297" s="14"/>
      <c r="AQ297" s="14"/>
      <c r="AR297" s="44">
        <v>1</v>
      </c>
      <c r="AU297" s="46"/>
      <c r="AV297" s="46"/>
    </row>
    <row r="298" spans="1:48" x14ac:dyDescent="0.25">
      <c r="A298" s="12">
        <v>5919</v>
      </c>
      <c r="B298" s="13" t="s">
        <v>428</v>
      </c>
      <c r="C298" s="14">
        <v>943133.09</v>
      </c>
      <c r="D298" s="14">
        <v>101881.52</v>
      </c>
      <c r="E298" s="14"/>
      <c r="F298" s="14">
        <v>3100</v>
      </c>
      <c r="G298" s="14">
        <v>53091.35</v>
      </c>
      <c r="H298" s="14">
        <v>63.35</v>
      </c>
      <c r="I298" s="14"/>
      <c r="J298" s="14">
        <v>17554.25</v>
      </c>
      <c r="K298" s="14">
        <v>1569</v>
      </c>
      <c r="L298" s="14">
        <v>103169.55</v>
      </c>
      <c r="M298" s="3">
        <f t="shared" si="12"/>
        <v>1223562.1100000001</v>
      </c>
      <c r="N298" s="14">
        <v>13044.25</v>
      </c>
      <c r="O298" s="14">
        <v>2564.1</v>
      </c>
      <c r="P298" s="14">
        <v>965.9</v>
      </c>
      <c r="Q298" s="14">
        <v>1887.92</v>
      </c>
      <c r="R298" s="14">
        <v>1015.3</v>
      </c>
      <c r="S298" s="14"/>
      <c r="T298" s="14">
        <v>2152.5</v>
      </c>
      <c r="U298" s="14">
        <v>3350</v>
      </c>
      <c r="V298" s="14"/>
      <c r="W298" s="14"/>
      <c r="X298" s="2">
        <f t="shared" si="13"/>
        <v>1248542.08</v>
      </c>
      <c r="Y298" s="14">
        <v>9379.6</v>
      </c>
      <c r="Z298" s="14"/>
      <c r="AA298" s="14">
        <v>92517.7</v>
      </c>
      <c r="AB298" s="14"/>
      <c r="AC298" s="14">
        <v>39964.75</v>
      </c>
      <c r="AD298" s="14">
        <v>11473.6</v>
      </c>
      <c r="AE298" s="14"/>
      <c r="AF298" s="14"/>
      <c r="AG298" s="14"/>
      <c r="AH298" s="14"/>
      <c r="AI298" s="14"/>
      <c r="AJ298" s="14"/>
      <c r="AK298" s="14"/>
      <c r="AL298" s="48">
        <f t="shared" si="14"/>
        <v>153335.65</v>
      </c>
      <c r="AM298" s="22">
        <v>74</v>
      </c>
      <c r="AN298" s="14">
        <v>581</v>
      </c>
      <c r="AO298" s="14">
        <v>-4933.58</v>
      </c>
      <c r="AP298" s="14"/>
      <c r="AQ298" s="14">
        <v>-27.96</v>
      </c>
      <c r="AR298" s="44">
        <v>1.2</v>
      </c>
      <c r="AU298" s="46"/>
      <c r="AV298" s="46"/>
    </row>
    <row r="299" spans="1:48" x14ac:dyDescent="0.25">
      <c r="A299" s="12">
        <v>5921</v>
      </c>
      <c r="B299" s="13" t="s">
        <v>429</v>
      </c>
      <c r="C299" s="14">
        <v>298496.62</v>
      </c>
      <c r="D299" s="14">
        <v>32472.28</v>
      </c>
      <c r="E299" s="14"/>
      <c r="F299" s="14">
        <v>1450</v>
      </c>
      <c r="G299" s="14">
        <v>20733.7</v>
      </c>
      <c r="H299" s="14">
        <v>1022.65</v>
      </c>
      <c r="I299" s="14"/>
      <c r="J299" s="14">
        <v>22129.89</v>
      </c>
      <c r="K299" s="14"/>
      <c r="L299" s="14">
        <v>25898.55</v>
      </c>
      <c r="M299" s="3">
        <f t="shared" si="12"/>
        <v>402203.69000000006</v>
      </c>
      <c r="N299" s="14">
        <v>5539.15</v>
      </c>
      <c r="O299" s="14">
        <v>39567.800000000003</v>
      </c>
      <c r="P299" s="14">
        <v>6905.85</v>
      </c>
      <c r="Q299" s="14">
        <v>0</v>
      </c>
      <c r="R299" s="14">
        <v>14626.75</v>
      </c>
      <c r="S299" s="14"/>
      <c r="T299" s="14">
        <v>450</v>
      </c>
      <c r="U299" s="14">
        <v>1462.5</v>
      </c>
      <c r="V299" s="14">
        <v>424</v>
      </c>
      <c r="W299" s="14"/>
      <c r="X299" s="2">
        <f t="shared" si="13"/>
        <v>471179.74000000005</v>
      </c>
      <c r="Y299" s="14"/>
      <c r="Z299" s="14"/>
      <c r="AA299" s="14">
        <v>38700</v>
      </c>
      <c r="AB299" s="14"/>
      <c r="AC299" s="14">
        <v>9000</v>
      </c>
      <c r="AD299" s="14"/>
      <c r="AE299" s="14"/>
      <c r="AF299" s="14"/>
      <c r="AG299" s="14"/>
      <c r="AH299" s="14"/>
      <c r="AI299" s="14"/>
      <c r="AJ299" s="14"/>
      <c r="AK299" s="14"/>
      <c r="AL299" s="48">
        <f t="shared" si="14"/>
        <v>47700</v>
      </c>
      <c r="AM299" s="22">
        <v>81</v>
      </c>
      <c r="AN299" s="14">
        <v>224</v>
      </c>
      <c r="AO299" s="14">
        <v>-2702.45</v>
      </c>
      <c r="AP299" s="14"/>
      <c r="AQ299" s="14"/>
      <c r="AR299" s="44">
        <v>1</v>
      </c>
      <c r="AU299" s="46"/>
      <c r="AV299" s="46"/>
    </row>
    <row r="300" spans="1:48" x14ac:dyDescent="0.25">
      <c r="A300" s="12">
        <v>5922</v>
      </c>
      <c r="B300" s="13" t="s">
        <v>306</v>
      </c>
      <c r="C300" s="14">
        <v>1499433.15</v>
      </c>
      <c r="D300" s="14">
        <v>231084.73</v>
      </c>
      <c r="E300" s="14"/>
      <c r="F300" s="14"/>
      <c r="G300" s="14">
        <v>1242550.95</v>
      </c>
      <c r="H300" s="14">
        <v>3810.65</v>
      </c>
      <c r="I300" s="14">
        <v>-12624.05</v>
      </c>
      <c r="J300" s="14">
        <v>40055.81</v>
      </c>
      <c r="K300" s="14">
        <v>28510</v>
      </c>
      <c r="L300" s="14">
        <v>235115.75</v>
      </c>
      <c r="M300" s="3">
        <f t="shared" si="12"/>
        <v>3267936.99</v>
      </c>
      <c r="N300" s="14">
        <v>175609.5</v>
      </c>
      <c r="O300" s="14"/>
      <c r="P300" s="14">
        <v>54031.25</v>
      </c>
      <c r="Q300" s="14">
        <v>3335.64</v>
      </c>
      <c r="R300" s="14">
        <v>38872.400000000001</v>
      </c>
      <c r="S300" s="14">
        <v>1870</v>
      </c>
      <c r="T300" s="14">
        <v>64772.6</v>
      </c>
      <c r="U300" s="14">
        <v>1480</v>
      </c>
      <c r="V300" s="14">
        <v>77.400000000000006</v>
      </c>
      <c r="W300" s="14"/>
      <c r="X300" s="2">
        <f t="shared" si="13"/>
        <v>3607985.7800000003</v>
      </c>
      <c r="Y300" s="14">
        <v>15250.1</v>
      </c>
      <c r="Z300" s="14"/>
      <c r="AA300" s="14">
        <v>113830.5</v>
      </c>
      <c r="AB300" s="14"/>
      <c r="AC300" s="14">
        <v>114888.25</v>
      </c>
      <c r="AD300" s="14">
        <v>17946.5</v>
      </c>
      <c r="AE300" s="14"/>
      <c r="AF300" s="14"/>
      <c r="AG300" s="14">
        <v>3196.15</v>
      </c>
      <c r="AH300" s="14">
        <v>96156.75</v>
      </c>
      <c r="AI300" s="14"/>
      <c r="AJ300" s="14"/>
      <c r="AK300" s="14"/>
      <c r="AL300" s="48">
        <f t="shared" si="14"/>
        <v>361268.25</v>
      </c>
      <c r="AM300" s="22">
        <v>61</v>
      </c>
      <c r="AN300" s="14">
        <v>713</v>
      </c>
      <c r="AO300" s="14">
        <v>-19282.41</v>
      </c>
      <c r="AP300" s="14"/>
      <c r="AQ300" s="14">
        <v>-44.15</v>
      </c>
      <c r="AR300" s="44">
        <v>0.8</v>
      </c>
      <c r="AU300" s="46"/>
      <c r="AV300" s="46"/>
    </row>
    <row r="301" spans="1:48" x14ac:dyDescent="0.25">
      <c r="A301" s="12">
        <v>5923</v>
      </c>
      <c r="B301" s="13" t="s">
        <v>307</v>
      </c>
      <c r="C301" s="14">
        <v>316544.68</v>
      </c>
      <c r="D301" s="14">
        <v>34671.550000000003</v>
      </c>
      <c r="E301" s="14"/>
      <c r="F301" s="14"/>
      <c r="G301" s="14">
        <v>5779</v>
      </c>
      <c r="H301" s="14">
        <v>355</v>
      </c>
      <c r="I301" s="14"/>
      <c r="J301" s="14">
        <v>17865.66</v>
      </c>
      <c r="K301" s="14"/>
      <c r="L301" s="14">
        <v>21942</v>
      </c>
      <c r="M301" s="3">
        <f t="shared" si="12"/>
        <v>397157.88999999996</v>
      </c>
      <c r="N301" s="14">
        <v>15199.8</v>
      </c>
      <c r="O301" s="14">
        <v>237.6</v>
      </c>
      <c r="P301" s="14">
        <v>20081.5</v>
      </c>
      <c r="Q301" s="14"/>
      <c r="R301" s="14">
        <v>24727.65</v>
      </c>
      <c r="S301" s="14"/>
      <c r="T301" s="14"/>
      <c r="U301" s="14">
        <v>1589.5</v>
      </c>
      <c r="V301" s="14"/>
      <c r="W301" s="14"/>
      <c r="X301" s="2">
        <f t="shared" si="13"/>
        <v>458993.93999999994</v>
      </c>
      <c r="Y301" s="14">
        <v>2800</v>
      </c>
      <c r="Z301" s="14"/>
      <c r="AA301" s="14">
        <v>44170</v>
      </c>
      <c r="AB301" s="14"/>
      <c r="AC301" s="14">
        <v>12507</v>
      </c>
      <c r="AD301" s="14">
        <v>7818.2</v>
      </c>
      <c r="AE301" s="14"/>
      <c r="AF301" s="14"/>
      <c r="AG301" s="14"/>
      <c r="AH301" s="14"/>
      <c r="AI301" s="14"/>
      <c r="AJ301" s="14"/>
      <c r="AK301" s="14"/>
      <c r="AL301" s="48">
        <f t="shared" si="14"/>
        <v>67295.199999999997</v>
      </c>
      <c r="AM301" s="22">
        <v>81</v>
      </c>
      <c r="AN301" s="14">
        <v>182</v>
      </c>
      <c r="AO301" s="14">
        <v>-85.57</v>
      </c>
      <c r="AP301" s="14"/>
      <c r="AQ301" s="14"/>
      <c r="AR301" s="44">
        <v>1</v>
      </c>
      <c r="AU301" s="46"/>
      <c r="AV301" s="46"/>
    </row>
    <row r="302" spans="1:48" x14ac:dyDescent="0.25">
      <c r="A302" s="12">
        <v>5924</v>
      </c>
      <c r="B302" s="13" t="s">
        <v>308</v>
      </c>
      <c r="C302" s="14">
        <v>495277.13</v>
      </c>
      <c r="D302" s="14">
        <v>53169.04</v>
      </c>
      <c r="E302" s="14"/>
      <c r="F302" s="14"/>
      <c r="G302" s="14">
        <v>60485.3</v>
      </c>
      <c r="H302" s="14">
        <v>518.20000000000005</v>
      </c>
      <c r="I302" s="14"/>
      <c r="J302" s="14">
        <v>11394.76</v>
      </c>
      <c r="K302" s="14"/>
      <c r="L302" s="14">
        <v>41250.300000000003</v>
      </c>
      <c r="M302" s="3">
        <f t="shared" si="12"/>
        <v>662094.7300000001</v>
      </c>
      <c r="N302" s="14">
        <v>22835.85</v>
      </c>
      <c r="O302" s="14"/>
      <c r="P302" s="14">
        <v>31483.65</v>
      </c>
      <c r="Q302" s="14">
        <v>4847.07</v>
      </c>
      <c r="R302" s="14">
        <v>44305.8</v>
      </c>
      <c r="S302" s="14"/>
      <c r="T302" s="14">
        <v>1170</v>
      </c>
      <c r="U302" s="14">
        <v>2750</v>
      </c>
      <c r="V302" s="14"/>
      <c r="W302" s="14"/>
      <c r="X302" s="2">
        <f t="shared" si="13"/>
        <v>769487.10000000009</v>
      </c>
      <c r="Y302" s="14">
        <v>12678</v>
      </c>
      <c r="Z302" s="14"/>
      <c r="AA302" s="14">
        <v>17648.2</v>
      </c>
      <c r="AB302" s="14"/>
      <c r="AC302" s="14">
        <v>12740</v>
      </c>
      <c r="AD302" s="14">
        <v>6339</v>
      </c>
      <c r="AE302" s="14"/>
      <c r="AF302" s="14"/>
      <c r="AG302" s="14">
        <v>3319.8</v>
      </c>
      <c r="AH302" s="14"/>
      <c r="AI302" s="14"/>
      <c r="AJ302" s="14"/>
      <c r="AK302" s="14"/>
      <c r="AL302" s="48">
        <f t="shared" si="14"/>
        <v>52725</v>
      </c>
      <c r="AM302" s="22">
        <v>74</v>
      </c>
      <c r="AN302" s="14">
        <v>275</v>
      </c>
      <c r="AO302" s="14">
        <v>-715.45</v>
      </c>
      <c r="AP302" s="14"/>
      <c r="AQ302" s="14">
        <v>-15.04</v>
      </c>
      <c r="AR302" s="44">
        <v>1</v>
      </c>
      <c r="AU302" s="46"/>
      <c r="AV302" s="46"/>
    </row>
    <row r="303" spans="1:48" x14ac:dyDescent="0.25">
      <c r="A303" s="12">
        <v>5925</v>
      </c>
      <c r="B303" s="13" t="s">
        <v>433</v>
      </c>
      <c r="C303" s="14">
        <v>331897.37</v>
      </c>
      <c r="D303" s="14">
        <v>36150.53</v>
      </c>
      <c r="E303" s="14"/>
      <c r="F303" s="14">
        <v>1170</v>
      </c>
      <c r="G303" s="14">
        <v>2605.75</v>
      </c>
      <c r="H303" s="14">
        <v>197.05</v>
      </c>
      <c r="I303" s="14"/>
      <c r="J303" s="14">
        <v>5831.67</v>
      </c>
      <c r="K303" s="14"/>
      <c r="L303" s="14">
        <v>26308.7</v>
      </c>
      <c r="M303" s="3">
        <f t="shared" si="12"/>
        <v>404161.07</v>
      </c>
      <c r="N303" s="14">
        <v>5230.1000000000004</v>
      </c>
      <c r="O303" s="14"/>
      <c r="P303" s="14">
        <v>5206.7</v>
      </c>
      <c r="Q303" s="14"/>
      <c r="R303" s="14"/>
      <c r="S303" s="14"/>
      <c r="T303" s="14">
        <v>40</v>
      </c>
      <c r="U303" s="14">
        <v>1720</v>
      </c>
      <c r="V303" s="14"/>
      <c r="W303" s="14"/>
      <c r="X303" s="2">
        <f t="shared" si="13"/>
        <v>416357.87</v>
      </c>
      <c r="Y303" s="14">
        <v>2800</v>
      </c>
      <c r="Z303" s="14"/>
      <c r="AA303" s="14">
        <v>37993.5</v>
      </c>
      <c r="AB303" s="14"/>
      <c r="AC303" s="14">
        <v>13612.8</v>
      </c>
      <c r="AD303" s="14">
        <v>1503.5</v>
      </c>
      <c r="AE303" s="14"/>
      <c r="AF303" s="14"/>
      <c r="AG303" s="14"/>
      <c r="AH303" s="14"/>
      <c r="AI303" s="14"/>
      <c r="AJ303" s="14"/>
      <c r="AK303" s="14"/>
      <c r="AL303" s="48">
        <f t="shared" si="14"/>
        <v>55909.8</v>
      </c>
      <c r="AM303" s="22">
        <v>79</v>
      </c>
      <c r="AN303" s="14">
        <v>211</v>
      </c>
      <c r="AO303" s="14">
        <v>-923.15</v>
      </c>
      <c r="AP303" s="14">
        <v>-3982.45</v>
      </c>
      <c r="AQ303" s="14">
        <v>-9</v>
      </c>
      <c r="AR303" s="44">
        <v>1</v>
      </c>
      <c r="AU303" s="46"/>
      <c r="AV303" s="46"/>
    </row>
    <row r="304" spans="1:48" x14ac:dyDescent="0.25">
      <c r="A304" s="12">
        <v>5926</v>
      </c>
      <c r="B304" s="13" t="s">
        <v>434</v>
      </c>
      <c r="C304" s="14">
        <v>1169348.8700000001</v>
      </c>
      <c r="D304" s="14">
        <v>165108.76</v>
      </c>
      <c r="E304" s="14"/>
      <c r="F304" s="14"/>
      <c r="G304" s="14">
        <v>41691.9</v>
      </c>
      <c r="H304" s="14">
        <v>115.2</v>
      </c>
      <c r="I304" s="14"/>
      <c r="J304" s="14">
        <v>17363.099999999999</v>
      </c>
      <c r="K304" s="14"/>
      <c r="L304" s="14">
        <v>107127.8</v>
      </c>
      <c r="M304" s="3">
        <f t="shared" si="12"/>
        <v>1500755.6300000001</v>
      </c>
      <c r="N304" s="14">
        <v>7530.45</v>
      </c>
      <c r="O304" s="14">
        <v>679.1</v>
      </c>
      <c r="P304" s="14">
        <v>45814.15</v>
      </c>
      <c r="Q304" s="14">
        <v>1405.39</v>
      </c>
      <c r="R304" s="14">
        <v>50367.05</v>
      </c>
      <c r="S304" s="14"/>
      <c r="T304" s="14">
        <v>620</v>
      </c>
      <c r="U304" s="14">
        <v>4800</v>
      </c>
      <c r="V304" s="14"/>
      <c r="W304" s="14"/>
      <c r="X304" s="2">
        <f t="shared" si="13"/>
        <v>1611971.77</v>
      </c>
      <c r="Y304" s="14">
        <v>39524</v>
      </c>
      <c r="Z304" s="14"/>
      <c r="AA304" s="14">
        <v>46011.65</v>
      </c>
      <c r="AB304" s="14"/>
      <c r="AC304" s="14">
        <v>25577.9</v>
      </c>
      <c r="AD304" s="14">
        <v>23000</v>
      </c>
      <c r="AE304" s="14">
        <v>5445.2</v>
      </c>
      <c r="AF304" s="14"/>
      <c r="AG304" s="14"/>
      <c r="AH304" s="14"/>
      <c r="AI304" s="14"/>
      <c r="AJ304" s="14"/>
      <c r="AK304" s="14"/>
      <c r="AL304" s="48">
        <f t="shared" si="14"/>
        <v>139558.75</v>
      </c>
      <c r="AM304" s="22">
        <v>71</v>
      </c>
      <c r="AN304" s="14">
        <v>730</v>
      </c>
      <c r="AO304" s="14">
        <v>-9018.7900000000009</v>
      </c>
      <c r="AP304" s="14"/>
      <c r="AQ304" s="14">
        <v>-74.27</v>
      </c>
      <c r="AR304" s="44">
        <v>1</v>
      </c>
      <c r="AU304" s="46"/>
      <c r="AV304" s="46"/>
    </row>
    <row r="305" spans="1:48" x14ac:dyDescent="0.25">
      <c r="A305" s="12">
        <v>5928</v>
      </c>
      <c r="B305" s="13" t="s">
        <v>435</v>
      </c>
      <c r="C305" s="14">
        <v>302743.67</v>
      </c>
      <c r="D305" s="14">
        <v>36319.050000000003</v>
      </c>
      <c r="E305" s="14"/>
      <c r="F305" s="14"/>
      <c r="G305" s="14">
        <v>4137.6000000000004</v>
      </c>
      <c r="H305" s="14">
        <v>25.85</v>
      </c>
      <c r="I305" s="14"/>
      <c r="J305" s="14">
        <v>4613.42</v>
      </c>
      <c r="K305" s="14"/>
      <c r="L305" s="14">
        <v>19477.8</v>
      </c>
      <c r="M305" s="3">
        <f t="shared" si="12"/>
        <v>367317.3899999999</v>
      </c>
      <c r="N305" s="14"/>
      <c r="O305" s="14">
        <v>27518.1</v>
      </c>
      <c r="P305" s="14"/>
      <c r="Q305" s="14"/>
      <c r="R305" s="14"/>
      <c r="S305" s="14"/>
      <c r="T305" s="14"/>
      <c r="U305" s="14">
        <v>1170</v>
      </c>
      <c r="V305" s="14"/>
      <c r="W305" s="14"/>
      <c r="X305" s="2">
        <f t="shared" si="13"/>
        <v>396005.48999999987</v>
      </c>
      <c r="Y305" s="14"/>
      <c r="Z305" s="14"/>
      <c r="AA305" s="14">
        <v>29741.65</v>
      </c>
      <c r="AB305" s="14"/>
      <c r="AC305" s="14">
        <v>7996.45</v>
      </c>
      <c r="AD305" s="14"/>
      <c r="AE305" s="14"/>
      <c r="AF305" s="14"/>
      <c r="AG305" s="14"/>
      <c r="AH305" s="14"/>
      <c r="AI305" s="14"/>
      <c r="AJ305" s="14"/>
      <c r="AK305" s="14"/>
      <c r="AL305" s="48">
        <f t="shared" si="14"/>
        <v>37738.1</v>
      </c>
      <c r="AM305" s="22">
        <v>75</v>
      </c>
      <c r="AN305" s="14">
        <v>176</v>
      </c>
      <c r="AO305" s="14">
        <v>-30.93</v>
      </c>
      <c r="AP305" s="14"/>
      <c r="AQ305" s="14">
        <v>-0.53</v>
      </c>
      <c r="AR305" s="44">
        <v>1</v>
      </c>
      <c r="AU305" s="46"/>
      <c r="AV305" s="46"/>
    </row>
    <row r="306" spans="1:48" x14ac:dyDescent="0.25">
      <c r="A306" s="12">
        <v>5929</v>
      </c>
      <c r="B306" s="13" t="s">
        <v>436</v>
      </c>
      <c r="C306" s="14">
        <v>867609.78</v>
      </c>
      <c r="D306" s="14">
        <v>82697.63</v>
      </c>
      <c r="E306" s="14"/>
      <c r="F306" s="14"/>
      <c r="G306" s="14">
        <v>27519.35</v>
      </c>
      <c r="H306" s="14">
        <v>356.9</v>
      </c>
      <c r="I306" s="14">
        <v>39925.85</v>
      </c>
      <c r="J306" s="14">
        <v>-3166.46</v>
      </c>
      <c r="K306" s="14"/>
      <c r="L306" s="14">
        <v>52073.15</v>
      </c>
      <c r="M306" s="3">
        <f t="shared" si="12"/>
        <v>1067016.2</v>
      </c>
      <c r="N306" s="14">
        <v>8492.6</v>
      </c>
      <c r="O306" s="14"/>
      <c r="P306" s="14">
        <v>17156.150000000001</v>
      </c>
      <c r="Q306" s="14"/>
      <c r="R306" s="14">
        <v>14080.55</v>
      </c>
      <c r="S306" s="14">
        <v>93.75</v>
      </c>
      <c r="T306" s="14"/>
      <c r="U306" s="14">
        <v>2130</v>
      </c>
      <c r="V306" s="14"/>
      <c r="W306" s="14"/>
      <c r="X306" s="2">
        <f t="shared" si="13"/>
        <v>1108969.25</v>
      </c>
      <c r="Y306" s="14">
        <v>16122.65</v>
      </c>
      <c r="Z306" s="14"/>
      <c r="AA306" s="14">
        <v>188013.1</v>
      </c>
      <c r="AB306" s="14"/>
      <c r="AC306" s="14">
        <v>39858.85</v>
      </c>
      <c r="AD306" s="14"/>
      <c r="AE306" s="14"/>
      <c r="AF306" s="14"/>
      <c r="AG306" s="14"/>
      <c r="AH306" s="14">
        <v>11328.75</v>
      </c>
      <c r="AI306" s="14"/>
      <c r="AJ306" s="14"/>
      <c r="AK306" s="14"/>
      <c r="AL306" s="48">
        <f t="shared" si="14"/>
        <v>255323.35</v>
      </c>
      <c r="AM306" s="22">
        <v>68</v>
      </c>
      <c r="AN306" s="14">
        <v>542</v>
      </c>
      <c r="AO306" s="14">
        <v>-7804.95</v>
      </c>
      <c r="AP306" s="14"/>
      <c r="AQ306" s="14">
        <v>-220.58</v>
      </c>
      <c r="AR306" s="44">
        <v>0.6</v>
      </c>
      <c r="AU306" s="46"/>
      <c r="AV306" s="46"/>
    </row>
    <row r="307" spans="1:48" x14ac:dyDescent="0.25">
      <c r="A307" s="12">
        <v>5930</v>
      </c>
      <c r="B307" s="13" t="s">
        <v>437</v>
      </c>
      <c r="C307" s="14">
        <v>287349.56</v>
      </c>
      <c r="D307" s="14">
        <v>28145.57</v>
      </c>
      <c r="E307" s="14"/>
      <c r="F307" s="14"/>
      <c r="G307" s="14">
        <v>167.15</v>
      </c>
      <c r="H307" s="14">
        <v>33.700000000000003</v>
      </c>
      <c r="I307" s="14"/>
      <c r="J307" s="14">
        <v>2155.39</v>
      </c>
      <c r="K307" s="14"/>
      <c r="L307" s="14">
        <v>26246.6</v>
      </c>
      <c r="M307" s="3">
        <f t="shared" si="12"/>
        <v>344097.97000000003</v>
      </c>
      <c r="N307" s="14">
        <v>7873.25</v>
      </c>
      <c r="O307" s="14">
        <v>75.3</v>
      </c>
      <c r="P307" s="14">
        <v>4649.6499999999996</v>
      </c>
      <c r="Q307" s="14"/>
      <c r="R307" s="14"/>
      <c r="S307" s="14"/>
      <c r="T307" s="14">
        <v>50</v>
      </c>
      <c r="U307" s="14">
        <v>320</v>
      </c>
      <c r="V307" s="14"/>
      <c r="W307" s="14"/>
      <c r="X307" s="2">
        <f t="shared" si="13"/>
        <v>357066.17000000004</v>
      </c>
      <c r="Y307" s="14">
        <v>11750</v>
      </c>
      <c r="Z307" s="14"/>
      <c r="AA307" s="14">
        <v>17418.7</v>
      </c>
      <c r="AB307" s="14"/>
      <c r="AC307" s="14">
        <v>6718.25</v>
      </c>
      <c r="AD307" s="14">
        <v>5821.5</v>
      </c>
      <c r="AE307" s="14"/>
      <c r="AF307" s="14"/>
      <c r="AG307" s="14"/>
      <c r="AH307" s="14"/>
      <c r="AI307" s="14"/>
      <c r="AJ307" s="14"/>
      <c r="AK307" s="14"/>
      <c r="AL307" s="48">
        <f t="shared" si="14"/>
        <v>41708.449999999997</v>
      </c>
      <c r="AM307" s="22">
        <v>66</v>
      </c>
      <c r="AN307" s="14">
        <v>199</v>
      </c>
      <c r="AO307" s="14">
        <v>-51.83</v>
      </c>
      <c r="AP307" s="14"/>
      <c r="AQ307" s="14">
        <v>-312.61</v>
      </c>
      <c r="AR307" s="44">
        <v>1</v>
      </c>
      <c r="AU307" s="46"/>
      <c r="AV307" s="46"/>
    </row>
    <row r="308" spans="1:48" x14ac:dyDescent="0.25">
      <c r="A308" s="12">
        <v>5931</v>
      </c>
      <c r="B308" s="13" t="s">
        <v>438</v>
      </c>
      <c r="C308" s="14">
        <v>891282.73</v>
      </c>
      <c r="D308" s="14">
        <v>91479.43</v>
      </c>
      <c r="E308" s="14"/>
      <c r="F308" s="14"/>
      <c r="G308" s="14">
        <v>10562.4</v>
      </c>
      <c r="H308" s="14">
        <v>988.15</v>
      </c>
      <c r="I308" s="14"/>
      <c r="J308" s="14">
        <v>15062.89</v>
      </c>
      <c r="K308" s="14">
        <v>94.5</v>
      </c>
      <c r="L308" s="14">
        <v>69666.7</v>
      </c>
      <c r="M308" s="3">
        <f t="shared" si="12"/>
        <v>1079136.8</v>
      </c>
      <c r="N308" s="14">
        <v>12599.25</v>
      </c>
      <c r="O308" s="14">
        <v>4332.1000000000004</v>
      </c>
      <c r="P308" s="14">
        <v>39723.800000000003</v>
      </c>
      <c r="Q308" s="14">
        <v>219.5</v>
      </c>
      <c r="R308" s="14">
        <v>31537.1</v>
      </c>
      <c r="S308" s="14"/>
      <c r="T308" s="14">
        <v>350</v>
      </c>
      <c r="U308" s="14">
        <v>4100</v>
      </c>
      <c r="V308" s="14"/>
      <c r="W308" s="14"/>
      <c r="X308" s="2">
        <f t="shared" si="13"/>
        <v>1171998.5500000003</v>
      </c>
      <c r="Y308" s="14">
        <v>2000</v>
      </c>
      <c r="Z308" s="14"/>
      <c r="AA308" s="14">
        <v>35302.85</v>
      </c>
      <c r="AB308" s="14"/>
      <c r="AC308" s="14">
        <v>26775.9</v>
      </c>
      <c r="AD308" s="14">
        <v>500</v>
      </c>
      <c r="AE308" s="14"/>
      <c r="AF308" s="14"/>
      <c r="AG308" s="14"/>
      <c r="AH308" s="14">
        <v>13024.05</v>
      </c>
      <c r="AI308" s="14"/>
      <c r="AJ308" s="14"/>
      <c r="AK308" s="14"/>
      <c r="AL308" s="48">
        <f t="shared" si="14"/>
        <v>77602.8</v>
      </c>
      <c r="AM308" s="22">
        <v>77</v>
      </c>
      <c r="AN308" s="14">
        <v>462</v>
      </c>
      <c r="AO308" s="14">
        <v>-7355.87</v>
      </c>
      <c r="AP308" s="14"/>
      <c r="AQ308" s="14">
        <v>-0.72</v>
      </c>
      <c r="AR308" s="44">
        <v>1</v>
      </c>
      <c r="AU308" s="46"/>
      <c r="AV308" s="46"/>
    </row>
    <row r="309" spans="1:48" x14ac:dyDescent="0.25">
      <c r="A309" s="12">
        <v>5932</v>
      </c>
      <c r="B309" s="13" t="s">
        <v>309</v>
      </c>
      <c r="C309" s="14">
        <v>342237.93</v>
      </c>
      <c r="D309" s="14">
        <v>24436.42</v>
      </c>
      <c r="E309" s="14"/>
      <c r="F309" s="14">
        <v>1220</v>
      </c>
      <c r="G309" s="14">
        <v>1253.9000000000001</v>
      </c>
      <c r="H309" s="14">
        <v>43.8</v>
      </c>
      <c r="I309" s="14">
        <v>24715.45</v>
      </c>
      <c r="J309" s="14">
        <v>2928.81</v>
      </c>
      <c r="K309" s="14">
        <v>50</v>
      </c>
      <c r="L309" s="14">
        <v>27673.7</v>
      </c>
      <c r="M309" s="3">
        <f t="shared" si="12"/>
        <v>424560.01</v>
      </c>
      <c r="N309" s="14"/>
      <c r="O309" s="14"/>
      <c r="P309" s="14">
        <v>561</v>
      </c>
      <c r="Q309" s="14">
        <v>0</v>
      </c>
      <c r="R309" s="14"/>
      <c r="S309" s="14"/>
      <c r="T309" s="14">
        <v>370</v>
      </c>
      <c r="U309" s="14">
        <v>1850</v>
      </c>
      <c r="V309" s="14"/>
      <c r="W309" s="14"/>
      <c r="X309" s="2">
        <f t="shared" si="13"/>
        <v>427341.01</v>
      </c>
      <c r="Y309" s="14">
        <v>16475</v>
      </c>
      <c r="Z309" s="14"/>
      <c r="AA309" s="14">
        <v>13293.4</v>
      </c>
      <c r="AB309" s="14"/>
      <c r="AC309" s="14">
        <v>8608.4</v>
      </c>
      <c r="AD309" s="14">
        <v>16046.65</v>
      </c>
      <c r="AE309" s="14"/>
      <c r="AF309" s="14"/>
      <c r="AG309" s="14"/>
      <c r="AH309" s="14"/>
      <c r="AI309" s="14"/>
      <c r="AJ309" s="14"/>
      <c r="AK309" s="14"/>
      <c r="AL309" s="48">
        <f t="shared" si="14"/>
        <v>54423.450000000004</v>
      </c>
      <c r="AM309" s="22">
        <v>78</v>
      </c>
      <c r="AN309" s="14">
        <v>207</v>
      </c>
      <c r="AO309" s="14">
        <v>-1074.07</v>
      </c>
      <c r="AP309" s="14"/>
      <c r="AQ309" s="14"/>
      <c r="AR309" s="44">
        <v>1</v>
      </c>
      <c r="AU309" s="46"/>
      <c r="AV309" s="46"/>
    </row>
    <row r="310" spans="1:48" x14ac:dyDescent="0.25">
      <c r="A310" s="12">
        <v>5933</v>
      </c>
      <c r="B310" s="13" t="s">
        <v>431</v>
      </c>
      <c r="C310" s="14">
        <v>1025120.11</v>
      </c>
      <c r="D310" s="14">
        <v>114035.92</v>
      </c>
      <c r="E310" s="14"/>
      <c r="F310" s="14"/>
      <c r="G310" s="14">
        <v>12392.4</v>
      </c>
      <c r="H310" s="14">
        <v>144.1</v>
      </c>
      <c r="I310" s="14"/>
      <c r="J310" s="14">
        <v>21006.32</v>
      </c>
      <c r="K310" s="14">
        <v>1764.5</v>
      </c>
      <c r="L310" s="14">
        <v>97423.75</v>
      </c>
      <c r="M310" s="3">
        <f t="shared" si="12"/>
        <v>1271887.1000000001</v>
      </c>
      <c r="N310" s="14">
        <v>8149.15</v>
      </c>
      <c r="O310" s="14"/>
      <c r="P310" s="14">
        <v>65006.15</v>
      </c>
      <c r="Q310" s="14">
        <v>7070.37</v>
      </c>
      <c r="R310" s="14">
        <v>34157.449999999997</v>
      </c>
      <c r="S310" s="14">
        <v>62.5</v>
      </c>
      <c r="T310" s="14">
        <v>500</v>
      </c>
      <c r="U310" s="14">
        <v>3840</v>
      </c>
      <c r="V310" s="14"/>
      <c r="W310" s="14"/>
      <c r="X310" s="2">
        <f t="shared" si="13"/>
        <v>1390672.72</v>
      </c>
      <c r="Y310" s="14">
        <v>6214</v>
      </c>
      <c r="Z310" s="14"/>
      <c r="AA310" s="14">
        <v>71332.55</v>
      </c>
      <c r="AB310" s="14"/>
      <c r="AC310" s="14">
        <v>29944</v>
      </c>
      <c r="AD310" s="14">
        <v>2436</v>
      </c>
      <c r="AE310" s="14"/>
      <c r="AF310" s="14"/>
      <c r="AG310" s="14"/>
      <c r="AH310" s="14"/>
      <c r="AI310" s="14"/>
      <c r="AJ310" s="14"/>
      <c r="AK310" s="14"/>
      <c r="AL310" s="48">
        <f t="shared" si="14"/>
        <v>109926.55</v>
      </c>
      <c r="AM310" s="22">
        <v>72</v>
      </c>
      <c r="AN310" s="14">
        <v>661</v>
      </c>
      <c r="AO310" s="14">
        <v>-28404.55</v>
      </c>
      <c r="AP310" s="14">
        <v>-14603</v>
      </c>
      <c r="AQ310" s="14"/>
      <c r="AR310" s="44">
        <v>1</v>
      </c>
      <c r="AU310" s="46"/>
      <c r="AV310" s="46"/>
    </row>
    <row r="311" spans="1:48" x14ac:dyDescent="0.25">
      <c r="A311" s="12">
        <v>5934</v>
      </c>
      <c r="B311" s="13" t="s">
        <v>432</v>
      </c>
      <c r="C311" s="14">
        <v>446111.45</v>
      </c>
      <c r="D311" s="14">
        <v>51124.34</v>
      </c>
      <c r="E311" s="14"/>
      <c r="F311" s="14">
        <v>1290</v>
      </c>
      <c r="G311" s="14">
        <v>812.65</v>
      </c>
      <c r="H311" s="14">
        <v>25.9</v>
      </c>
      <c r="I311" s="14"/>
      <c r="J311" s="14">
        <v>1358.36</v>
      </c>
      <c r="K311" s="14">
        <v>95</v>
      </c>
      <c r="L311" s="14">
        <v>25139.1</v>
      </c>
      <c r="M311" s="3">
        <f t="shared" si="12"/>
        <v>525956.80000000005</v>
      </c>
      <c r="N311" s="14">
        <v>11606.85</v>
      </c>
      <c r="O311" s="14">
        <v>27.5</v>
      </c>
      <c r="P311" s="14">
        <v>14084.9</v>
      </c>
      <c r="Q311" s="14"/>
      <c r="R311" s="14">
        <v>22803.95</v>
      </c>
      <c r="S311" s="14"/>
      <c r="T311" s="14"/>
      <c r="U311" s="14">
        <v>1020</v>
      </c>
      <c r="V311" s="14"/>
      <c r="W311" s="14"/>
      <c r="X311" s="2">
        <f t="shared" si="13"/>
        <v>575500</v>
      </c>
      <c r="Y311" s="14">
        <v>3080.95</v>
      </c>
      <c r="Z311" s="14"/>
      <c r="AA311" s="14">
        <v>27750</v>
      </c>
      <c r="AB311" s="14"/>
      <c r="AC311" s="14">
        <v>10928.35</v>
      </c>
      <c r="AD311" s="14">
        <v>484</v>
      </c>
      <c r="AE311" s="14"/>
      <c r="AF311" s="14"/>
      <c r="AG311" s="14"/>
      <c r="AH311" s="14"/>
      <c r="AI311" s="14"/>
      <c r="AJ311" s="14"/>
      <c r="AK311" s="14"/>
      <c r="AL311" s="48">
        <f t="shared" si="14"/>
        <v>42243.3</v>
      </c>
      <c r="AM311" s="22">
        <v>79</v>
      </c>
      <c r="AN311" s="14">
        <v>245</v>
      </c>
      <c r="AO311" s="14">
        <v>-4364.79</v>
      </c>
      <c r="AP311" s="14"/>
      <c r="AQ311" s="14"/>
      <c r="AR311" s="44">
        <v>1</v>
      </c>
      <c r="AU311" s="46"/>
      <c r="AV311" s="46"/>
    </row>
    <row r="312" spans="1:48" x14ac:dyDescent="0.25">
      <c r="A312" s="12">
        <v>5935</v>
      </c>
      <c r="B312" s="13" t="s">
        <v>333</v>
      </c>
      <c r="C312" s="14">
        <f>385864.25-(124122)/2</f>
        <v>323803.25</v>
      </c>
      <c r="D312" s="14">
        <v>28257.8</v>
      </c>
      <c r="E312" s="14"/>
      <c r="F312" s="14"/>
      <c r="G312" s="14">
        <v>19680.75</v>
      </c>
      <c r="H312" s="14">
        <v>0.2</v>
      </c>
      <c r="I312" s="14"/>
      <c r="J312" s="14">
        <v>-142.63</v>
      </c>
      <c r="K312" s="14"/>
      <c r="L312" s="14">
        <v>17267.95</v>
      </c>
      <c r="M312" s="3">
        <f t="shared" si="12"/>
        <v>388867.32</v>
      </c>
      <c r="N312" s="14"/>
      <c r="O312" s="14"/>
      <c r="P312" s="14">
        <v>1540</v>
      </c>
      <c r="Q312" s="14">
        <v>12421.09</v>
      </c>
      <c r="R312" s="14"/>
      <c r="S312" s="14"/>
      <c r="T312" s="14"/>
      <c r="U312" s="14">
        <v>140</v>
      </c>
      <c r="V312" s="14"/>
      <c r="W312" s="14"/>
      <c r="X312" s="2">
        <f t="shared" si="13"/>
        <v>402968.41000000003</v>
      </c>
      <c r="Y312" s="14"/>
      <c r="Z312" s="14">
        <v>1225</v>
      </c>
      <c r="AA312" s="14">
        <v>5698</v>
      </c>
      <c r="AB312" s="14"/>
      <c r="AC312" s="14">
        <v>5104</v>
      </c>
      <c r="AD312" s="14">
        <v>2050</v>
      </c>
      <c r="AE312" s="14"/>
      <c r="AF312" s="14"/>
      <c r="AG312" s="14"/>
      <c r="AH312" s="14"/>
      <c r="AI312" s="14"/>
      <c r="AJ312" s="14"/>
      <c r="AK312" s="14"/>
      <c r="AL312" s="48">
        <f t="shared" si="14"/>
        <v>14077</v>
      </c>
      <c r="AM312" s="22">
        <v>60</v>
      </c>
      <c r="AN312" s="14">
        <v>90</v>
      </c>
      <c r="AO312" s="14">
        <v>-12458.46</v>
      </c>
      <c r="AP312" s="14"/>
      <c r="AQ312" s="14">
        <v>-115.1</v>
      </c>
      <c r="AR312" s="44">
        <v>1</v>
      </c>
      <c r="AU312" s="46"/>
      <c r="AV312" s="46"/>
    </row>
    <row r="313" spans="1:48" x14ac:dyDescent="0.25">
      <c r="A313" s="12">
        <v>5937</v>
      </c>
      <c r="B313" s="13" t="s">
        <v>310</v>
      </c>
      <c r="C313" s="14">
        <v>126555.07</v>
      </c>
      <c r="D313" s="14">
        <v>8125.58</v>
      </c>
      <c r="E313" s="14"/>
      <c r="F313" s="14"/>
      <c r="G313" s="14">
        <v>-378.4</v>
      </c>
      <c r="H313" s="14">
        <v>64.150000000000006</v>
      </c>
      <c r="I313" s="14"/>
      <c r="J313" s="14">
        <v>5563.94</v>
      </c>
      <c r="K313" s="14"/>
      <c r="L313" s="14">
        <v>10179.9</v>
      </c>
      <c r="M313" s="3">
        <f t="shared" si="12"/>
        <v>150110.24</v>
      </c>
      <c r="N313" s="14"/>
      <c r="O313" s="14"/>
      <c r="P313" s="14"/>
      <c r="Q313" s="14">
        <v>353.47</v>
      </c>
      <c r="R313" s="14"/>
      <c r="S313" s="14"/>
      <c r="T313" s="14"/>
      <c r="U313" s="14">
        <v>1400</v>
      </c>
      <c r="V313" s="14"/>
      <c r="W313" s="14"/>
      <c r="X313" s="2">
        <f t="shared" si="13"/>
        <v>151863.71</v>
      </c>
      <c r="Y313" s="14"/>
      <c r="Z313" s="14"/>
      <c r="AA313" s="14">
        <v>14700</v>
      </c>
      <c r="AB313" s="14"/>
      <c r="AC313" s="14">
        <v>5336</v>
      </c>
      <c r="AD313" s="14"/>
      <c r="AE313" s="14"/>
      <c r="AF313" s="14"/>
      <c r="AG313" s="14"/>
      <c r="AH313" s="14"/>
      <c r="AI313" s="14"/>
      <c r="AJ313" s="14"/>
      <c r="AK313" s="14"/>
      <c r="AL313" s="48">
        <f t="shared" si="14"/>
        <v>20036</v>
      </c>
      <c r="AM313" s="22">
        <v>70</v>
      </c>
      <c r="AN313" s="14">
        <v>135</v>
      </c>
      <c r="AO313" s="14">
        <v>-5795.97</v>
      </c>
      <c r="AP313" s="14"/>
      <c r="AQ313" s="14">
        <v>-2.09</v>
      </c>
      <c r="AR313" s="44">
        <v>0.7</v>
      </c>
      <c r="AU313" s="46"/>
      <c r="AV313" s="46"/>
    </row>
    <row r="314" spans="1:48" x14ac:dyDescent="0.25">
      <c r="A314" s="12">
        <v>5938</v>
      </c>
      <c r="B314" s="13" t="s">
        <v>178</v>
      </c>
      <c r="C314" s="14">
        <v>43365912.770000003</v>
      </c>
      <c r="D314" s="14">
        <v>4341486.7</v>
      </c>
      <c r="E314" s="14"/>
      <c r="F314" s="14"/>
      <c r="G314" s="14">
        <v>5510414.25</v>
      </c>
      <c r="H314" s="14">
        <v>334773.05</v>
      </c>
      <c r="I314" s="14">
        <v>54045.85</v>
      </c>
      <c r="J314" s="14">
        <v>1978267.83</v>
      </c>
      <c r="K314" s="14">
        <v>482717</v>
      </c>
      <c r="L314" s="14">
        <v>3809221.55</v>
      </c>
      <c r="M314" s="3">
        <f t="shared" si="12"/>
        <v>59876839</v>
      </c>
      <c r="N314" s="14">
        <v>3351601.5</v>
      </c>
      <c r="O314" s="14">
        <v>1090768.3999999999</v>
      </c>
      <c r="P314" s="14">
        <v>2050380.1</v>
      </c>
      <c r="Q314" s="14">
        <v>420276.52</v>
      </c>
      <c r="R314" s="14">
        <v>692489.6</v>
      </c>
      <c r="S314" s="14">
        <v>3850</v>
      </c>
      <c r="T314" s="14"/>
      <c r="U314" s="14">
        <v>55125</v>
      </c>
      <c r="V314" s="14"/>
      <c r="W314" s="14"/>
      <c r="X314" s="2">
        <f t="shared" si="13"/>
        <v>67541330.120000005</v>
      </c>
      <c r="Y314" s="14">
        <v>916717</v>
      </c>
      <c r="Z314" s="14"/>
      <c r="AA314" s="14">
        <v>4280052</v>
      </c>
      <c r="AB314" s="14">
        <v>1153249</v>
      </c>
      <c r="AC314" s="14">
        <v>99363</v>
      </c>
      <c r="AD314" s="14">
        <v>168730</v>
      </c>
      <c r="AE314" s="14"/>
      <c r="AF314" s="14"/>
      <c r="AG314" s="14">
        <v>244451</v>
      </c>
      <c r="AH314" s="14">
        <v>887566</v>
      </c>
      <c r="AI314" s="14">
        <v>812335</v>
      </c>
      <c r="AJ314" s="14">
        <v>760758</v>
      </c>
      <c r="AK314" s="14"/>
      <c r="AL314" s="48">
        <f>SUM(Y314:AK314)</f>
        <v>9323221</v>
      </c>
      <c r="AM314" s="22">
        <v>76.5</v>
      </c>
      <c r="AN314" s="14">
        <v>29308</v>
      </c>
      <c r="AO314" s="14">
        <v>-1257159.72</v>
      </c>
      <c r="AP314" s="14"/>
      <c r="AQ314" s="14">
        <v>-32443.69</v>
      </c>
      <c r="AR314" s="44">
        <v>1</v>
      </c>
      <c r="AU314" s="46"/>
      <c r="AV314" s="46"/>
    </row>
    <row r="315" spans="1:48" x14ac:dyDescent="0.25">
      <c r="A315" s="12">
        <v>5939</v>
      </c>
      <c r="B315" s="13" t="s">
        <v>177</v>
      </c>
      <c r="C315" s="25">
        <v>4949714.42</v>
      </c>
      <c r="D315" s="25">
        <v>445811.81</v>
      </c>
      <c r="E315" s="25"/>
      <c r="F315" s="25"/>
      <c r="G315" s="25">
        <v>441771.45</v>
      </c>
      <c r="H315" s="25">
        <v>16731.2</v>
      </c>
      <c r="I315" s="25"/>
      <c r="J315" s="25">
        <v>187787.51</v>
      </c>
      <c r="K315" s="25">
        <v>12870.5</v>
      </c>
      <c r="L315" s="25">
        <v>458687.55</v>
      </c>
      <c r="M315" s="3">
        <f t="shared" si="12"/>
        <v>6513374.4399999995</v>
      </c>
      <c r="N315" s="25">
        <v>187954.15</v>
      </c>
      <c r="O315" s="25">
        <v>92200.5</v>
      </c>
      <c r="P315" s="25">
        <v>252725.4</v>
      </c>
      <c r="Q315" s="25"/>
      <c r="R315" s="25">
        <v>100263.95</v>
      </c>
      <c r="S315" s="25">
        <v>1830</v>
      </c>
      <c r="T315" s="25"/>
      <c r="U315" s="25">
        <v>20550</v>
      </c>
      <c r="V315" s="25">
        <v>461</v>
      </c>
      <c r="W315" s="25"/>
      <c r="X315" s="2">
        <f t="shared" si="13"/>
        <v>7169359.4400000004</v>
      </c>
      <c r="Y315" s="25">
        <v>217186.4</v>
      </c>
      <c r="Z315" s="25"/>
      <c r="AA315" s="25">
        <v>649628.9</v>
      </c>
      <c r="AB315" s="25"/>
      <c r="AC315" s="25"/>
      <c r="AD315" s="25">
        <v>117216</v>
      </c>
      <c r="AE315" s="25"/>
      <c r="AF315" s="25"/>
      <c r="AG315" s="25">
        <v>9751.9500000000007</v>
      </c>
      <c r="AH315" s="25"/>
      <c r="AI315" s="25"/>
      <c r="AJ315" s="25"/>
      <c r="AK315" s="25"/>
      <c r="AL315" s="48">
        <f t="shared" si="14"/>
        <v>993783.25</v>
      </c>
      <c r="AM315" s="22">
        <v>73</v>
      </c>
      <c r="AN315" s="25">
        <v>3152</v>
      </c>
      <c r="AO315" s="25">
        <v>-72468.94</v>
      </c>
      <c r="AP315" s="25"/>
      <c r="AQ315" s="25">
        <v>-732.21</v>
      </c>
      <c r="AR315" s="44">
        <v>1</v>
      </c>
      <c r="AU315" s="46"/>
      <c r="AV315" s="46"/>
    </row>
    <row r="316" spans="1:48" x14ac:dyDescent="0.25">
      <c r="A316" s="11"/>
      <c r="B316" s="34">
        <f>COUNTA(B7:B315)</f>
        <v>309</v>
      </c>
      <c r="C316" s="15">
        <f t="shared" ref="C316:L316" si="15">SUM(C7:C315)</f>
        <v>1526349389.23</v>
      </c>
      <c r="D316" s="15">
        <f t="shared" si="15"/>
        <v>260947756.72999999</v>
      </c>
      <c r="E316" s="15">
        <f t="shared" si="15"/>
        <v>682404</v>
      </c>
      <c r="F316" s="15">
        <f t="shared" si="15"/>
        <v>106137.85</v>
      </c>
      <c r="G316" s="15">
        <f t="shared" si="15"/>
        <v>276832984.70999992</v>
      </c>
      <c r="H316" s="15">
        <f t="shared" si="15"/>
        <v>34827773.599999994</v>
      </c>
      <c r="I316" s="15">
        <f t="shared" si="15"/>
        <v>46416807.095000006</v>
      </c>
      <c r="J316" s="15">
        <f t="shared" si="15"/>
        <v>84543437.860000104</v>
      </c>
      <c r="K316" s="15">
        <f t="shared" si="15"/>
        <v>14511793.299999997</v>
      </c>
      <c r="L316" s="15">
        <f t="shared" si="15"/>
        <v>170937071.63000005</v>
      </c>
      <c r="M316" s="15">
        <f t="shared" ref="M316:AL316" si="16">SUM(M7:M315)</f>
        <v>2416155556.0050006</v>
      </c>
      <c r="N316" s="15">
        <f t="shared" si="16"/>
        <v>66364349.699999996</v>
      </c>
      <c r="O316" s="15">
        <f t="shared" si="16"/>
        <v>60162522.899999954</v>
      </c>
      <c r="P316" s="15">
        <f t="shared" si="16"/>
        <v>79691057.480000064</v>
      </c>
      <c r="Q316" s="15">
        <f t="shared" si="16"/>
        <v>11801586.810000006</v>
      </c>
      <c r="R316" s="15">
        <f t="shared" si="16"/>
        <v>59229955.100000001</v>
      </c>
      <c r="S316" s="15">
        <f t="shared" si="16"/>
        <v>334680.54999999993</v>
      </c>
      <c r="T316" s="15">
        <f t="shared" si="16"/>
        <v>485337.64999999997</v>
      </c>
      <c r="U316" s="15">
        <f t="shared" si="16"/>
        <v>3145642.05</v>
      </c>
      <c r="V316" s="15">
        <f t="shared" si="16"/>
        <v>6276500.9700000007</v>
      </c>
      <c r="W316" s="15">
        <f t="shared" si="16"/>
        <v>429492.02</v>
      </c>
      <c r="X316" s="15">
        <f t="shared" si="16"/>
        <v>2704076681.2349958</v>
      </c>
      <c r="Y316" s="15">
        <f t="shared" si="16"/>
        <v>24999413.450000003</v>
      </c>
      <c r="Z316" s="15">
        <f t="shared" si="16"/>
        <v>2103564.2500000005</v>
      </c>
      <c r="AA316" s="15">
        <f t="shared" si="16"/>
        <v>97773540.480000049</v>
      </c>
      <c r="AB316" s="15">
        <f t="shared" si="16"/>
        <v>9663444.3699999992</v>
      </c>
      <c r="AC316" s="15">
        <f t="shared" si="16"/>
        <v>77753222.010000005</v>
      </c>
      <c r="AD316" s="15">
        <f t="shared" si="16"/>
        <v>24263295.379999992</v>
      </c>
      <c r="AE316" s="15">
        <f t="shared" si="16"/>
        <v>1550934.88</v>
      </c>
      <c r="AF316" s="15">
        <f t="shared" si="16"/>
        <v>122609.54999999999</v>
      </c>
      <c r="AG316" s="15">
        <f t="shared" si="16"/>
        <v>12409593.169999998</v>
      </c>
      <c r="AH316" s="15">
        <f t="shared" si="16"/>
        <v>21951552.000000007</v>
      </c>
      <c r="AI316" s="15">
        <f t="shared" si="16"/>
        <v>10645376.99</v>
      </c>
      <c r="AJ316" s="15">
        <f t="shared" si="16"/>
        <v>4075446.08</v>
      </c>
      <c r="AK316" s="15">
        <f t="shared" si="16"/>
        <v>2592818.2699999996</v>
      </c>
      <c r="AL316" s="49">
        <f t="shared" si="16"/>
        <v>289904810.88</v>
      </c>
      <c r="AM316" s="26"/>
      <c r="AN316" s="15">
        <f>SUM(AN7:AN315)</f>
        <v>767496</v>
      </c>
      <c r="AO316" s="15">
        <f>SUM(AO7:AO315)</f>
        <v>-35132717.890000008</v>
      </c>
      <c r="AP316" s="15">
        <f>SUM(AP7:AP315)</f>
        <v>-87182.15</v>
      </c>
      <c r="AQ316" s="15">
        <f>SUM(AQ7:AQ315)</f>
        <v>-1317067.7100000004</v>
      </c>
      <c r="AR316" s="45"/>
    </row>
    <row r="317" spans="1:48" x14ac:dyDescent="0.25">
      <c r="B317" s="16"/>
      <c r="AN317" s="20"/>
    </row>
    <row r="318" spans="1:48" x14ac:dyDescent="0.25">
      <c r="B318" s="17"/>
      <c r="AN318" s="16"/>
    </row>
    <row r="319" spans="1:48" x14ac:dyDescent="0.25">
      <c r="AM319" s="8"/>
      <c r="AN319" s="8"/>
      <c r="AR319" s="8"/>
    </row>
    <row r="321" spans="39:47" x14ac:dyDescent="0.25">
      <c r="AM321" s="8"/>
      <c r="AN321" s="8"/>
      <c r="AR321" s="8"/>
      <c r="AS321" s="8"/>
      <c r="AT321" s="8"/>
      <c r="AU321" s="8"/>
    </row>
  </sheetData>
  <protectedRanges>
    <protectedRange sqref="A7:L315 N7:W315 Y7:AK315 AM7:AQ315" name="Plage1"/>
  </protectedRanges>
  <mergeCells count="44">
    <mergeCell ref="AR4:AR6"/>
    <mergeCell ref="F4:F5"/>
    <mergeCell ref="K4:K5"/>
    <mergeCell ref="M4:M5"/>
    <mergeCell ref="Y4:Y5"/>
    <mergeCell ref="Z4:Z5"/>
    <mergeCell ref="X4:X5"/>
    <mergeCell ref="O4:O5"/>
    <mergeCell ref="P4:P5"/>
    <mergeCell ref="R4:R5"/>
    <mergeCell ref="T4:T5"/>
    <mergeCell ref="U4:U5"/>
    <mergeCell ref="V4:V5"/>
    <mergeCell ref="AA4:AA5"/>
    <mergeCell ref="AB4:AB5"/>
    <mergeCell ref="W4:W5"/>
    <mergeCell ref="A4:A6"/>
    <mergeCell ref="B4:B6"/>
    <mergeCell ref="Q4:Q6"/>
    <mergeCell ref="S4:S6"/>
    <mergeCell ref="L4:L5"/>
    <mergeCell ref="G4:G5"/>
    <mergeCell ref="H4:H5"/>
    <mergeCell ref="I4:I5"/>
    <mergeCell ref="J4:J5"/>
    <mergeCell ref="C4:C5"/>
    <mergeCell ref="D4:D5"/>
    <mergeCell ref="E4:E5"/>
    <mergeCell ref="N4:N5"/>
    <mergeCell ref="AC4:AC5"/>
    <mergeCell ref="AJ4:AJ6"/>
    <mergeCell ref="AI4:AI6"/>
    <mergeCell ref="AL4:AL5"/>
    <mergeCell ref="AM4:AM5"/>
    <mergeCell ref="AG4:AG5"/>
    <mergeCell ref="AD4:AD5"/>
    <mergeCell ref="AE4:AE5"/>
    <mergeCell ref="AF4:AF5"/>
    <mergeCell ref="AH4:AH6"/>
    <mergeCell ref="AN4:AN5"/>
    <mergeCell ref="AO4:AO6"/>
    <mergeCell ref="AQ4:AQ6"/>
    <mergeCell ref="AP4:AP6"/>
    <mergeCell ref="AK4:AK6"/>
  </mergeCells>
  <phoneticPr fontId="7" type="noConversion"/>
  <pageMargins left="0.78740157499999996" right="0.78740157499999996" top="0.984251969" bottom="0.984251969" header="0.4921259845" footer="0.4921259845"/>
  <pageSetup paperSize="9" scale="7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00B050"/>
  </sheetPr>
  <dimension ref="A1:AR325"/>
  <sheetViews>
    <sheetView zoomScaleNormal="100" workbookViewId="0">
      <pane ySplit="6" topLeftCell="A7" activePane="bottomLeft" state="frozen"/>
      <selection pane="bottomLeft" activeCell="G27" sqref="G27"/>
    </sheetView>
  </sheetViews>
  <sheetFormatPr baseColWidth="10" defaultColWidth="8.625" defaultRowHeight="15" x14ac:dyDescent="0.25"/>
  <cols>
    <col min="1" max="1" width="7.625" style="6" customWidth="1"/>
    <col min="2" max="2" width="20.375" style="18" bestFit="1" customWidth="1"/>
    <col min="3" max="3" width="15.875" style="18" hidden="1" customWidth="1"/>
    <col min="4" max="4" width="12.125" style="8" hidden="1" customWidth="1"/>
    <col min="5" max="5" width="9.125" style="18" hidden="1" customWidth="1"/>
    <col min="6" max="6" width="13.375" style="8" hidden="1" customWidth="1"/>
    <col min="7" max="7" width="18.375" style="18" bestFit="1" customWidth="1"/>
    <col min="8" max="8" width="10" style="8" hidden="1" customWidth="1"/>
    <col min="9" max="9" width="10.125" style="18" hidden="1" customWidth="1"/>
    <col min="10" max="10" width="16" style="18" hidden="1" customWidth="1"/>
    <col min="11" max="12" width="12.25" style="18" hidden="1" customWidth="1"/>
    <col min="13" max="13" width="13.375" style="18" hidden="1" customWidth="1"/>
    <col min="14" max="14" width="15.875" style="18" hidden="1" customWidth="1"/>
    <col min="15" max="15" width="13" style="18" hidden="1" customWidth="1"/>
    <col min="16" max="16" width="13.125" style="18" hidden="1" customWidth="1"/>
    <col min="17" max="17" width="8.625" style="18" customWidth="1"/>
    <col min="18" max="18" width="14.375" style="18" bestFit="1" customWidth="1"/>
    <col min="19" max="19" width="9.25" style="20" bestFit="1" customWidth="1"/>
    <col min="20" max="20" width="14.375" style="20" bestFit="1" customWidth="1"/>
    <col min="21" max="21" width="12.125" style="18" customWidth="1"/>
    <col min="22" max="22" width="13.5" style="18" hidden="1" customWidth="1"/>
    <col min="23" max="24" width="12.25" style="18" hidden="1" customWidth="1"/>
    <col min="25" max="26" width="12.125" style="18" hidden="1" customWidth="1"/>
    <col min="27" max="27" width="10.125" style="18" bestFit="1" customWidth="1"/>
    <col min="28" max="29" width="11.375" style="18" bestFit="1" customWidth="1"/>
    <col min="30" max="30" width="10.25" style="20" bestFit="1" customWidth="1"/>
    <col min="31" max="31" width="12.25" style="18" bestFit="1" customWidth="1"/>
    <col min="32" max="32" width="11.375" style="18" bestFit="1" customWidth="1"/>
    <col min="33" max="33" width="12.25" style="18" bestFit="1" customWidth="1"/>
    <col min="34" max="34" width="10.125" style="18" customWidth="1"/>
    <col min="35" max="36" width="12.25" style="18" bestFit="1" customWidth="1"/>
    <col min="37" max="37" width="11.25" style="18" bestFit="1" customWidth="1"/>
    <col min="38" max="38" width="10.25" style="18" bestFit="1" customWidth="1"/>
    <col min="39" max="40" width="12.25" style="18" bestFit="1" customWidth="1"/>
    <col min="41" max="41" width="12.125" style="18" bestFit="1" customWidth="1"/>
    <col min="42" max="42" width="14" style="18" bestFit="1" customWidth="1"/>
    <col min="43" max="43" width="11.875" style="18" bestFit="1" customWidth="1"/>
    <col min="44" max="44" width="8.625" style="18" customWidth="1"/>
    <col min="45" max="16384" width="8.625" style="18"/>
  </cols>
  <sheetData>
    <row r="1" spans="1:44" ht="21" x14ac:dyDescent="0.35">
      <c r="A1" s="35" t="s">
        <v>501</v>
      </c>
      <c r="B1" s="36"/>
      <c r="C1" s="36"/>
      <c r="E1" s="38"/>
      <c r="G1" s="6"/>
      <c r="H1" s="7"/>
      <c r="I1" s="6"/>
      <c r="J1" s="6"/>
      <c r="K1" s="6"/>
      <c r="L1" s="6"/>
      <c r="AC1" s="37"/>
    </row>
    <row r="2" spans="1:44" ht="21" x14ac:dyDescent="0.35">
      <c r="A2" s="35" t="str">
        <f>Paramètres!B5</f>
        <v>Acomptes 2017</v>
      </c>
      <c r="C2" s="35"/>
      <c r="E2" s="38"/>
      <c r="G2" s="39"/>
      <c r="H2" s="7"/>
      <c r="I2" s="6"/>
      <c r="J2" s="6"/>
      <c r="K2" s="6"/>
      <c r="L2" s="6"/>
      <c r="AC2" s="37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4" x14ac:dyDescent="0.25">
      <c r="A3" s="5"/>
      <c r="B3" s="6"/>
      <c r="C3" s="6"/>
      <c r="E3" s="38"/>
      <c r="G3" s="6"/>
      <c r="H3" s="7"/>
      <c r="I3" s="6"/>
      <c r="J3" s="6"/>
      <c r="K3" s="6"/>
      <c r="L3" s="6"/>
      <c r="O3" s="37"/>
    </row>
    <row r="4" spans="1:44" s="21" customFormat="1" ht="38.1" customHeight="1" x14ac:dyDescent="0.2">
      <c r="A4" s="408" t="s">
        <v>50</v>
      </c>
      <c r="B4" s="411" t="s">
        <v>119</v>
      </c>
      <c r="C4" s="399" t="s">
        <v>280</v>
      </c>
      <c r="D4" s="401" t="s">
        <v>275</v>
      </c>
      <c r="E4" s="414" t="s">
        <v>276</v>
      </c>
      <c r="F4" s="401" t="s">
        <v>277</v>
      </c>
      <c r="G4" s="399" t="s">
        <v>278</v>
      </c>
      <c r="H4" s="401" t="s">
        <v>288</v>
      </c>
      <c r="I4" s="399" t="s">
        <v>289</v>
      </c>
      <c r="J4" s="399" t="s">
        <v>290</v>
      </c>
      <c r="K4" s="399" t="s">
        <v>416</v>
      </c>
      <c r="L4" s="399" t="s">
        <v>417</v>
      </c>
      <c r="M4" s="399" t="s">
        <v>418</v>
      </c>
      <c r="N4" s="401" t="s">
        <v>452</v>
      </c>
      <c r="O4" s="399" t="s">
        <v>52</v>
      </c>
      <c r="P4" s="399" t="s">
        <v>419</v>
      </c>
      <c r="Q4" s="414" t="s">
        <v>560</v>
      </c>
      <c r="R4" s="424" t="s">
        <v>524</v>
      </c>
      <c r="S4" s="406" t="s">
        <v>90</v>
      </c>
      <c r="T4" s="424" t="s">
        <v>375</v>
      </c>
      <c r="U4" s="424" t="s">
        <v>504</v>
      </c>
      <c r="V4" s="399" t="s">
        <v>223</v>
      </c>
      <c r="W4" s="399" t="s">
        <v>224</v>
      </c>
      <c r="X4" s="399" t="s">
        <v>225</v>
      </c>
      <c r="Y4" s="421" t="s">
        <v>473</v>
      </c>
      <c r="Z4" s="399" t="s">
        <v>222</v>
      </c>
      <c r="AA4" s="399" t="s">
        <v>226</v>
      </c>
      <c r="AB4" s="399" t="s">
        <v>120</v>
      </c>
      <c r="AC4" s="399" t="s">
        <v>121</v>
      </c>
      <c r="AD4" s="406" t="s">
        <v>122</v>
      </c>
      <c r="AE4" s="399" t="s">
        <v>123</v>
      </c>
      <c r="AF4" s="399" t="s">
        <v>124</v>
      </c>
      <c r="AG4" s="399" t="s">
        <v>83</v>
      </c>
      <c r="AH4" s="399" t="s">
        <v>282</v>
      </c>
      <c r="AI4" s="399" t="s">
        <v>84</v>
      </c>
      <c r="AJ4" s="399" t="s">
        <v>85</v>
      </c>
      <c r="AK4" s="399" t="s">
        <v>502</v>
      </c>
      <c r="AL4" s="399" t="s">
        <v>87</v>
      </c>
      <c r="AM4" s="399" t="s">
        <v>88</v>
      </c>
      <c r="AN4" s="399" t="s">
        <v>459</v>
      </c>
      <c r="AO4" s="399" t="s">
        <v>460</v>
      </c>
      <c r="AP4" s="399" t="s">
        <v>461</v>
      </c>
      <c r="AQ4" s="399" t="s">
        <v>462</v>
      </c>
      <c r="AR4" s="399" t="s">
        <v>338</v>
      </c>
    </row>
    <row r="5" spans="1:44" s="21" customFormat="1" ht="38.1" customHeight="1" x14ac:dyDescent="0.2">
      <c r="A5" s="409"/>
      <c r="B5" s="412"/>
      <c r="C5" s="419"/>
      <c r="D5" s="402"/>
      <c r="E5" s="415"/>
      <c r="F5" s="402"/>
      <c r="G5" s="419"/>
      <c r="H5" s="403"/>
      <c r="I5" s="419"/>
      <c r="J5" s="419"/>
      <c r="K5" s="419"/>
      <c r="L5" s="419"/>
      <c r="M5" s="419"/>
      <c r="N5" s="402"/>
      <c r="O5" s="420"/>
      <c r="P5" s="419"/>
      <c r="Q5" s="415"/>
      <c r="R5" s="425"/>
      <c r="S5" s="407"/>
      <c r="T5" s="425"/>
      <c r="U5" s="426"/>
      <c r="V5" s="419"/>
      <c r="W5" s="419"/>
      <c r="X5" s="419"/>
      <c r="Y5" s="422"/>
      <c r="Z5" s="419"/>
      <c r="AA5" s="419"/>
      <c r="AB5" s="419"/>
      <c r="AC5" s="419"/>
      <c r="AD5" s="407"/>
      <c r="AE5" s="419"/>
      <c r="AF5" s="419"/>
      <c r="AG5" s="419"/>
      <c r="AH5" s="419"/>
      <c r="AI5" s="420"/>
      <c r="AJ5" s="420"/>
      <c r="AK5" s="420"/>
      <c r="AL5" s="420"/>
      <c r="AM5" s="419"/>
      <c r="AN5" s="420"/>
      <c r="AO5" s="420"/>
      <c r="AP5" s="420"/>
      <c r="AQ5" s="420"/>
      <c r="AR5" s="419"/>
    </row>
    <row r="6" spans="1:44" ht="14.25" customHeight="1" x14ac:dyDescent="0.25">
      <c r="A6" s="410"/>
      <c r="B6" s="413"/>
      <c r="C6" s="50" t="s">
        <v>281</v>
      </c>
      <c r="D6" s="403"/>
      <c r="E6" s="416"/>
      <c r="F6" s="403"/>
      <c r="G6" s="50" t="s">
        <v>279</v>
      </c>
      <c r="H6" s="27" t="s">
        <v>91</v>
      </c>
      <c r="I6" s="28" t="s">
        <v>92</v>
      </c>
      <c r="J6" s="28" t="s">
        <v>93</v>
      </c>
      <c r="K6" s="50" t="s">
        <v>94</v>
      </c>
      <c r="L6" s="28" t="s">
        <v>95</v>
      </c>
      <c r="M6" s="28" t="s">
        <v>96</v>
      </c>
      <c r="N6" s="403"/>
      <c r="O6" s="419"/>
      <c r="P6" s="28" t="s">
        <v>97</v>
      </c>
      <c r="Q6" s="416"/>
      <c r="R6" s="426"/>
      <c r="S6" s="51">
        <f>Paramètres!B8</f>
        <v>2015</v>
      </c>
      <c r="T6" s="426"/>
      <c r="U6" s="267" t="str">
        <f>Paramètres!B5</f>
        <v>Acomptes 2017</v>
      </c>
      <c r="V6" s="28" t="s">
        <v>100</v>
      </c>
      <c r="W6" s="28" t="s">
        <v>101</v>
      </c>
      <c r="X6" s="28" t="s">
        <v>102</v>
      </c>
      <c r="Y6" s="423"/>
      <c r="Z6" s="50" t="s">
        <v>99</v>
      </c>
      <c r="AA6" s="50" t="s">
        <v>103</v>
      </c>
      <c r="AB6" s="28" t="s">
        <v>104</v>
      </c>
      <c r="AC6" s="28" t="s">
        <v>105</v>
      </c>
      <c r="AD6" s="30" t="s">
        <v>106</v>
      </c>
      <c r="AE6" s="50" t="s">
        <v>108</v>
      </c>
      <c r="AF6" s="28" t="s">
        <v>109</v>
      </c>
      <c r="AG6" s="28" t="s">
        <v>110</v>
      </c>
      <c r="AH6" s="28" t="s">
        <v>111</v>
      </c>
      <c r="AI6" s="419"/>
      <c r="AJ6" s="419"/>
      <c r="AK6" s="419"/>
      <c r="AL6" s="419"/>
      <c r="AM6" s="28" t="s">
        <v>292</v>
      </c>
      <c r="AN6" s="419"/>
      <c r="AO6" s="419"/>
      <c r="AP6" s="419"/>
      <c r="AQ6" s="419"/>
      <c r="AR6" s="33">
        <f>Paramètres!B7</f>
        <v>40907</v>
      </c>
    </row>
    <row r="7" spans="1:44" x14ac:dyDescent="0.25">
      <c r="A7" s="12">
        <f>'A) Base RI'!A7</f>
        <v>5401</v>
      </c>
      <c r="B7" s="42" t="str">
        <f>'A) Base RI'!B7</f>
        <v>Aigle</v>
      </c>
      <c r="C7" s="14">
        <f>'A) Base RI'!C7+'A) Base RI'!D7</f>
        <v>12697997.91</v>
      </c>
      <c r="D7" s="14">
        <f>'A) Base RI'!AO7</f>
        <v>-531955.15</v>
      </c>
      <c r="E7" s="41">
        <f>'A) Base RI'!AP7</f>
        <v>0</v>
      </c>
      <c r="F7" s="41">
        <f>'A) Base RI'!AQ7</f>
        <v>-1201.55</v>
      </c>
      <c r="G7" s="4">
        <f>SUM(C7:F7)</f>
        <v>12164841.209999999</v>
      </c>
      <c r="H7" s="14">
        <f>'A) Base RI'!E7</f>
        <v>0</v>
      </c>
      <c r="I7" s="14">
        <f>'A) Base RI'!F7</f>
        <v>0</v>
      </c>
      <c r="J7" s="14">
        <f>'A) Base RI'!G7+'A) Base RI'!H7</f>
        <v>2821843.3499999996</v>
      </c>
      <c r="K7" s="14">
        <f>'A) Base RI'!I7</f>
        <v>-27502.85</v>
      </c>
      <c r="L7" s="14">
        <f>'A) Base RI'!J7</f>
        <v>836253</v>
      </c>
      <c r="M7" s="14">
        <f>'A) Base RI'!K7</f>
        <v>186509.5</v>
      </c>
      <c r="N7" s="14">
        <f>'A) Base RI'!Q7</f>
        <v>99123.66</v>
      </c>
      <c r="O7" s="14">
        <f>(P7/Q7)*1</f>
        <v>1525999.75</v>
      </c>
      <c r="P7" s="14">
        <f>'A) Base RI'!L7</f>
        <v>1831199.7</v>
      </c>
      <c r="Q7" s="44">
        <f>'A) Base RI'!AR7</f>
        <v>1.2</v>
      </c>
      <c r="R7" s="4">
        <f>SUM(G7:O7)</f>
        <v>17607067.619999997</v>
      </c>
      <c r="S7" s="43">
        <f>'A) Base RI'!AM7</f>
        <v>67.5</v>
      </c>
      <c r="T7" s="4">
        <f>(G7+H7+J7+K7+L7+N7)</f>
        <v>15894558.369999999</v>
      </c>
      <c r="U7" s="4">
        <f>R7/S7</f>
        <v>260845.44622222218</v>
      </c>
      <c r="V7" s="14">
        <f>'A) Base RI'!O7</f>
        <v>290666.40000000002</v>
      </c>
      <c r="W7" s="14">
        <f>'A) Base RI'!P7</f>
        <v>638931.6</v>
      </c>
      <c r="X7" s="14">
        <f>'A) Base RI'!R7</f>
        <v>159363.79999999999</v>
      </c>
      <c r="Y7" s="4">
        <f>SUM(V7:X7)</f>
        <v>1088961.8</v>
      </c>
      <c r="Z7" s="14">
        <f>'A) Base RI'!N7</f>
        <v>1028213.05</v>
      </c>
      <c r="AA7" s="14">
        <f>'A) Base RI'!S7+'A) Base RI'!T7</f>
        <v>71714.899999999994</v>
      </c>
      <c r="AB7" s="14">
        <f>'A) Base RI'!U7</f>
        <v>37350</v>
      </c>
      <c r="AC7" s="14">
        <f>'A) Base RI'!V7</f>
        <v>0</v>
      </c>
      <c r="AD7" s="14">
        <f>'A) Base RI'!W7</f>
        <v>0</v>
      </c>
      <c r="AE7" s="14">
        <f>'A) Base RI'!Y7</f>
        <v>381914.35</v>
      </c>
      <c r="AF7" s="14">
        <f>'A) Base RI'!Z7</f>
        <v>0</v>
      </c>
      <c r="AG7" s="14">
        <f>'A) Base RI'!AA7</f>
        <v>775571.75</v>
      </c>
      <c r="AH7" s="14">
        <f>'A) Base RI'!AB7</f>
        <v>0</v>
      </c>
      <c r="AI7" s="14">
        <f>'A) Base RI'!AC7</f>
        <v>1360216.85</v>
      </c>
      <c r="AJ7" s="14">
        <f>'A) Base RI'!AD7</f>
        <v>306665.65000000002</v>
      </c>
      <c r="AK7" s="14">
        <f>'A) Base RI'!AE7</f>
        <v>0</v>
      </c>
      <c r="AL7" s="14">
        <f>'A) Base RI'!AF7</f>
        <v>1118.1500000000001</v>
      </c>
      <c r="AM7" s="14">
        <f>'A) Base RI'!AG7</f>
        <v>36797.25</v>
      </c>
      <c r="AN7" s="14">
        <f>'A) Base RI'!AH7</f>
        <v>373437.45</v>
      </c>
      <c r="AO7" s="14">
        <f>'A) Base RI'!AI7</f>
        <v>0</v>
      </c>
      <c r="AP7" s="14">
        <f>'A) Base RI'!AJ7</f>
        <v>0</v>
      </c>
      <c r="AQ7" s="14">
        <f>'A) Base RI'!AK7</f>
        <v>212964.25</v>
      </c>
      <c r="AR7" s="14">
        <f>'A) Base RI'!AN7</f>
        <v>9757</v>
      </c>
    </row>
    <row r="8" spans="1:44" x14ac:dyDescent="0.25">
      <c r="A8" s="12">
        <f>'A) Base RI'!A8</f>
        <v>5402</v>
      </c>
      <c r="B8" s="42" t="str">
        <f>'A) Base RI'!B8</f>
        <v>Bex</v>
      </c>
      <c r="C8" s="14">
        <f>'A) Base RI'!C8+'A) Base RI'!D8</f>
        <v>9324562.620000001</v>
      </c>
      <c r="D8" s="14">
        <f>'A) Base RI'!AO8</f>
        <v>-398918.89</v>
      </c>
      <c r="E8" s="41">
        <f>'A) Base RI'!AP8</f>
        <v>0</v>
      </c>
      <c r="F8" s="41">
        <f>'A) Base RI'!AQ8</f>
        <v>-384.93</v>
      </c>
      <c r="G8" s="4">
        <f t="shared" ref="G8:G71" si="0">SUM(C8:F8)</f>
        <v>8925258.8000000007</v>
      </c>
      <c r="H8" s="14">
        <f>'A) Base RI'!E8</f>
        <v>0</v>
      </c>
      <c r="I8" s="14">
        <f>'A) Base RI'!F8</f>
        <v>0</v>
      </c>
      <c r="J8" s="14">
        <f>'A) Base RI'!G8+'A) Base RI'!H8</f>
        <v>1847293.6</v>
      </c>
      <c r="K8" s="14">
        <f>'A) Base RI'!I8</f>
        <v>95185.75</v>
      </c>
      <c r="L8" s="14">
        <f>'A) Base RI'!J8</f>
        <v>511249.4</v>
      </c>
      <c r="M8" s="14">
        <f>'A) Base RI'!K8</f>
        <v>88061</v>
      </c>
      <c r="N8" s="14">
        <f>'A) Base RI'!Q8</f>
        <v>148637</v>
      </c>
      <c r="O8" s="14">
        <f t="shared" ref="O8:O71" si="1">(P8/Q8)*1</f>
        <v>872568.5199999999</v>
      </c>
      <c r="P8" s="14">
        <f>'A) Base RI'!L8</f>
        <v>1090710.6499999999</v>
      </c>
      <c r="Q8" s="44">
        <f>'A) Base RI'!AR8</f>
        <v>1.25</v>
      </c>
      <c r="R8" s="4">
        <f t="shared" ref="R8:R71" si="2">SUM(G8:O8)</f>
        <v>12488254.07</v>
      </c>
      <c r="S8" s="43">
        <f>'A) Base RI'!AM8</f>
        <v>71</v>
      </c>
      <c r="T8" s="4">
        <f t="shared" ref="T8:T71" si="3">(G8+H8+J8+K8+L8+N8)</f>
        <v>11527624.550000001</v>
      </c>
      <c r="U8" s="4">
        <f t="shared" ref="U8:U71" si="4">R8/S8</f>
        <v>175890.90239436619</v>
      </c>
      <c r="V8" s="14">
        <f>'A) Base RI'!O8</f>
        <v>833825.1</v>
      </c>
      <c r="W8" s="14">
        <f>'A) Base RI'!P8</f>
        <v>595457.80000000005</v>
      </c>
      <c r="X8" s="14">
        <f>'A) Base RI'!R8</f>
        <v>297991.05</v>
      </c>
      <c r="Y8" s="4">
        <f t="shared" ref="Y8:Y71" si="5">SUM(V8:X8)</f>
        <v>1727273.95</v>
      </c>
      <c r="Z8" s="14">
        <f>'A) Base RI'!N8</f>
        <v>184714.75</v>
      </c>
      <c r="AA8" s="14">
        <f>'A) Base RI'!S8+'A) Base RI'!T8</f>
        <v>23731.25</v>
      </c>
      <c r="AB8" s="14">
        <f>'A) Base RI'!U8</f>
        <v>38050</v>
      </c>
      <c r="AC8" s="14">
        <f>'A) Base RI'!V8</f>
        <v>93979.15</v>
      </c>
      <c r="AD8" s="14">
        <f>'A) Base RI'!W8</f>
        <v>1766</v>
      </c>
      <c r="AE8" s="14">
        <f>'A) Base RI'!Y8</f>
        <v>41115.339999999997</v>
      </c>
      <c r="AF8" s="14">
        <f>'A) Base RI'!Z8</f>
        <v>162097.14000000001</v>
      </c>
      <c r="AG8" s="14">
        <f>'A) Base RI'!AA8</f>
        <v>1847085.15</v>
      </c>
      <c r="AH8" s="14">
        <f>'A) Base RI'!AB8</f>
        <v>0</v>
      </c>
      <c r="AI8" s="14">
        <f>'A) Base RI'!AC8</f>
        <v>925214.31</v>
      </c>
      <c r="AJ8" s="14">
        <f>'A) Base RI'!AD8</f>
        <v>166822.14000000001</v>
      </c>
      <c r="AK8" s="14">
        <f>'A) Base RI'!AE8</f>
        <v>0</v>
      </c>
      <c r="AL8" s="14">
        <f>'A) Base RI'!AF8</f>
        <v>0</v>
      </c>
      <c r="AM8" s="14">
        <f>'A) Base RI'!AG8</f>
        <v>91272.7</v>
      </c>
      <c r="AN8" s="14">
        <f>'A) Base RI'!AH8</f>
        <v>242834.5</v>
      </c>
      <c r="AO8" s="14">
        <f>'A) Base RI'!AI8</f>
        <v>0</v>
      </c>
      <c r="AP8" s="14">
        <f>'A) Base RI'!AJ8</f>
        <v>0</v>
      </c>
      <c r="AQ8" s="14">
        <f>'A) Base RI'!AK8</f>
        <v>0</v>
      </c>
      <c r="AR8" s="14">
        <f>'A) Base RI'!AN8</f>
        <v>7236</v>
      </c>
    </row>
    <row r="9" spans="1:44" x14ac:dyDescent="0.25">
      <c r="A9" s="12">
        <f>'A) Base RI'!A9</f>
        <v>5403</v>
      </c>
      <c r="B9" s="42" t="str">
        <f>'A) Base RI'!B9</f>
        <v>Chessel</v>
      </c>
      <c r="C9" s="14">
        <f>'A) Base RI'!C9+'A) Base RI'!D9</f>
        <v>559202.1</v>
      </c>
      <c r="D9" s="14">
        <f>'A) Base RI'!AO9</f>
        <v>-40245.81</v>
      </c>
      <c r="E9" s="41">
        <f>'A) Base RI'!AP9</f>
        <v>0</v>
      </c>
      <c r="F9" s="41">
        <f>'A) Base RI'!AQ9</f>
        <v>-8.34</v>
      </c>
      <c r="G9" s="4">
        <f t="shared" si="0"/>
        <v>518947.94999999995</v>
      </c>
      <c r="H9" s="14">
        <f>'A) Base RI'!E9</f>
        <v>0</v>
      </c>
      <c r="I9" s="14">
        <f>'A) Base RI'!F9</f>
        <v>0</v>
      </c>
      <c r="J9" s="14">
        <f>'A) Base RI'!G9+'A) Base RI'!H9</f>
        <v>11199.75</v>
      </c>
      <c r="K9" s="14">
        <f>'A) Base RI'!I9</f>
        <v>0</v>
      </c>
      <c r="L9" s="14">
        <f>'A) Base RI'!J9</f>
        <v>15318.17</v>
      </c>
      <c r="M9" s="14">
        <f>'A) Base RI'!K9</f>
        <v>1545.5</v>
      </c>
      <c r="N9" s="14">
        <f>'A) Base RI'!Q9</f>
        <v>30299.040000000001</v>
      </c>
      <c r="O9" s="14">
        <f t="shared" si="1"/>
        <v>52317.55</v>
      </c>
      <c r="P9" s="14">
        <f>'A) Base RI'!L9</f>
        <v>52317.55</v>
      </c>
      <c r="Q9" s="44">
        <f>'A) Base RI'!AR9</f>
        <v>1</v>
      </c>
      <c r="R9" s="4">
        <f t="shared" si="2"/>
        <v>629627.96000000008</v>
      </c>
      <c r="S9" s="43">
        <f>'A) Base RI'!AM9</f>
        <v>76</v>
      </c>
      <c r="T9" s="4">
        <f t="shared" si="3"/>
        <v>575764.91</v>
      </c>
      <c r="U9" s="4">
        <f t="shared" si="4"/>
        <v>8284.5784210526326</v>
      </c>
      <c r="V9" s="14">
        <f>'A) Base RI'!O9</f>
        <v>0</v>
      </c>
      <c r="W9" s="14">
        <f>'A) Base RI'!P9</f>
        <v>15609.85</v>
      </c>
      <c r="X9" s="14">
        <f>'A) Base RI'!R9</f>
        <v>10848.4</v>
      </c>
      <c r="Y9" s="4">
        <f t="shared" si="5"/>
        <v>26458.25</v>
      </c>
      <c r="Z9" s="14">
        <f>'A) Base RI'!N9</f>
        <v>6667.2</v>
      </c>
      <c r="AA9" s="14">
        <f>'A) Base RI'!S9+'A) Base RI'!T9</f>
        <v>43.75</v>
      </c>
      <c r="AB9" s="14">
        <f>'A) Base RI'!U9</f>
        <v>4800</v>
      </c>
      <c r="AC9" s="14">
        <f>'A) Base RI'!V9</f>
        <v>0</v>
      </c>
      <c r="AD9" s="14">
        <f>'A) Base RI'!W9</f>
        <v>0</v>
      </c>
      <c r="AE9" s="14">
        <f>'A) Base RI'!Y9</f>
        <v>139797</v>
      </c>
      <c r="AF9" s="14">
        <f>'A) Base RI'!Z9</f>
        <v>0</v>
      </c>
      <c r="AG9" s="14">
        <f>'A) Base RI'!AA9</f>
        <v>63573.4</v>
      </c>
      <c r="AH9" s="14">
        <f>'A) Base RI'!AB9</f>
        <v>0</v>
      </c>
      <c r="AI9" s="14">
        <f>'A) Base RI'!AC9</f>
        <v>33283.800000000003</v>
      </c>
      <c r="AJ9" s="14">
        <f>'A) Base RI'!AD9</f>
        <v>0</v>
      </c>
      <c r="AK9" s="14">
        <f>'A) Base RI'!AE9</f>
        <v>142553</v>
      </c>
      <c r="AL9" s="14">
        <f>'A) Base RI'!AF9</f>
        <v>0</v>
      </c>
      <c r="AM9" s="14">
        <f>'A) Base RI'!AG9</f>
        <v>28349.75</v>
      </c>
      <c r="AN9" s="14">
        <f>'A) Base RI'!AH9</f>
        <v>0</v>
      </c>
      <c r="AO9" s="14">
        <f>'A) Base RI'!AI9</f>
        <v>0</v>
      </c>
      <c r="AP9" s="14">
        <f>'A) Base RI'!AJ9</f>
        <v>0</v>
      </c>
      <c r="AQ9" s="14">
        <f>'A) Base RI'!AK9</f>
        <v>0</v>
      </c>
      <c r="AR9" s="14">
        <f>'A) Base RI'!AN9</f>
        <v>396</v>
      </c>
    </row>
    <row r="10" spans="1:44" x14ac:dyDescent="0.25">
      <c r="A10" s="12">
        <f>'A) Base RI'!A10</f>
        <v>5404</v>
      </c>
      <c r="B10" s="42" t="str">
        <f>'A) Base RI'!B10</f>
        <v>Corbeyrier</v>
      </c>
      <c r="C10" s="14">
        <f>'A) Base RI'!C10+'A) Base RI'!D10</f>
        <v>608846.85</v>
      </c>
      <c r="D10" s="14">
        <f>'A) Base RI'!AO10</f>
        <v>-8711.4599999999991</v>
      </c>
      <c r="E10" s="41">
        <f>'A) Base RI'!AP10</f>
        <v>0</v>
      </c>
      <c r="F10" s="41">
        <f>'A) Base RI'!AQ10</f>
        <v>-5.31</v>
      </c>
      <c r="G10" s="4">
        <f t="shared" si="0"/>
        <v>600130.07999999996</v>
      </c>
      <c r="H10" s="14">
        <f>'A) Base RI'!E10</f>
        <v>0</v>
      </c>
      <c r="I10" s="14">
        <f>'A) Base RI'!F10</f>
        <v>0</v>
      </c>
      <c r="J10" s="14">
        <f>'A) Base RI'!G10+'A) Base RI'!H10</f>
        <v>8739.1</v>
      </c>
      <c r="K10" s="14">
        <f>'A) Base RI'!I10</f>
        <v>0</v>
      </c>
      <c r="L10" s="14">
        <f>'A) Base RI'!J10</f>
        <v>11939.79</v>
      </c>
      <c r="M10" s="14">
        <f>'A) Base RI'!K10</f>
        <v>389.5</v>
      </c>
      <c r="N10" s="14">
        <f>'A) Base RI'!Q10</f>
        <v>5538.33</v>
      </c>
      <c r="O10" s="14">
        <f t="shared" si="1"/>
        <v>70896.400000000009</v>
      </c>
      <c r="P10" s="14">
        <f>'A) Base RI'!L10</f>
        <v>106344.6</v>
      </c>
      <c r="Q10" s="44">
        <f>'A) Base RI'!AR10</f>
        <v>1.5</v>
      </c>
      <c r="R10" s="4">
        <f t="shared" si="2"/>
        <v>697633.2</v>
      </c>
      <c r="S10" s="43">
        <f>'A) Base RI'!AM10</f>
        <v>70</v>
      </c>
      <c r="T10" s="4">
        <f t="shared" si="3"/>
        <v>626347.29999999993</v>
      </c>
      <c r="U10" s="4">
        <f t="shared" si="4"/>
        <v>9966.1885714285709</v>
      </c>
      <c r="V10" s="14">
        <f>'A) Base RI'!O10</f>
        <v>24388.3</v>
      </c>
      <c r="W10" s="14">
        <f>'A) Base RI'!P10</f>
        <v>44530</v>
      </c>
      <c r="X10" s="14">
        <f>'A) Base RI'!R10</f>
        <v>19160.2</v>
      </c>
      <c r="Y10" s="4">
        <f t="shared" si="5"/>
        <v>88078.5</v>
      </c>
      <c r="Z10" s="14">
        <f>'A) Base RI'!N10</f>
        <v>11807.3</v>
      </c>
      <c r="AA10" s="14">
        <f>'A) Base RI'!S10+'A) Base RI'!T10</f>
        <v>0</v>
      </c>
      <c r="AB10" s="14">
        <f>'A) Base RI'!U10</f>
        <v>5800</v>
      </c>
      <c r="AC10" s="14">
        <f>'A) Base RI'!V10</f>
        <v>0</v>
      </c>
      <c r="AD10" s="14">
        <f>'A) Base RI'!W10</f>
        <v>0</v>
      </c>
      <c r="AE10" s="14">
        <f>'A) Base RI'!Y10</f>
        <v>13682</v>
      </c>
      <c r="AF10" s="14">
        <f>'A) Base RI'!Z10</f>
        <v>1875</v>
      </c>
      <c r="AG10" s="14">
        <f>'A) Base RI'!AA10</f>
        <v>109974.75</v>
      </c>
      <c r="AH10" s="14">
        <f>'A) Base RI'!AB10</f>
        <v>0</v>
      </c>
      <c r="AI10" s="14">
        <f>'A) Base RI'!AC10</f>
        <v>32424.5</v>
      </c>
      <c r="AJ10" s="14">
        <f>'A) Base RI'!AD10</f>
        <v>9121</v>
      </c>
      <c r="AK10" s="14">
        <f>'A) Base RI'!AE10</f>
        <v>1312.95</v>
      </c>
      <c r="AL10" s="14">
        <f>'A) Base RI'!AF10</f>
        <v>0</v>
      </c>
      <c r="AM10" s="14">
        <f>'A) Base RI'!AG10</f>
        <v>6091.2</v>
      </c>
      <c r="AN10" s="14">
        <f>'A) Base RI'!AH10</f>
        <v>11636.6</v>
      </c>
      <c r="AO10" s="14">
        <f>'A) Base RI'!AI10</f>
        <v>0</v>
      </c>
      <c r="AP10" s="14">
        <f>'A) Base RI'!AJ10</f>
        <v>0</v>
      </c>
      <c r="AQ10" s="14">
        <f>'A) Base RI'!AK10</f>
        <v>0</v>
      </c>
      <c r="AR10" s="14">
        <f>'A) Base RI'!AN10</f>
        <v>433</v>
      </c>
    </row>
    <row r="11" spans="1:44" x14ac:dyDescent="0.25">
      <c r="A11" s="12">
        <f>'A) Base RI'!A11</f>
        <v>5405</v>
      </c>
      <c r="B11" s="42" t="str">
        <f>'A) Base RI'!B11</f>
        <v>Gryon</v>
      </c>
      <c r="C11" s="14">
        <f>'A) Base RI'!C11+'A) Base RI'!D11</f>
        <v>4372807.0600000005</v>
      </c>
      <c r="D11" s="14">
        <f>'A) Base RI'!AO11</f>
        <v>-62900</v>
      </c>
      <c r="E11" s="41">
        <f>'A) Base RI'!AP11</f>
        <v>0</v>
      </c>
      <c r="F11" s="41">
        <f>'A) Base RI'!AQ11</f>
        <v>-244.57</v>
      </c>
      <c r="G11" s="4">
        <f t="shared" si="0"/>
        <v>4309662.49</v>
      </c>
      <c r="H11" s="14">
        <f>'A) Base RI'!E11</f>
        <v>0</v>
      </c>
      <c r="I11" s="14">
        <f>'A) Base RI'!F11</f>
        <v>0</v>
      </c>
      <c r="J11" s="14">
        <f>'A) Base RI'!G11+'A) Base RI'!H11</f>
        <v>50140.85</v>
      </c>
      <c r="K11" s="14">
        <f>'A) Base RI'!I11</f>
        <v>212553.56</v>
      </c>
      <c r="L11" s="14">
        <f>'A) Base RI'!J11</f>
        <v>122272.39</v>
      </c>
      <c r="M11" s="14">
        <f>'A) Base RI'!K11</f>
        <v>13950</v>
      </c>
      <c r="N11" s="14">
        <f>'A) Base RI'!Q11</f>
        <v>227424.25</v>
      </c>
      <c r="O11" s="14">
        <f t="shared" si="1"/>
        <v>478182</v>
      </c>
      <c r="P11" s="14">
        <f>'A) Base RI'!L11</f>
        <v>717273</v>
      </c>
      <c r="Q11" s="44">
        <f>'A) Base RI'!AR11</f>
        <v>1.5</v>
      </c>
      <c r="R11" s="4">
        <f t="shared" si="2"/>
        <v>5414185.5399999991</v>
      </c>
      <c r="S11" s="43">
        <f>'A) Base RI'!AM11</f>
        <v>75</v>
      </c>
      <c r="T11" s="4">
        <f t="shared" si="3"/>
        <v>4922053.5399999991</v>
      </c>
      <c r="U11" s="4">
        <f t="shared" si="4"/>
        <v>72189.140533333324</v>
      </c>
      <c r="V11" s="14">
        <f>'A) Base RI'!O11</f>
        <v>95035</v>
      </c>
      <c r="W11" s="14">
        <f>'A) Base RI'!P11</f>
        <v>349245</v>
      </c>
      <c r="X11" s="14">
        <f>'A) Base RI'!R11</f>
        <v>240426.45</v>
      </c>
      <c r="Y11" s="4">
        <f t="shared" si="5"/>
        <v>684706.45</v>
      </c>
      <c r="Z11" s="14">
        <f>'A) Base RI'!N11</f>
        <v>0</v>
      </c>
      <c r="AA11" s="14">
        <f>'A) Base RI'!S11+'A) Base RI'!T11</f>
        <v>5587</v>
      </c>
      <c r="AB11" s="14">
        <f>'A) Base RI'!U11</f>
        <v>9110</v>
      </c>
      <c r="AC11" s="14">
        <f>'A) Base RI'!V11</f>
        <v>942</v>
      </c>
      <c r="AD11" s="14">
        <f>'A) Base RI'!W11</f>
        <v>0</v>
      </c>
      <c r="AE11" s="14">
        <f>'A) Base RI'!Y11</f>
        <v>49704.5</v>
      </c>
      <c r="AF11" s="14">
        <f>'A) Base RI'!Z11</f>
        <v>0</v>
      </c>
      <c r="AG11" s="14">
        <f>'A) Base RI'!AA11</f>
        <v>170093.6</v>
      </c>
      <c r="AH11" s="14">
        <f>'A) Base RI'!AB11</f>
        <v>0</v>
      </c>
      <c r="AI11" s="14">
        <f>'A) Base RI'!AC11</f>
        <v>405997.45</v>
      </c>
      <c r="AJ11" s="14">
        <f>'A) Base RI'!AD11</f>
        <v>144147.29999999999</v>
      </c>
      <c r="AK11" s="14">
        <f>'A) Base RI'!AE11</f>
        <v>0</v>
      </c>
      <c r="AL11" s="14">
        <f>'A) Base RI'!AF11</f>
        <v>0</v>
      </c>
      <c r="AM11" s="14">
        <f>'A) Base RI'!AG11</f>
        <v>0</v>
      </c>
      <c r="AN11" s="14">
        <f>'A) Base RI'!AH11</f>
        <v>0</v>
      </c>
      <c r="AO11" s="14">
        <f>'A) Base RI'!AI11</f>
        <v>0</v>
      </c>
      <c r="AP11" s="14">
        <f>'A) Base RI'!AJ11</f>
        <v>0</v>
      </c>
      <c r="AQ11" s="14">
        <f>'A) Base RI'!AK11</f>
        <v>0</v>
      </c>
      <c r="AR11" s="14">
        <f>'A) Base RI'!AN11</f>
        <v>1265</v>
      </c>
    </row>
    <row r="12" spans="1:44" x14ac:dyDescent="0.25">
      <c r="A12" s="12">
        <f>'A) Base RI'!A12</f>
        <v>5406</v>
      </c>
      <c r="B12" s="42" t="str">
        <f>'A) Base RI'!B12</f>
        <v>Lavey-Morcles</v>
      </c>
      <c r="C12" s="14">
        <f>'A) Base RI'!C12+'A) Base RI'!D12</f>
        <v>1107009.05</v>
      </c>
      <c r="D12" s="14">
        <f>'A) Base RI'!AO12</f>
        <v>-20255.080000000002</v>
      </c>
      <c r="E12" s="41">
        <f>'A) Base RI'!AP12</f>
        <v>0</v>
      </c>
      <c r="F12" s="41">
        <f>'A) Base RI'!AQ12</f>
        <v>-24.06</v>
      </c>
      <c r="G12" s="4">
        <f t="shared" si="0"/>
        <v>1086729.9099999999</v>
      </c>
      <c r="H12" s="14">
        <f>'A) Base RI'!E12</f>
        <v>0</v>
      </c>
      <c r="I12" s="14">
        <f>'A) Base RI'!F12</f>
        <v>0</v>
      </c>
      <c r="J12" s="14">
        <f>'A) Base RI'!G12+'A) Base RI'!H12</f>
        <v>128373.25</v>
      </c>
      <c r="K12" s="14">
        <f>'A) Base RI'!I12</f>
        <v>0</v>
      </c>
      <c r="L12" s="14">
        <f>'A) Base RI'!J12</f>
        <v>53715.4</v>
      </c>
      <c r="M12" s="14">
        <f>'A) Base RI'!K12</f>
        <v>3797</v>
      </c>
      <c r="N12" s="14">
        <f>'A) Base RI'!Q12</f>
        <v>3110.77</v>
      </c>
      <c r="O12" s="14">
        <f t="shared" si="1"/>
        <v>132306.53846153847</v>
      </c>
      <c r="P12" s="14">
        <f>'A) Base RI'!L12</f>
        <v>171998.5</v>
      </c>
      <c r="Q12" s="44">
        <f>'A) Base RI'!AR12</f>
        <v>1.3</v>
      </c>
      <c r="R12" s="4">
        <f t="shared" si="2"/>
        <v>1408032.8684615383</v>
      </c>
      <c r="S12" s="43">
        <f>'A) Base RI'!AM12</f>
        <v>71</v>
      </c>
      <c r="T12" s="4">
        <f t="shared" si="3"/>
        <v>1271929.3299999998</v>
      </c>
      <c r="U12" s="4">
        <f t="shared" si="4"/>
        <v>19831.448851570964</v>
      </c>
      <c r="V12" s="14">
        <f>'A) Base RI'!O12</f>
        <v>2376.5</v>
      </c>
      <c r="W12" s="14">
        <f>'A) Base RI'!P12</f>
        <v>43542.8</v>
      </c>
      <c r="X12" s="14">
        <f>'A) Base RI'!R12</f>
        <v>38223.85</v>
      </c>
      <c r="Y12" s="4">
        <f t="shared" si="5"/>
        <v>84143.15</v>
      </c>
      <c r="Z12" s="14">
        <f>'A) Base RI'!N12</f>
        <v>0</v>
      </c>
      <c r="AA12" s="14">
        <f>'A) Base RI'!S12+'A) Base RI'!T12</f>
        <v>156.25</v>
      </c>
      <c r="AB12" s="14">
        <f>'A) Base RI'!U12</f>
        <v>6830</v>
      </c>
      <c r="AC12" s="14">
        <f>'A) Base RI'!V12</f>
        <v>208959</v>
      </c>
      <c r="AD12" s="14">
        <f>'A) Base RI'!W12</f>
        <v>0</v>
      </c>
      <c r="AE12" s="14">
        <f>'A) Base RI'!Y12</f>
        <v>17706.599999999999</v>
      </c>
      <c r="AF12" s="14">
        <f>'A) Base RI'!Z12</f>
        <v>0</v>
      </c>
      <c r="AG12" s="14">
        <f>'A) Base RI'!AA12</f>
        <v>246822.8</v>
      </c>
      <c r="AH12" s="14">
        <f>'A) Base RI'!AB12</f>
        <v>0</v>
      </c>
      <c r="AI12" s="14">
        <f>'A) Base RI'!AC12</f>
        <v>145184.95000000001</v>
      </c>
      <c r="AJ12" s="14">
        <f>'A) Base RI'!AD12</f>
        <v>10280.65</v>
      </c>
      <c r="AK12" s="14">
        <f>'A) Base RI'!AE12</f>
        <v>3976.15</v>
      </c>
      <c r="AL12" s="14">
        <f>'A) Base RI'!AF12</f>
        <v>0</v>
      </c>
      <c r="AM12" s="14">
        <f>'A) Base RI'!AG12</f>
        <v>38785</v>
      </c>
      <c r="AN12" s="14">
        <f>'A) Base RI'!AH12</f>
        <v>63645.09</v>
      </c>
      <c r="AO12" s="14">
        <f>'A) Base RI'!AI12</f>
        <v>0</v>
      </c>
      <c r="AP12" s="14">
        <f>'A) Base RI'!AJ12</f>
        <v>0</v>
      </c>
      <c r="AQ12" s="14">
        <f>'A) Base RI'!AK12</f>
        <v>0</v>
      </c>
      <c r="AR12" s="14">
        <f>'A) Base RI'!AN12</f>
        <v>907</v>
      </c>
    </row>
    <row r="13" spans="1:44" x14ac:dyDescent="0.25">
      <c r="A13" s="12">
        <f>'A) Base RI'!A13</f>
        <v>5407</v>
      </c>
      <c r="B13" s="42" t="str">
        <f>'A) Base RI'!B13</f>
        <v>Leysin</v>
      </c>
      <c r="C13" s="14">
        <f>'A) Base RI'!C13+'A) Base RI'!D13</f>
        <v>4501562.3</v>
      </c>
      <c r="D13" s="14">
        <f>'A) Base RI'!AO13</f>
        <v>-85383.679999999993</v>
      </c>
      <c r="E13" s="41">
        <f>'A) Base RI'!AP13</f>
        <v>0</v>
      </c>
      <c r="F13" s="41">
        <f>'A) Base RI'!AQ13</f>
        <v>-271.95</v>
      </c>
      <c r="G13" s="4">
        <f t="shared" si="0"/>
        <v>4415906.67</v>
      </c>
      <c r="H13" s="14">
        <f>'A) Base RI'!E13</f>
        <v>0</v>
      </c>
      <c r="I13" s="14">
        <f>'A) Base RI'!F13</f>
        <v>0</v>
      </c>
      <c r="J13" s="14">
        <f>'A) Base RI'!G13+'A) Base RI'!H13</f>
        <v>1784351.22</v>
      </c>
      <c r="K13" s="14">
        <f>'A) Base RI'!I13</f>
        <v>98001.08</v>
      </c>
      <c r="L13" s="14">
        <f>'A) Base RI'!J13</f>
        <v>923055.47</v>
      </c>
      <c r="M13" s="14">
        <f>'A) Base RI'!K13</f>
        <v>26714</v>
      </c>
      <c r="N13" s="14">
        <f>'A) Base RI'!Q13</f>
        <v>15048.95</v>
      </c>
      <c r="O13" s="14">
        <f t="shared" si="1"/>
        <v>755251.70000000007</v>
      </c>
      <c r="P13" s="14">
        <f>'A) Base RI'!L13</f>
        <v>1132877.55</v>
      </c>
      <c r="Q13" s="44">
        <f>'A) Base RI'!AR13</f>
        <v>1.5</v>
      </c>
      <c r="R13" s="4">
        <f t="shared" si="2"/>
        <v>8018329.0899999999</v>
      </c>
      <c r="S13" s="43">
        <f>'A) Base RI'!AM13</f>
        <v>78</v>
      </c>
      <c r="T13" s="4">
        <f t="shared" si="3"/>
        <v>7236363.3899999997</v>
      </c>
      <c r="U13" s="4">
        <f t="shared" si="4"/>
        <v>102799.09089743589</v>
      </c>
      <c r="V13" s="14">
        <f>'A) Base RI'!O13</f>
        <v>56827.5</v>
      </c>
      <c r="W13" s="14">
        <f>'A) Base RI'!P13</f>
        <v>361831.05</v>
      </c>
      <c r="X13" s="14">
        <f>'A) Base RI'!R13</f>
        <v>350162.75</v>
      </c>
      <c r="Y13" s="4">
        <f t="shared" si="5"/>
        <v>768821.3</v>
      </c>
      <c r="Z13" s="14">
        <f>'A) Base RI'!N13</f>
        <v>27734</v>
      </c>
      <c r="AA13" s="14">
        <f>'A) Base RI'!S13+'A) Base RI'!T13</f>
        <v>625</v>
      </c>
      <c r="AB13" s="14">
        <f>'A) Base RI'!U13</f>
        <v>22150</v>
      </c>
      <c r="AC13" s="14">
        <f>'A) Base RI'!V13</f>
        <v>12625.6</v>
      </c>
      <c r="AD13" s="14">
        <f>'A) Base RI'!W13</f>
        <v>540</v>
      </c>
      <c r="AE13" s="14">
        <f>'A) Base RI'!Y13</f>
        <v>362745.2</v>
      </c>
      <c r="AF13" s="14">
        <f>'A) Base RI'!Z13</f>
        <v>0</v>
      </c>
      <c r="AG13" s="14">
        <f>'A) Base RI'!AA13</f>
        <v>469808.25</v>
      </c>
      <c r="AH13" s="14">
        <f>'A) Base RI'!AB13</f>
        <v>0</v>
      </c>
      <c r="AI13" s="14">
        <f>'A) Base RI'!AC13</f>
        <v>508038.65</v>
      </c>
      <c r="AJ13" s="14">
        <f>'A) Base RI'!AD13</f>
        <v>365553.15</v>
      </c>
      <c r="AK13" s="14">
        <f>'A) Base RI'!AE13</f>
        <v>0</v>
      </c>
      <c r="AL13" s="14">
        <f>'A) Base RI'!AF13</f>
        <v>0</v>
      </c>
      <c r="AM13" s="14">
        <f>'A) Base RI'!AG13</f>
        <v>0</v>
      </c>
      <c r="AN13" s="14">
        <f>'A) Base RI'!AH13</f>
        <v>0</v>
      </c>
      <c r="AO13" s="14">
        <f>'A) Base RI'!AI13</f>
        <v>61747.75</v>
      </c>
      <c r="AP13" s="14">
        <f>'A) Base RI'!AJ13</f>
        <v>0</v>
      </c>
      <c r="AQ13" s="14">
        <f>'A) Base RI'!AK13</f>
        <v>0</v>
      </c>
      <c r="AR13" s="14">
        <f>'A) Base RI'!AN13</f>
        <v>4148</v>
      </c>
    </row>
    <row r="14" spans="1:44" x14ac:dyDescent="0.25">
      <c r="A14" s="12">
        <f>'A) Base RI'!A14</f>
        <v>5408</v>
      </c>
      <c r="B14" s="42" t="str">
        <f>'A) Base RI'!B14</f>
        <v>Noville</v>
      </c>
      <c r="C14" s="14">
        <f>'A) Base RI'!C14+'A) Base RI'!D14</f>
        <v>2159879.9300000002</v>
      </c>
      <c r="D14" s="14">
        <f>'A) Base RI'!AO14</f>
        <v>-22116.87</v>
      </c>
      <c r="E14" s="41">
        <f>'A) Base RI'!AP14</f>
        <v>0</v>
      </c>
      <c r="F14" s="41">
        <f>'A) Base RI'!AQ14</f>
        <v>-1251.8399999999999</v>
      </c>
      <c r="G14" s="4">
        <f t="shared" si="0"/>
        <v>2136511.2200000002</v>
      </c>
      <c r="H14" s="14">
        <f>'A) Base RI'!E14</f>
        <v>0</v>
      </c>
      <c r="I14" s="14">
        <f>'A) Base RI'!F14</f>
        <v>0</v>
      </c>
      <c r="J14" s="14">
        <f>'A) Base RI'!G14+'A) Base RI'!H14</f>
        <v>382976.4</v>
      </c>
      <c r="K14" s="14">
        <f>'A) Base RI'!I14</f>
        <v>0</v>
      </c>
      <c r="L14" s="14">
        <f>'A) Base RI'!J14</f>
        <v>51833.27</v>
      </c>
      <c r="M14" s="14">
        <f>'A) Base RI'!K14</f>
        <v>9338</v>
      </c>
      <c r="N14" s="14">
        <f>'A) Base RI'!Q14</f>
        <v>9494.74</v>
      </c>
      <c r="O14" s="14">
        <f t="shared" si="1"/>
        <v>137346.86666666667</v>
      </c>
      <c r="P14" s="14">
        <f>'A) Base RI'!L14</f>
        <v>206020.3</v>
      </c>
      <c r="Q14" s="44">
        <f>'A) Base RI'!AR14</f>
        <v>1.5</v>
      </c>
      <c r="R14" s="4">
        <f t="shared" si="2"/>
        <v>2727500.4966666671</v>
      </c>
      <c r="S14" s="43">
        <f>'A) Base RI'!AM14</f>
        <v>78.5</v>
      </c>
      <c r="T14" s="4">
        <f t="shared" si="3"/>
        <v>2580815.6300000004</v>
      </c>
      <c r="U14" s="4">
        <f t="shared" si="4"/>
        <v>34745.229256900217</v>
      </c>
      <c r="V14" s="14">
        <f>'A) Base RI'!O14</f>
        <v>0</v>
      </c>
      <c r="W14" s="14">
        <f>'A) Base RI'!P14</f>
        <v>170666.15</v>
      </c>
      <c r="X14" s="14">
        <f>'A) Base RI'!R14</f>
        <v>72440.100000000006</v>
      </c>
      <c r="Y14" s="4">
        <f t="shared" si="5"/>
        <v>243106.25</v>
      </c>
      <c r="Z14" s="14">
        <f>'A) Base RI'!N14</f>
        <v>71128.55</v>
      </c>
      <c r="AA14" s="14">
        <f>'A) Base RI'!S14+'A) Base RI'!T14</f>
        <v>250</v>
      </c>
      <c r="AB14" s="14">
        <f>'A) Base RI'!U14</f>
        <v>7250</v>
      </c>
      <c r="AC14" s="14">
        <f>'A) Base RI'!V14</f>
        <v>0</v>
      </c>
      <c r="AD14" s="14">
        <f>'A) Base RI'!W14</f>
        <v>0</v>
      </c>
      <c r="AE14" s="14">
        <f>'A) Base RI'!Y14</f>
        <v>130251.6</v>
      </c>
      <c r="AF14" s="14">
        <f>'A) Base RI'!Z14</f>
        <v>0</v>
      </c>
      <c r="AG14" s="14">
        <f>'A) Base RI'!AA14</f>
        <v>67897.75</v>
      </c>
      <c r="AH14" s="14">
        <f>'A) Base RI'!AB14</f>
        <v>0</v>
      </c>
      <c r="AI14" s="14">
        <f>'A) Base RI'!AC14</f>
        <v>95586.95</v>
      </c>
      <c r="AJ14" s="14">
        <f>'A) Base RI'!AD14</f>
        <v>93036.85</v>
      </c>
      <c r="AK14" s="14">
        <f>'A) Base RI'!AE14</f>
        <v>0</v>
      </c>
      <c r="AL14" s="14">
        <f>'A) Base RI'!AF14</f>
        <v>0</v>
      </c>
      <c r="AM14" s="14">
        <f>'A) Base RI'!AG14</f>
        <v>61188.5</v>
      </c>
      <c r="AN14" s="14">
        <f>'A) Base RI'!AH14</f>
        <v>0</v>
      </c>
      <c r="AO14" s="14">
        <f>'A) Base RI'!AI14</f>
        <v>0</v>
      </c>
      <c r="AP14" s="14">
        <f>'A) Base RI'!AJ14</f>
        <v>0</v>
      </c>
      <c r="AQ14" s="14">
        <f>'A) Base RI'!AK14</f>
        <v>0</v>
      </c>
      <c r="AR14" s="14">
        <f>'A) Base RI'!AN14</f>
        <v>1029</v>
      </c>
    </row>
    <row r="15" spans="1:44" x14ac:dyDescent="0.25">
      <c r="A15" s="12">
        <f>'A) Base RI'!A15</f>
        <v>5409</v>
      </c>
      <c r="B15" s="42" t="str">
        <f>'A) Base RI'!B15</f>
        <v>Ollon</v>
      </c>
      <c r="C15" s="14">
        <f>'A) Base RI'!C15+'A) Base RI'!D15</f>
        <v>18329652.600000001</v>
      </c>
      <c r="D15" s="14">
        <f>'A) Base RI'!AO15</f>
        <v>-253263.89</v>
      </c>
      <c r="E15" s="41">
        <f>'A) Base RI'!AP15</f>
        <v>0</v>
      </c>
      <c r="F15" s="41">
        <f>'A) Base RI'!AQ15</f>
        <v>-7511.16</v>
      </c>
      <c r="G15" s="4">
        <f t="shared" si="0"/>
        <v>18068877.550000001</v>
      </c>
      <c r="H15" s="14">
        <f>'A) Base RI'!E15</f>
        <v>0</v>
      </c>
      <c r="I15" s="14">
        <f>'A) Base RI'!F15</f>
        <v>0</v>
      </c>
      <c r="J15" s="14">
        <f>'A) Base RI'!G15+'A) Base RI'!H15</f>
        <v>1368704.5</v>
      </c>
      <c r="K15" s="14">
        <f>'A) Base RI'!I15</f>
        <v>9883603.2850000001</v>
      </c>
      <c r="L15" s="14">
        <f>'A) Base RI'!J15</f>
        <v>702969.16</v>
      </c>
      <c r="M15" s="14">
        <f>'A) Base RI'!K15</f>
        <v>107316.5</v>
      </c>
      <c r="N15" s="14">
        <f>'A) Base RI'!Q15</f>
        <v>102151.91</v>
      </c>
      <c r="O15" s="14">
        <f t="shared" si="1"/>
        <v>2771204.2307692305</v>
      </c>
      <c r="P15" s="14">
        <f>'A) Base RI'!L15</f>
        <v>3602565.5</v>
      </c>
      <c r="Q15" s="44">
        <f>'A) Base RI'!AR15</f>
        <v>1.3</v>
      </c>
      <c r="R15" s="4">
        <f t="shared" si="2"/>
        <v>33004827.135769233</v>
      </c>
      <c r="S15" s="43">
        <f>'A) Base RI'!AM15</f>
        <v>68</v>
      </c>
      <c r="T15" s="4">
        <f t="shared" si="3"/>
        <v>30126306.405000001</v>
      </c>
      <c r="U15" s="4">
        <f t="shared" si="4"/>
        <v>485365.10493778286</v>
      </c>
      <c r="V15" s="14">
        <f>'A) Base RI'!O15</f>
        <v>400000</v>
      </c>
      <c r="W15" s="14">
        <f>'A) Base RI'!P15</f>
        <v>1240857.3</v>
      </c>
      <c r="X15" s="14">
        <f>'A) Base RI'!R15</f>
        <v>1641376.3</v>
      </c>
      <c r="Y15" s="4">
        <f t="shared" si="5"/>
        <v>3282233.6</v>
      </c>
      <c r="Z15" s="14">
        <f>'A) Base RI'!N15</f>
        <v>49965.8</v>
      </c>
      <c r="AA15" s="14">
        <f>'A) Base RI'!S15+'A) Base RI'!T15</f>
        <v>20688.75</v>
      </c>
      <c r="AB15" s="14">
        <f>'A) Base RI'!U15</f>
        <v>43050</v>
      </c>
      <c r="AC15" s="14">
        <f>'A) Base RI'!V15</f>
        <v>0</v>
      </c>
      <c r="AD15" s="14">
        <f>'A) Base RI'!W15</f>
        <v>0</v>
      </c>
      <c r="AE15" s="14">
        <f>'A) Base RI'!Y15</f>
        <v>343761.25</v>
      </c>
      <c r="AF15" s="14">
        <f>'A) Base RI'!Z15</f>
        <v>22170</v>
      </c>
      <c r="AG15" s="14">
        <f>'A) Base RI'!AA15</f>
        <v>0</v>
      </c>
      <c r="AH15" s="14">
        <f>'A) Base RI'!AB15</f>
        <v>2364990.7999999998</v>
      </c>
      <c r="AI15" s="14">
        <f>'A) Base RI'!AC15</f>
        <v>1427342.17</v>
      </c>
      <c r="AJ15" s="14">
        <f>'A) Base RI'!AD15</f>
        <v>619631.75</v>
      </c>
      <c r="AK15" s="14">
        <f>'A) Base RI'!AE15</f>
        <v>42412.1</v>
      </c>
      <c r="AL15" s="14">
        <f>'A) Base RI'!AF15</f>
        <v>0</v>
      </c>
      <c r="AM15" s="14">
        <f>'A) Base RI'!AG15</f>
        <v>2840740.54</v>
      </c>
      <c r="AN15" s="14">
        <f>'A) Base RI'!AH15</f>
        <v>0</v>
      </c>
      <c r="AO15" s="14">
        <f>'A) Base RI'!AI15</f>
        <v>0</v>
      </c>
      <c r="AP15" s="14">
        <f>'A) Base RI'!AJ15</f>
        <v>0</v>
      </c>
      <c r="AQ15" s="14">
        <f>'A) Base RI'!AK15</f>
        <v>0</v>
      </c>
      <c r="AR15" s="14">
        <f>'A) Base RI'!AN15</f>
        <v>7419</v>
      </c>
    </row>
    <row r="16" spans="1:44" x14ac:dyDescent="0.25">
      <c r="A16" s="12">
        <f>'A) Base RI'!A16</f>
        <v>5410</v>
      </c>
      <c r="B16" s="42" t="str">
        <f>'A) Base RI'!B16</f>
        <v>Ormont-Dessous</v>
      </c>
      <c r="C16" s="14">
        <f>'A) Base RI'!C16+'A) Base RI'!D16</f>
        <v>2298837.7199999997</v>
      </c>
      <c r="D16" s="14">
        <f>'A) Base RI'!AO16</f>
        <v>-45257.27</v>
      </c>
      <c r="E16" s="41">
        <f>'A) Base RI'!AP16</f>
        <v>0</v>
      </c>
      <c r="F16" s="41">
        <f>'A) Base RI'!AQ16</f>
        <v>-86.41</v>
      </c>
      <c r="G16" s="4">
        <f t="shared" si="0"/>
        <v>2253494.0399999996</v>
      </c>
      <c r="H16" s="14">
        <f>'A) Base RI'!E16</f>
        <v>0</v>
      </c>
      <c r="I16" s="14">
        <f>'A) Base RI'!F16</f>
        <v>0</v>
      </c>
      <c r="J16" s="14">
        <f>'A) Base RI'!G16+'A) Base RI'!H16</f>
        <v>87047.6</v>
      </c>
      <c r="K16" s="14">
        <f>'A) Base RI'!I16</f>
        <v>0</v>
      </c>
      <c r="L16" s="14">
        <f>'A) Base RI'!J16</f>
        <v>81670.73</v>
      </c>
      <c r="M16" s="14">
        <f>'A) Base RI'!K16</f>
        <v>4859</v>
      </c>
      <c r="N16" s="14">
        <f>'A) Base RI'!Q16</f>
        <v>2828.42</v>
      </c>
      <c r="O16" s="14">
        <f t="shared" si="1"/>
        <v>335984.76666666666</v>
      </c>
      <c r="P16" s="14">
        <f>'A) Base RI'!L16</f>
        <v>503977.15</v>
      </c>
      <c r="Q16" s="44">
        <f>'A) Base RI'!AR16</f>
        <v>1.5</v>
      </c>
      <c r="R16" s="4">
        <f t="shared" si="2"/>
        <v>2765884.5566666662</v>
      </c>
      <c r="S16" s="43">
        <f>'A) Base RI'!AM16</f>
        <v>78.5</v>
      </c>
      <c r="T16" s="4">
        <f t="shared" si="3"/>
        <v>2425040.7899999996</v>
      </c>
      <c r="U16" s="4">
        <f t="shared" si="4"/>
        <v>35234.198174097655</v>
      </c>
      <c r="V16" s="14">
        <f>'A) Base RI'!O16</f>
        <v>114149.4</v>
      </c>
      <c r="W16" s="14">
        <f>'A) Base RI'!P16</f>
        <v>91259.8</v>
      </c>
      <c r="X16" s="14">
        <f>'A) Base RI'!R16</f>
        <v>122100.6</v>
      </c>
      <c r="Y16" s="4">
        <f t="shared" si="5"/>
        <v>327509.80000000005</v>
      </c>
      <c r="Z16" s="14">
        <f>'A) Base RI'!N16</f>
        <v>0</v>
      </c>
      <c r="AA16" s="14">
        <f>'A) Base RI'!S16+'A) Base RI'!T16</f>
        <v>8556.25</v>
      </c>
      <c r="AB16" s="14">
        <f>'A) Base RI'!U16</f>
        <v>18520</v>
      </c>
      <c r="AC16" s="14">
        <f>'A) Base RI'!V16</f>
        <v>3391.55</v>
      </c>
      <c r="AD16" s="14">
        <f>'A) Base RI'!W16</f>
        <v>0</v>
      </c>
      <c r="AE16" s="14">
        <f>'A) Base RI'!Y16</f>
        <v>100957.15</v>
      </c>
      <c r="AF16" s="14">
        <f>'A) Base RI'!Z16</f>
        <v>0</v>
      </c>
      <c r="AG16" s="14">
        <f>'A) Base RI'!AA16</f>
        <v>443683.3</v>
      </c>
      <c r="AH16" s="14">
        <f>'A) Base RI'!AB16</f>
        <v>0</v>
      </c>
      <c r="AI16" s="14">
        <f>'A) Base RI'!AC16</f>
        <v>308610.98</v>
      </c>
      <c r="AJ16" s="14">
        <f>'A) Base RI'!AD16</f>
        <v>39094.199999999997</v>
      </c>
      <c r="AK16" s="14">
        <f>'A) Base RI'!AE16</f>
        <v>0</v>
      </c>
      <c r="AL16" s="14">
        <f>'A) Base RI'!AF16</f>
        <v>0</v>
      </c>
      <c r="AM16" s="14">
        <f>'A) Base RI'!AG16</f>
        <v>297751.21000000002</v>
      </c>
      <c r="AN16" s="14">
        <f>'A) Base RI'!AH16</f>
        <v>62134.15</v>
      </c>
      <c r="AO16" s="14">
        <f>'A) Base RI'!AI16</f>
        <v>0</v>
      </c>
      <c r="AP16" s="14">
        <f>'A) Base RI'!AJ16</f>
        <v>35505.25</v>
      </c>
      <c r="AQ16" s="14">
        <f>'A) Base RI'!AK16</f>
        <v>0</v>
      </c>
      <c r="AR16" s="14">
        <f>'A) Base RI'!AN16</f>
        <v>1119</v>
      </c>
    </row>
    <row r="17" spans="1:44" x14ac:dyDescent="0.25">
      <c r="A17" s="12">
        <f>'A) Base RI'!A17</f>
        <v>5411</v>
      </c>
      <c r="B17" s="42" t="str">
        <f>'A) Base RI'!B17</f>
        <v>Ormont-Dessus</v>
      </c>
      <c r="C17" s="14">
        <f>'A) Base RI'!C17+'A) Base RI'!D17</f>
        <v>4272453.9399999995</v>
      </c>
      <c r="D17" s="14">
        <f>'A) Base RI'!AO17</f>
        <v>-65486.26</v>
      </c>
      <c r="E17" s="41">
        <f>'A) Base RI'!AP17</f>
        <v>0</v>
      </c>
      <c r="F17" s="41">
        <f>'A) Base RI'!AQ17</f>
        <v>-2640.09</v>
      </c>
      <c r="G17" s="4">
        <f t="shared" si="0"/>
        <v>4204327.59</v>
      </c>
      <c r="H17" s="14">
        <f>'A) Base RI'!E17</f>
        <v>0</v>
      </c>
      <c r="I17" s="14">
        <f>'A) Base RI'!F17</f>
        <v>0</v>
      </c>
      <c r="J17" s="14">
        <f>'A) Base RI'!G17+'A) Base RI'!H17</f>
        <v>149729.15</v>
      </c>
      <c r="K17" s="14">
        <f>'A) Base RI'!I17</f>
        <v>141919.69</v>
      </c>
      <c r="L17" s="14">
        <f>'A) Base RI'!J17</f>
        <v>152338.87</v>
      </c>
      <c r="M17" s="14">
        <f>'A) Base RI'!K17</f>
        <v>22011.5</v>
      </c>
      <c r="N17" s="14">
        <f>'A) Base RI'!Q17</f>
        <v>42592.22</v>
      </c>
      <c r="O17" s="14">
        <f t="shared" si="1"/>
        <v>743137.2333333334</v>
      </c>
      <c r="P17" s="14">
        <f>'A) Base RI'!L17</f>
        <v>1114705.8500000001</v>
      </c>
      <c r="Q17" s="44">
        <f>'A) Base RI'!AR17</f>
        <v>1.5</v>
      </c>
      <c r="R17" s="4">
        <f t="shared" si="2"/>
        <v>5456056.2533333339</v>
      </c>
      <c r="S17" s="43">
        <f>'A) Base RI'!AM17</f>
        <v>76</v>
      </c>
      <c r="T17" s="4">
        <f t="shared" si="3"/>
        <v>4690907.5200000005</v>
      </c>
      <c r="U17" s="4">
        <f t="shared" si="4"/>
        <v>71790.213859649128</v>
      </c>
      <c r="V17" s="14">
        <f>'A) Base RI'!O17</f>
        <v>33663.9</v>
      </c>
      <c r="W17" s="14">
        <f>'A) Base RI'!P17</f>
        <v>259857.75</v>
      </c>
      <c r="X17" s="14">
        <f>'A) Base RI'!R17</f>
        <v>219085.3</v>
      </c>
      <c r="Y17" s="4">
        <f t="shared" si="5"/>
        <v>512606.95</v>
      </c>
      <c r="Z17" s="14">
        <f>'A) Base RI'!N17</f>
        <v>4683.3</v>
      </c>
      <c r="AA17" s="14">
        <f>'A) Base RI'!S17+'A) Base RI'!T17</f>
        <v>1987.5</v>
      </c>
      <c r="AB17" s="14">
        <f>'A) Base RI'!U17</f>
        <v>8450</v>
      </c>
      <c r="AC17" s="14">
        <f>'A) Base RI'!V17</f>
        <v>0</v>
      </c>
      <c r="AD17" s="14">
        <f>'A) Base RI'!W17</f>
        <v>1676.65</v>
      </c>
      <c r="AE17" s="14">
        <f>'A) Base RI'!Y17</f>
        <v>41202</v>
      </c>
      <c r="AF17" s="14">
        <f>'A) Base RI'!Z17</f>
        <v>0</v>
      </c>
      <c r="AG17" s="14">
        <f>'A) Base RI'!AA17</f>
        <v>365077.8</v>
      </c>
      <c r="AH17" s="14">
        <f>'A) Base RI'!AB17</f>
        <v>0</v>
      </c>
      <c r="AI17" s="14">
        <f>'A) Base RI'!AC17</f>
        <v>270447.8</v>
      </c>
      <c r="AJ17" s="14">
        <f>'A) Base RI'!AD17</f>
        <v>96448</v>
      </c>
      <c r="AK17" s="14">
        <f>'A) Base RI'!AE17</f>
        <v>0</v>
      </c>
      <c r="AL17" s="14">
        <f>'A) Base RI'!AF17</f>
        <v>0</v>
      </c>
      <c r="AM17" s="14">
        <f>'A) Base RI'!AG17</f>
        <v>896544.65</v>
      </c>
      <c r="AN17" s="14">
        <f>'A) Base RI'!AH17</f>
        <v>99041.75</v>
      </c>
      <c r="AO17" s="14">
        <f>'A) Base RI'!AI17</f>
        <v>0</v>
      </c>
      <c r="AP17" s="14">
        <f>'A) Base RI'!AJ17</f>
        <v>0</v>
      </c>
      <c r="AQ17" s="14">
        <f>'A) Base RI'!AK17</f>
        <v>28297.65</v>
      </c>
      <c r="AR17" s="14">
        <f>'A) Base RI'!AN17</f>
        <v>1481</v>
      </c>
    </row>
    <row r="18" spans="1:44" x14ac:dyDescent="0.25">
      <c r="A18" s="12">
        <f>'A) Base RI'!A18</f>
        <v>5412</v>
      </c>
      <c r="B18" s="42" t="str">
        <f>'A) Base RI'!B18</f>
        <v>Rennaz</v>
      </c>
      <c r="C18" s="14">
        <f>'A) Base RI'!C18+'A) Base RI'!D18</f>
        <v>1281263.17</v>
      </c>
      <c r="D18" s="14">
        <f>'A) Base RI'!AO18</f>
        <v>-67217.5</v>
      </c>
      <c r="E18" s="41">
        <f>'A) Base RI'!AP18</f>
        <v>0</v>
      </c>
      <c r="F18" s="41">
        <f>'A) Base RI'!AQ18</f>
        <v>-30.57</v>
      </c>
      <c r="G18" s="4">
        <f t="shared" si="0"/>
        <v>1214015.0999999999</v>
      </c>
      <c r="H18" s="14">
        <f>'A) Base RI'!E18</f>
        <v>0</v>
      </c>
      <c r="I18" s="14">
        <f>'A) Base RI'!F18</f>
        <v>0</v>
      </c>
      <c r="J18" s="14">
        <f>'A) Base RI'!G18+'A) Base RI'!H18</f>
        <v>243549.65</v>
      </c>
      <c r="K18" s="14">
        <f>'A) Base RI'!I18</f>
        <v>21735.3</v>
      </c>
      <c r="L18" s="14">
        <f>'A) Base RI'!J18</f>
        <v>101351.14</v>
      </c>
      <c r="M18" s="14">
        <f>'A) Base RI'!K18</f>
        <v>15320.5</v>
      </c>
      <c r="N18" s="14">
        <f>'A) Base RI'!Q18</f>
        <v>14037.44</v>
      </c>
      <c r="O18" s="14">
        <f t="shared" si="1"/>
        <v>178858.3</v>
      </c>
      <c r="P18" s="14">
        <f>'A) Base RI'!L18</f>
        <v>178858.3</v>
      </c>
      <c r="Q18" s="44">
        <f>'A) Base RI'!AR18</f>
        <v>1</v>
      </c>
      <c r="R18" s="4">
        <f t="shared" si="2"/>
        <v>1788867.4299999997</v>
      </c>
      <c r="S18" s="43">
        <f>'A) Base RI'!AM18</f>
        <v>67.5</v>
      </c>
      <c r="T18" s="4">
        <f t="shared" si="3"/>
        <v>1594688.6299999997</v>
      </c>
      <c r="U18" s="4">
        <f t="shared" si="4"/>
        <v>26501.739703703701</v>
      </c>
      <c r="V18" s="14">
        <f>'A) Base RI'!O18</f>
        <v>0</v>
      </c>
      <c r="W18" s="14">
        <f>'A) Base RI'!P18</f>
        <v>53190.45</v>
      </c>
      <c r="X18" s="14">
        <f>'A) Base RI'!R18</f>
        <v>75144.899999999994</v>
      </c>
      <c r="Y18" s="4">
        <f t="shared" si="5"/>
        <v>128335.34999999999</v>
      </c>
      <c r="Z18" s="14">
        <f>'A) Base RI'!N18</f>
        <v>92887.85</v>
      </c>
      <c r="AA18" s="14">
        <f>'A) Base RI'!S18+'A) Base RI'!T18</f>
        <v>435</v>
      </c>
      <c r="AB18" s="14">
        <f>'A) Base RI'!U18</f>
        <v>3900</v>
      </c>
      <c r="AC18" s="14">
        <f>'A) Base RI'!V18</f>
        <v>0</v>
      </c>
      <c r="AD18" s="14">
        <f>'A) Base RI'!W18</f>
        <v>0</v>
      </c>
      <c r="AE18" s="14">
        <f>'A) Base RI'!Y18</f>
        <v>772595.32</v>
      </c>
      <c r="AF18" s="14">
        <f>'A) Base RI'!Z18</f>
        <v>0</v>
      </c>
      <c r="AG18" s="14">
        <f>'A) Base RI'!AA18</f>
        <v>148729.53</v>
      </c>
      <c r="AH18" s="14">
        <f>'A) Base RI'!AB18</f>
        <v>0</v>
      </c>
      <c r="AI18" s="14">
        <f>'A) Base RI'!AC18</f>
        <v>97869.2</v>
      </c>
      <c r="AJ18" s="14">
        <f>'A) Base RI'!AD18</f>
        <v>927114.29</v>
      </c>
      <c r="AK18" s="14">
        <f>'A) Base RI'!AE18</f>
        <v>0</v>
      </c>
      <c r="AL18" s="14">
        <f>'A) Base RI'!AF18</f>
        <v>0</v>
      </c>
      <c r="AM18" s="14">
        <f>'A) Base RI'!AG18</f>
        <v>643.5</v>
      </c>
      <c r="AN18" s="14">
        <f>'A) Base RI'!AH18</f>
        <v>46833.35</v>
      </c>
      <c r="AO18" s="14">
        <f>'A) Base RI'!AI18</f>
        <v>0</v>
      </c>
      <c r="AP18" s="14">
        <f>'A) Base RI'!AJ18</f>
        <v>0</v>
      </c>
      <c r="AQ18" s="14">
        <f>'A) Base RI'!AK18</f>
        <v>0</v>
      </c>
      <c r="AR18" s="14">
        <f>'A) Base RI'!AN18</f>
        <v>843</v>
      </c>
    </row>
    <row r="19" spans="1:44" x14ac:dyDescent="0.25">
      <c r="A19" s="12">
        <f>'A) Base RI'!A19</f>
        <v>5413</v>
      </c>
      <c r="B19" s="42" t="str">
        <f>'A) Base RI'!B19</f>
        <v>Roche</v>
      </c>
      <c r="C19" s="14">
        <f>'A) Base RI'!C19+'A) Base RI'!D19</f>
        <v>1714123.5</v>
      </c>
      <c r="D19" s="14">
        <f>'A) Base RI'!AO19</f>
        <v>-68557.78</v>
      </c>
      <c r="E19" s="41">
        <f>'A) Base RI'!AP19</f>
        <v>0</v>
      </c>
      <c r="F19" s="41">
        <f>'A) Base RI'!AQ19</f>
        <v>-36.96</v>
      </c>
      <c r="G19" s="4">
        <f t="shared" si="0"/>
        <v>1645528.76</v>
      </c>
      <c r="H19" s="14">
        <f>'A) Base RI'!E19</f>
        <v>0</v>
      </c>
      <c r="I19" s="14">
        <f>'A) Base RI'!F19</f>
        <v>0</v>
      </c>
      <c r="J19" s="14">
        <f>'A) Base RI'!G19+'A) Base RI'!H19</f>
        <v>377798.39999999997</v>
      </c>
      <c r="K19" s="14">
        <f>'A) Base RI'!I19</f>
        <v>0</v>
      </c>
      <c r="L19" s="14">
        <f>'A) Base RI'!J19</f>
        <v>110824.57</v>
      </c>
      <c r="M19" s="14">
        <f>'A) Base RI'!K19</f>
        <v>15694.5</v>
      </c>
      <c r="N19" s="14">
        <f>'A) Base RI'!Q19</f>
        <v>8373.2900000000009</v>
      </c>
      <c r="O19" s="14">
        <f t="shared" si="1"/>
        <v>212343.55</v>
      </c>
      <c r="P19" s="14">
        <f>'A) Base RI'!L19</f>
        <v>212343.55</v>
      </c>
      <c r="Q19" s="44">
        <f>'A) Base RI'!AR19</f>
        <v>1</v>
      </c>
      <c r="R19" s="4">
        <f t="shared" si="2"/>
        <v>2370563.0699999998</v>
      </c>
      <c r="S19" s="43">
        <f>'A) Base RI'!AM19</f>
        <v>68</v>
      </c>
      <c r="T19" s="4">
        <f t="shared" si="3"/>
        <v>2142525.02</v>
      </c>
      <c r="U19" s="4">
        <f t="shared" si="4"/>
        <v>34861.221617647054</v>
      </c>
      <c r="V19" s="14">
        <f>'A) Base RI'!O19</f>
        <v>12292.5</v>
      </c>
      <c r="W19" s="14">
        <f>'A) Base RI'!P19</f>
        <v>112157.65</v>
      </c>
      <c r="X19" s="14">
        <f>'A) Base RI'!R19</f>
        <v>91841.7</v>
      </c>
      <c r="Y19" s="4">
        <f t="shared" si="5"/>
        <v>216291.84999999998</v>
      </c>
      <c r="Z19" s="14">
        <f>'A) Base RI'!N19</f>
        <v>208419.15</v>
      </c>
      <c r="AA19" s="14">
        <f>'A) Base RI'!S19+'A) Base RI'!T19</f>
        <v>250</v>
      </c>
      <c r="AB19" s="14">
        <f>'A) Base RI'!U19</f>
        <v>11100</v>
      </c>
      <c r="AC19" s="14">
        <f>'A) Base RI'!V19</f>
        <v>0</v>
      </c>
      <c r="AD19" s="14">
        <f>'A) Base RI'!W19</f>
        <v>0</v>
      </c>
      <c r="AE19" s="14">
        <f>'A) Base RI'!Y19</f>
        <v>0</v>
      </c>
      <c r="AF19" s="14">
        <f>'A) Base RI'!Z19</f>
        <v>0</v>
      </c>
      <c r="AG19" s="14">
        <f>'A) Base RI'!AA19</f>
        <v>146967.95000000001</v>
      </c>
      <c r="AH19" s="14">
        <f>'A) Base RI'!AB19</f>
        <v>0</v>
      </c>
      <c r="AI19" s="14">
        <f>'A) Base RI'!AC19</f>
        <v>190610.94</v>
      </c>
      <c r="AJ19" s="14">
        <f>'A) Base RI'!AD19</f>
        <v>0</v>
      </c>
      <c r="AK19" s="14">
        <f>'A) Base RI'!AE19</f>
        <v>0</v>
      </c>
      <c r="AL19" s="14">
        <f>'A) Base RI'!AF19</f>
        <v>0</v>
      </c>
      <c r="AM19" s="14">
        <f>'A) Base RI'!AG19</f>
        <v>0</v>
      </c>
      <c r="AN19" s="14">
        <f>'A) Base RI'!AH19</f>
        <v>60847.9</v>
      </c>
      <c r="AO19" s="14">
        <f>'A) Base RI'!AI19</f>
        <v>17899.400000000001</v>
      </c>
      <c r="AP19" s="14">
        <f>'A) Base RI'!AJ19</f>
        <v>0</v>
      </c>
      <c r="AQ19" s="14">
        <f>'A) Base RI'!AK19</f>
        <v>0</v>
      </c>
      <c r="AR19" s="14">
        <f>'A) Base RI'!AN19</f>
        <v>1507</v>
      </c>
    </row>
    <row r="20" spans="1:44" x14ac:dyDescent="0.25">
      <c r="A20" s="12">
        <f>'A) Base RI'!A20</f>
        <v>5414</v>
      </c>
      <c r="B20" s="42" t="str">
        <f>'A) Base RI'!B20</f>
        <v>Villeneuve</v>
      </c>
      <c r="C20" s="14">
        <f>'A) Base RI'!C20+'A) Base RI'!D20</f>
        <v>8426714.5999999996</v>
      </c>
      <c r="D20" s="14">
        <f>'A) Base RI'!AO20</f>
        <v>-314336.40999999997</v>
      </c>
      <c r="E20" s="41">
        <f>'A) Base RI'!AP20</f>
        <v>0</v>
      </c>
      <c r="F20" s="41">
        <f>'A) Base RI'!AQ20</f>
        <v>-1617.66</v>
      </c>
      <c r="G20" s="4">
        <f t="shared" si="0"/>
        <v>8110760.5299999993</v>
      </c>
      <c r="H20" s="14">
        <f>'A) Base RI'!E20</f>
        <v>0</v>
      </c>
      <c r="I20" s="14">
        <f>'A) Base RI'!F20</f>
        <v>0</v>
      </c>
      <c r="J20" s="14">
        <f>'A) Base RI'!G20+'A) Base RI'!H20</f>
        <v>1781326.4</v>
      </c>
      <c r="K20" s="14">
        <f>'A) Base RI'!I20</f>
        <v>90368.1</v>
      </c>
      <c r="L20" s="14">
        <f>'A) Base RI'!J20</f>
        <v>507884.35</v>
      </c>
      <c r="M20" s="14">
        <f>'A) Base RI'!K20</f>
        <v>55146</v>
      </c>
      <c r="N20" s="14">
        <f>'A) Base RI'!Q20</f>
        <v>62919.24</v>
      </c>
      <c r="O20" s="14">
        <f t="shared" si="1"/>
        <v>984238.5</v>
      </c>
      <c r="P20" s="14">
        <f>'A) Base RI'!L20</f>
        <v>984238.5</v>
      </c>
      <c r="Q20" s="44">
        <f>'A) Base RI'!AR20</f>
        <v>1</v>
      </c>
      <c r="R20" s="4">
        <f t="shared" si="2"/>
        <v>11592643.119999999</v>
      </c>
      <c r="S20" s="43">
        <f>'A) Base RI'!AM20</f>
        <v>69</v>
      </c>
      <c r="T20" s="4">
        <f t="shared" si="3"/>
        <v>10553258.619999999</v>
      </c>
      <c r="U20" s="4">
        <f t="shared" si="4"/>
        <v>168009.32057971013</v>
      </c>
      <c r="V20" s="14">
        <f>'A) Base RI'!O20</f>
        <v>37804.9</v>
      </c>
      <c r="W20" s="14">
        <f>'A) Base RI'!P20</f>
        <v>943115.05</v>
      </c>
      <c r="X20" s="14">
        <f>'A) Base RI'!R20</f>
        <v>403483.55</v>
      </c>
      <c r="Y20" s="4">
        <f t="shared" si="5"/>
        <v>1384403.5</v>
      </c>
      <c r="Z20" s="14">
        <f>'A) Base RI'!N20</f>
        <v>772343.75</v>
      </c>
      <c r="AA20" s="14">
        <f>'A) Base RI'!S20+'A) Base RI'!T20</f>
        <v>9955</v>
      </c>
      <c r="AB20" s="14">
        <f>'A) Base RI'!U20</f>
        <v>27715</v>
      </c>
      <c r="AC20" s="14">
        <f>'A) Base RI'!V20</f>
        <v>3421.2</v>
      </c>
      <c r="AD20" s="14">
        <f>'A) Base RI'!W20</f>
        <v>0</v>
      </c>
      <c r="AE20" s="14">
        <f>'A) Base RI'!Y20</f>
        <v>75759.350000000006</v>
      </c>
      <c r="AF20" s="14">
        <f>'A) Base RI'!Z20</f>
        <v>0</v>
      </c>
      <c r="AG20" s="14">
        <f>'A) Base RI'!AA20</f>
        <v>1074841.6000000001</v>
      </c>
      <c r="AH20" s="14">
        <f>'A) Base RI'!AB20</f>
        <v>0</v>
      </c>
      <c r="AI20" s="14">
        <f>'A) Base RI'!AC20</f>
        <v>865058.55</v>
      </c>
      <c r="AJ20" s="14">
        <f>'A) Base RI'!AD20</f>
        <v>91217.15</v>
      </c>
      <c r="AK20" s="14">
        <f>'A) Base RI'!AE20</f>
        <v>0</v>
      </c>
      <c r="AL20" s="14">
        <f>'A) Base RI'!AF20</f>
        <v>0</v>
      </c>
      <c r="AM20" s="14">
        <f>'A) Base RI'!AG20</f>
        <v>82334</v>
      </c>
      <c r="AN20" s="14">
        <f>'A) Base RI'!AH20</f>
        <v>0</v>
      </c>
      <c r="AO20" s="14">
        <f>'A) Base RI'!AI20</f>
        <v>0</v>
      </c>
      <c r="AP20" s="14">
        <f>'A) Base RI'!AJ20</f>
        <v>0</v>
      </c>
      <c r="AQ20" s="14">
        <f>'A) Base RI'!AK20</f>
        <v>0</v>
      </c>
      <c r="AR20" s="14">
        <f>'A) Base RI'!AN20</f>
        <v>5428</v>
      </c>
    </row>
    <row r="21" spans="1:44" x14ac:dyDescent="0.25">
      <c r="A21" s="12">
        <f>'A) Base RI'!A21</f>
        <v>5415</v>
      </c>
      <c r="B21" s="42" t="str">
        <f>'A) Base RI'!B21</f>
        <v>Yvorne</v>
      </c>
      <c r="C21" s="14">
        <f>'A) Base RI'!C21+'A) Base RI'!D21</f>
        <v>2516551.56</v>
      </c>
      <c r="D21" s="14">
        <f>'A) Base RI'!AO21</f>
        <v>-28046.14</v>
      </c>
      <c r="E21" s="41">
        <f>'A) Base RI'!AP21</f>
        <v>0</v>
      </c>
      <c r="F21" s="41">
        <f>'A) Base RI'!AQ21</f>
        <v>-155.81</v>
      </c>
      <c r="G21" s="4">
        <f t="shared" si="0"/>
        <v>2488349.61</v>
      </c>
      <c r="H21" s="14">
        <f>'A) Base RI'!E21</f>
        <v>0</v>
      </c>
      <c r="I21" s="14">
        <f>'A) Base RI'!F21</f>
        <v>0</v>
      </c>
      <c r="J21" s="14">
        <f>'A) Base RI'!G21+'A) Base RI'!H21</f>
        <v>161884.65</v>
      </c>
      <c r="K21" s="14">
        <f>'A) Base RI'!I21</f>
        <v>0</v>
      </c>
      <c r="L21" s="14">
        <f>'A) Base RI'!J21</f>
        <v>60339.81</v>
      </c>
      <c r="M21" s="14">
        <f>'A) Base RI'!K21</f>
        <v>8071.5</v>
      </c>
      <c r="N21" s="14">
        <f>'A) Base RI'!Q21</f>
        <v>23438.63</v>
      </c>
      <c r="O21" s="14">
        <f t="shared" si="1"/>
        <v>207250</v>
      </c>
      <c r="P21" s="14">
        <f>'A) Base RI'!L21</f>
        <v>310875</v>
      </c>
      <c r="Q21" s="44">
        <f>'A) Base RI'!AR21</f>
        <v>1.5</v>
      </c>
      <c r="R21" s="4">
        <f t="shared" si="2"/>
        <v>2949334.1999999997</v>
      </c>
      <c r="S21" s="43">
        <f>'A) Base RI'!AM21</f>
        <v>68.5</v>
      </c>
      <c r="T21" s="4">
        <f t="shared" si="3"/>
        <v>2734012.6999999997</v>
      </c>
      <c r="U21" s="4">
        <f t="shared" si="4"/>
        <v>43055.973722627736</v>
      </c>
      <c r="V21" s="14">
        <f>'A) Base RI'!O21</f>
        <v>9303.7999999999993</v>
      </c>
      <c r="W21" s="14">
        <f>'A) Base RI'!P21</f>
        <v>76988.149999999994</v>
      </c>
      <c r="X21" s="14">
        <f>'A) Base RI'!R21</f>
        <v>42763.75</v>
      </c>
      <c r="Y21" s="4">
        <f t="shared" si="5"/>
        <v>129055.7</v>
      </c>
      <c r="Z21" s="14">
        <f>'A) Base RI'!N21</f>
        <v>38421.300000000003</v>
      </c>
      <c r="AA21" s="14">
        <f>'A) Base RI'!S21+'A) Base RI'!T21</f>
        <v>237.5</v>
      </c>
      <c r="AB21" s="14">
        <f>'A) Base RI'!U21</f>
        <v>7950</v>
      </c>
      <c r="AC21" s="14">
        <f>'A) Base RI'!V21</f>
        <v>0</v>
      </c>
      <c r="AD21" s="14">
        <f>'A) Base RI'!W21</f>
        <v>0</v>
      </c>
      <c r="AE21" s="14">
        <f>'A) Base RI'!Y21</f>
        <v>16415.7</v>
      </c>
      <c r="AF21" s="14">
        <f>'A) Base RI'!Z21</f>
        <v>0</v>
      </c>
      <c r="AG21" s="14">
        <f>'A) Base RI'!AA21</f>
        <v>130166.35</v>
      </c>
      <c r="AH21" s="14">
        <f>'A) Base RI'!AB21</f>
        <v>0</v>
      </c>
      <c r="AI21" s="14">
        <f>'A) Base RI'!AC21</f>
        <v>56476.85</v>
      </c>
      <c r="AJ21" s="14">
        <f>'A) Base RI'!AD21</f>
        <v>26387.25</v>
      </c>
      <c r="AK21" s="14">
        <f>'A) Base RI'!AE21</f>
        <v>0</v>
      </c>
      <c r="AL21" s="14">
        <f>'A) Base RI'!AF21</f>
        <v>0</v>
      </c>
      <c r="AM21" s="14">
        <f>'A) Base RI'!AG21</f>
        <v>29359</v>
      </c>
      <c r="AN21" s="14">
        <f>'A) Base RI'!AH21</f>
        <v>19400</v>
      </c>
      <c r="AO21" s="14">
        <f>'A) Base RI'!AI21</f>
        <v>0</v>
      </c>
      <c r="AP21" s="14">
        <f>'A) Base RI'!AJ21</f>
        <v>0</v>
      </c>
      <c r="AQ21" s="14">
        <f>'A) Base RI'!AK21</f>
        <v>19400</v>
      </c>
      <c r="AR21" s="14">
        <f>'A) Base RI'!AN21</f>
        <v>1032</v>
      </c>
    </row>
    <row r="22" spans="1:44" x14ac:dyDescent="0.25">
      <c r="A22" s="12">
        <f>'A) Base RI'!A22</f>
        <v>5421</v>
      </c>
      <c r="B22" s="42" t="str">
        <f>'A) Base RI'!B22</f>
        <v>Apples</v>
      </c>
      <c r="C22" s="14">
        <f>'A) Base RI'!C22+'A) Base RI'!D22</f>
        <v>3173314.41</v>
      </c>
      <c r="D22" s="14">
        <f>'A) Base RI'!AO22</f>
        <v>-7642.03</v>
      </c>
      <c r="E22" s="41">
        <f>'A) Base RI'!AP22</f>
        <v>0</v>
      </c>
      <c r="F22" s="41">
        <f>'A) Base RI'!AQ22</f>
        <v>-1369.52</v>
      </c>
      <c r="G22" s="4">
        <f t="shared" si="0"/>
        <v>3164302.8600000003</v>
      </c>
      <c r="H22" s="14">
        <f>'A) Base RI'!E22</f>
        <v>0</v>
      </c>
      <c r="I22" s="14">
        <f>'A) Base RI'!F22</f>
        <v>0</v>
      </c>
      <c r="J22" s="14">
        <f>'A) Base RI'!G22+'A) Base RI'!H22</f>
        <v>236617.9</v>
      </c>
      <c r="K22" s="14">
        <f>'A) Base RI'!I22</f>
        <v>163459.46</v>
      </c>
      <c r="L22" s="14">
        <f>'A) Base RI'!J22</f>
        <v>231686.48</v>
      </c>
      <c r="M22" s="14">
        <f>'A) Base RI'!K22</f>
        <v>7957.5</v>
      </c>
      <c r="N22" s="14">
        <f>'A) Base RI'!Q22</f>
        <v>13198.84</v>
      </c>
      <c r="O22" s="14">
        <f t="shared" si="1"/>
        <v>257587.05</v>
      </c>
      <c r="P22" s="14">
        <f>'A) Base RI'!L22</f>
        <v>257587.05</v>
      </c>
      <c r="Q22" s="44">
        <f>'A) Base RI'!AR22</f>
        <v>1</v>
      </c>
      <c r="R22" s="4">
        <f t="shared" si="2"/>
        <v>4074810.09</v>
      </c>
      <c r="S22" s="43">
        <f>'A) Base RI'!AM22</f>
        <v>71</v>
      </c>
      <c r="T22" s="4">
        <f t="shared" si="3"/>
        <v>3809265.54</v>
      </c>
      <c r="U22" s="4">
        <f t="shared" si="4"/>
        <v>57391.691408450701</v>
      </c>
      <c r="V22" s="14">
        <f>'A) Base RI'!O22</f>
        <v>266539.5</v>
      </c>
      <c r="W22" s="14">
        <f>'A) Base RI'!P22</f>
        <v>93963.6</v>
      </c>
      <c r="X22" s="14">
        <f>'A) Base RI'!R22</f>
        <v>232419.95</v>
      </c>
      <c r="Y22" s="4">
        <f t="shared" si="5"/>
        <v>592923.05000000005</v>
      </c>
      <c r="Z22" s="14">
        <f>'A) Base RI'!N22</f>
        <v>21306.2</v>
      </c>
      <c r="AA22" s="14">
        <f>'A) Base RI'!S22+'A) Base RI'!T22</f>
        <v>281.25</v>
      </c>
      <c r="AB22" s="14">
        <f>'A) Base RI'!U22</f>
        <v>8400</v>
      </c>
      <c r="AC22" s="14">
        <f>'A) Base RI'!V22</f>
        <v>0</v>
      </c>
      <c r="AD22" s="14">
        <f>'A) Base RI'!W22</f>
        <v>0</v>
      </c>
      <c r="AE22" s="14">
        <f>'A) Base RI'!Y22</f>
        <v>39416</v>
      </c>
      <c r="AF22" s="14">
        <f>'A) Base RI'!Z22</f>
        <v>0</v>
      </c>
      <c r="AG22" s="14">
        <f>'A) Base RI'!AA22</f>
        <v>341863.2</v>
      </c>
      <c r="AH22" s="14">
        <f>'A) Base RI'!AB22</f>
        <v>0</v>
      </c>
      <c r="AI22" s="14">
        <f>'A) Base RI'!AC22</f>
        <v>143890.74</v>
      </c>
      <c r="AJ22" s="14">
        <f>'A) Base RI'!AD22</f>
        <v>75296</v>
      </c>
      <c r="AK22" s="14">
        <f>'A) Base RI'!AE22</f>
        <v>0</v>
      </c>
      <c r="AL22" s="14">
        <f>'A) Base RI'!AF22</f>
        <v>0</v>
      </c>
      <c r="AM22" s="14">
        <f>'A) Base RI'!AG22</f>
        <v>0</v>
      </c>
      <c r="AN22" s="14">
        <f>'A) Base RI'!AH22</f>
        <v>0</v>
      </c>
      <c r="AO22" s="14">
        <f>'A) Base RI'!AI22</f>
        <v>0</v>
      </c>
      <c r="AP22" s="14">
        <f>'A) Base RI'!AJ22</f>
        <v>0</v>
      </c>
      <c r="AQ22" s="14">
        <f>'A) Base RI'!AK22</f>
        <v>0</v>
      </c>
      <c r="AR22" s="14">
        <f>'A) Base RI'!AN22</f>
        <v>1363</v>
      </c>
    </row>
    <row r="23" spans="1:44" x14ac:dyDescent="0.25">
      <c r="A23" s="12">
        <f>'A) Base RI'!A23</f>
        <v>5422</v>
      </c>
      <c r="B23" s="42" t="str">
        <f>'A) Base RI'!B23</f>
        <v>Aubonne</v>
      </c>
      <c r="C23" s="14">
        <f>'A) Base RI'!C23+'A) Base RI'!D23</f>
        <v>10806485.329999998</v>
      </c>
      <c r="D23" s="14">
        <f>'A) Base RI'!AO23</f>
        <v>-148490.84</v>
      </c>
      <c r="E23" s="41">
        <f>'A) Base RI'!AP23</f>
        <v>0</v>
      </c>
      <c r="F23" s="41">
        <f>'A) Base RI'!AQ23</f>
        <v>-723.34</v>
      </c>
      <c r="G23" s="4">
        <f t="shared" si="0"/>
        <v>10657271.149999999</v>
      </c>
      <c r="H23" s="14">
        <f>'A) Base RI'!E23</f>
        <v>0</v>
      </c>
      <c r="I23" s="14">
        <f>'A) Base RI'!F23</f>
        <v>0</v>
      </c>
      <c r="J23" s="14">
        <f>'A) Base RI'!G23+'A) Base RI'!H23</f>
        <v>3049950</v>
      </c>
      <c r="K23" s="14">
        <f>'A) Base RI'!I23</f>
        <v>290892.59999999998</v>
      </c>
      <c r="L23" s="14">
        <f>'A) Base RI'!J23</f>
        <v>762070.33</v>
      </c>
      <c r="M23" s="14">
        <f>'A) Base RI'!K23</f>
        <v>110832</v>
      </c>
      <c r="N23" s="14">
        <f>'A) Base RI'!Q23</f>
        <v>8857.01</v>
      </c>
      <c r="O23" s="14">
        <f t="shared" si="1"/>
        <v>865588.33</v>
      </c>
      <c r="P23" s="14">
        <f>'A) Base RI'!L23</f>
        <v>865588.33</v>
      </c>
      <c r="Q23" s="44">
        <f>'A) Base RI'!AR23</f>
        <v>1</v>
      </c>
      <c r="R23" s="4">
        <f t="shared" si="2"/>
        <v>15745461.419999998</v>
      </c>
      <c r="S23" s="43">
        <f>'A) Base RI'!AM23</f>
        <v>68</v>
      </c>
      <c r="T23" s="4">
        <f t="shared" si="3"/>
        <v>14769041.089999998</v>
      </c>
      <c r="U23" s="4">
        <f t="shared" si="4"/>
        <v>231550.9032352941</v>
      </c>
      <c r="V23" s="14">
        <f>'A) Base RI'!O23</f>
        <v>231155</v>
      </c>
      <c r="W23" s="14">
        <f>'A) Base RI'!P23</f>
        <v>429140.55</v>
      </c>
      <c r="X23" s="14">
        <f>'A) Base RI'!R23</f>
        <v>492714.65</v>
      </c>
      <c r="Y23" s="4">
        <f t="shared" si="5"/>
        <v>1153010.2000000002</v>
      </c>
      <c r="Z23" s="14">
        <f>'A) Base RI'!N23</f>
        <v>474225</v>
      </c>
      <c r="AA23" s="14">
        <f>'A) Base RI'!S23+'A) Base RI'!T23</f>
        <v>4300</v>
      </c>
      <c r="AB23" s="14">
        <f>'A) Base RI'!U23</f>
        <v>20200</v>
      </c>
      <c r="AC23" s="14">
        <f>'A) Base RI'!V23</f>
        <v>0</v>
      </c>
      <c r="AD23" s="14">
        <f>'A) Base RI'!W23</f>
        <v>0</v>
      </c>
      <c r="AE23" s="14">
        <f>'A) Base RI'!Y23</f>
        <v>214079.39</v>
      </c>
      <c r="AF23" s="14">
        <f>'A) Base RI'!Z23</f>
        <v>0</v>
      </c>
      <c r="AG23" s="14">
        <f>'A) Base RI'!AA23</f>
        <v>303572</v>
      </c>
      <c r="AH23" s="14">
        <f>'A) Base RI'!AB23</f>
        <v>0</v>
      </c>
      <c r="AI23" s="14">
        <f>'A) Base RI'!AC23</f>
        <v>242953.35</v>
      </c>
      <c r="AJ23" s="14">
        <f>'A) Base RI'!AD23</f>
        <v>198405.18</v>
      </c>
      <c r="AK23" s="14">
        <f>'A) Base RI'!AE23</f>
        <v>0</v>
      </c>
      <c r="AL23" s="14">
        <f>'A) Base RI'!AF23</f>
        <v>0</v>
      </c>
      <c r="AM23" s="14">
        <f>'A) Base RI'!AG23</f>
        <v>0</v>
      </c>
      <c r="AN23" s="14">
        <f>'A) Base RI'!AH23</f>
        <v>206325.7</v>
      </c>
      <c r="AO23" s="14">
        <f>'A) Base RI'!AI23</f>
        <v>0</v>
      </c>
      <c r="AP23" s="14">
        <f>'A) Base RI'!AJ23</f>
        <v>0</v>
      </c>
      <c r="AQ23" s="14">
        <f>'A) Base RI'!AK23</f>
        <v>0</v>
      </c>
      <c r="AR23" s="14">
        <f>'A) Base RI'!AN23</f>
        <v>3227</v>
      </c>
    </row>
    <row r="24" spans="1:44" x14ac:dyDescent="0.25">
      <c r="A24" s="12">
        <f>'A) Base RI'!A24</f>
        <v>5423</v>
      </c>
      <c r="B24" s="42" t="str">
        <f>'A) Base RI'!B24</f>
        <v>Ballens</v>
      </c>
      <c r="C24" s="14">
        <f>'A) Base RI'!C24+'A) Base RI'!D24</f>
        <v>1118268.6299999999</v>
      </c>
      <c r="D24" s="14">
        <f>'A) Base RI'!AO24</f>
        <v>-9074.1</v>
      </c>
      <c r="E24" s="41">
        <f>'A) Base RI'!AP24</f>
        <v>0</v>
      </c>
      <c r="F24" s="41">
        <f>'A) Base RI'!AQ24</f>
        <v>-215.88</v>
      </c>
      <c r="G24" s="4">
        <f t="shared" si="0"/>
        <v>1108978.6499999999</v>
      </c>
      <c r="H24" s="14">
        <f>'A) Base RI'!E24</f>
        <v>0</v>
      </c>
      <c r="I24" s="14">
        <f>'A) Base RI'!F24</f>
        <v>2720</v>
      </c>
      <c r="J24" s="14">
        <f>'A) Base RI'!G24+'A) Base RI'!H24</f>
        <v>45601.65</v>
      </c>
      <c r="K24" s="14">
        <f>'A) Base RI'!I24</f>
        <v>0</v>
      </c>
      <c r="L24" s="14">
        <f>'A) Base RI'!J24</f>
        <v>58066.400000000001</v>
      </c>
      <c r="M24" s="14">
        <f>'A) Base RI'!K24</f>
        <v>1801</v>
      </c>
      <c r="N24" s="14">
        <f>'A) Base RI'!Q24</f>
        <v>1198.76</v>
      </c>
      <c r="O24" s="14">
        <f t="shared" si="1"/>
        <v>71202.7</v>
      </c>
      <c r="P24" s="14">
        <f>'A) Base RI'!L24</f>
        <v>35601.35</v>
      </c>
      <c r="Q24" s="44">
        <f>'A) Base RI'!AR24</f>
        <v>0.5</v>
      </c>
      <c r="R24" s="4">
        <f t="shared" si="2"/>
        <v>1289569.1599999997</v>
      </c>
      <c r="S24" s="43">
        <f>'A) Base RI'!AM24</f>
        <v>69</v>
      </c>
      <c r="T24" s="4">
        <f t="shared" si="3"/>
        <v>1213845.4599999997</v>
      </c>
      <c r="U24" s="4">
        <f t="shared" si="4"/>
        <v>18689.408115942024</v>
      </c>
      <c r="V24" s="14">
        <f>'A) Base RI'!O24</f>
        <v>0</v>
      </c>
      <c r="W24" s="14">
        <f>'A) Base RI'!P24</f>
        <v>37579.300000000003</v>
      </c>
      <c r="X24" s="14">
        <f>'A) Base RI'!R24</f>
        <v>19948.400000000001</v>
      </c>
      <c r="Y24" s="4">
        <f t="shared" si="5"/>
        <v>57527.700000000004</v>
      </c>
      <c r="Z24" s="14">
        <f>'A) Base RI'!N24</f>
        <v>13307.25</v>
      </c>
      <c r="AA24" s="14">
        <f>'A) Base RI'!S24+'A) Base RI'!T24</f>
        <v>622.29999999999995</v>
      </c>
      <c r="AB24" s="14">
        <f>'A) Base RI'!U24</f>
        <v>1450</v>
      </c>
      <c r="AC24" s="14">
        <f>'A) Base RI'!V24</f>
        <v>0</v>
      </c>
      <c r="AD24" s="14">
        <f>'A) Base RI'!W24</f>
        <v>0</v>
      </c>
      <c r="AE24" s="14">
        <f>'A) Base RI'!Y24</f>
        <v>13795.9</v>
      </c>
      <c r="AF24" s="14">
        <f>'A) Base RI'!Z24</f>
        <v>0</v>
      </c>
      <c r="AG24" s="14">
        <f>'A) Base RI'!AA24</f>
        <v>150023.4</v>
      </c>
      <c r="AH24" s="14">
        <f>'A) Base RI'!AB24</f>
        <v>0</v>
      </c>
      <c r="AI24" s="14">
        <f>'A) Base RI'!AC24</f>
        <v>27118.799999999999</v>
      </c>
      <c r="AJ24" s="14">
        <f>'A) Base RI'!AD24</f>
        <v>0</v>
      </c>
      <c r="AK24" s="14">
        <f>'A) Base RI'!AE24</f>
        <v>0</v>
      </c>
      <c r="AL24" s="14">
        <f>'A) Base RI'!AF24</f>
        <v>0</v>
      </c>
      <c r="AM24" s="14">
        <f>'A) Base RI'!AG24</f>
        <v>0</v>
      </c>
      <c r="AN24" s="14">
        <f>'A) Base RI'!AH24</f>
        <v>13514.9</v>
      </c>
      <c r="AO24" s="14">
        <f>'A) Base RI'!AI24</f>
        <v>0</v>
      </c>
      <c r="AP24" s="14">
        <f>'A) Base RI'!AJ24</f>
        <v>0</v>
      </c>
      <c r="AQ24" s="14">
        <f>'A) Base RI'!AK24</f>
        <v>0</v>
      </c>
      <c r="AR24" s="14">
        <f>'A) Base RI'!AN24</f>
        <v>509</v>
      </c>
    </row>
    <row r="25" spans="1:44" x14ac:dyDescent="0.25">
      <c r="A25" s="12">
        <f>'A) Base RI'!A25</f>
        <v>5424</v>
      </c>
      <c r="B25" s="42" t="str">
        <f>'A) Base RI'!B25</f>
        <v>Berolle</v>
      </c>
      <c r="C25" s="14">
        <f>'A) Base RI'!C25+'A) Base RI'!D25</f>
        <v>676811.01</v>
      </c>
      <c r="D25" s="14">
        <f>'A) Base RI'!AO25</f>
        <v>-1354.9</v>
      </c>
      <c r="E25" s="41">
        <f>'A) Base RI'!AP25</f>
        <v>0</v>
      </c>
      <c r="F25" s="41">
        <f>'A) Base RI'!AQ25</f>
        <v>0</v>
      </c>
      <c r="G25" s="4">
        <f t="shared" si="0"/>
        <v>675456.11</v>
      </c>
      <c r="H25" s="14">
        <f>'A) Base RI'!E25</f>
        <v>0</v>
      </c>
      <c r="I25" s="14">
        <f>'A) Base RI'!F25</f>
        <v>0</v>
      </c>
      <c r="J25" s="14">
        <f>'A) Base RI'!G25+'A) Base RI'!H25</f>
        <v>1450.7</v>
      </c>
      <c r="K25" s="14">
        <f>'A) Base RI'!I25</f>
        <v>61279.6</v>
      </c>
      <c r="L25" s="14">
        <f>'A) Base RI'!J25</f>
        <v>-71905.960000000006</v>
      </c>
      <c r="M25" s="14">
        <f>'A) Base RI'!K25</f>
        <v>94.5</v>
      </c>
      <c r="N25" s="14">
        <f>'A) Base RI'!Q25</f>
        <v>6914.47</v>
      </c>
      <c r="O25" s="14">
        <f t="shared" si="1"/>
        <v>47440.3</v>
      </c>
      <c r="P25" s="14">
        <f>'A) Base RI'!L25</f>
        <v>47440.3</v>
      </c>
      <c r="Q25" s="44">
        <f>'A) Base RI'!AR25</f>
        <v>1</v>
      </c>
      <c r="R25" s="4">
        <f t="shared" si="2"/>
        <v>720729.72</v>
      </c>
      <c r="S25" s="43">
        <f>'A) Base RI'!AM25</f>
        <v>77</v>
      </c>
      <c r="T25" s="4">
        <f t="shared" si="3"/>
        <v>673194.91999999993</v>
      </c>
      <c r="U25" s="4">
        <f t="shared" si="4"/>
        <v>9360.1262337662338</v>
      </c>
      <c r="V25" s="14">
        <f>'A) Base RI'!O25</f>
        <v>11107.8</v>
      </c>
      <c r="W25" s="14">
        <f>'A) Base RI'!P25</f>
        <v>21070.5</v>
      </c>
      <c r="X25" s="14">
        <f>'A) Base RI'!R25</f>
        <v>19804.8</v>
      </c>
      <c r="Y25" s="4">
        <f t="shared" si="5"/>
        <v>51983.1</v>
      </c>
      <c r="Z25" s="14">
        <f>'A) Base RI'!N25</f>
        <v>0</v>
      </c>
      <c r="AA25" s="14">
        <f>'A) Base RI'!S25+'A) Base RI'!T25</f>
        <v>0</v>
      </c>
      <c r="AB25" s="14">
        <f>'A) Base RI'!U25</f>
        <v>1850</v>
      </c>
      <c r="AC25" s="14">
        <f>'A) Base RI'!V25</f>
        <v>0</v>
      </c>
      <c r="AD25" s="14">
        <f>'A) Base RI'!W25</f>
        <v>0</v>
      </c>
      <c r="AE25" s="14">
        <f>'A) Base RI'!Y25</f>
        <v>0</v>
      </c>
      <c r="AF25" s="14">
        <f>'A) Base RI'!Z25</f>
        <v>1150</v>
      </c>
      <c r="AG25" s="14">
        <f>'A) Base RI'!AA25</f>
        <v>42784.1</v>
      </c>
      <c r="AH25" s="14">
        <f>'A) Base RI'!AB25</f>
        <v>0</v>
      </c>
      <c r="AI25" s="14">
        <f>'A) Base RI'!AC25</f>
        <v>13348.5</v>
      </c>
      <c r="AJ25" s="14">
        <f>'A) Base RI'!AD25</f>
        <v>0</v>
      </c>
      <c r="AK25" s="14">
        <f>'A) Base RI'!AE25</f>
        <v>702.25</v>
      </c>
      <c r="AL25" s="14">
        <f>'A) Base RI'!AF25</f>
        <v>0</v>
      </c>
      <c r="AM25" s="14">
        <f>'A) Base RI'!AG25</f>
        <v>0</v>
      </c>
      <c r="AN25" s="14">
        <f>'A) Base RI'!AH25</f>
        <v>7206.3</v>
      </c>
      <c r="AO25" s="14">
        <f>'A) Base RI'!AI25</f>
        <v>0</v>
      </c>
      <c r="AP25" s="14">
        <f>'A) Base RI'!AJ25</f>
        <v>0</v>
      </c>
      <c r="AQ25" s="14">
        <f>'A) Base RI'!AK25</f>
        <v>0</v>
      </c>
      <c r="AR25" s="14">
        <f>'A) Base RI'!AN25</f>
        <v>292</v>
      </c>
    </row>
    <row r="26" spans="1:44" x14ac:dyDescent="0.25">
      <c r="A26" s="12">
        <f>'A) Base RI'!A26</f>
        <v>5425</v>
      </c>
      <c r="B26" s="42" t="str">
        <f>'A) Base RI'!B26</f>
        <v>Bière</v>
      </c>
      <c r="C26" s="14">
        <f>'A) Base RI'!C26+'A) Base RI'!D26</f>
        <v>2296964.5</v>
      </c>
      <c r="D26" s="14">
        <f>'A) Base RI'!AO26</f>
        <v>-63642.13</v>
      </c>
      <c r="E26" s="41">
        <f>'A) Base RI'!AP26</f>
        <v>0</v>
      </c>
      <c r="F26" s="41">
        <f>'A) Base RI'!AQ26</f>
        <v>-26.14</v>
      </c>
      <c r="G26" s="4">
        <f t="shared" si="0"/>
        <v>2233296.23</v>
      </c>
      <c r="H26" s="14">
        <f>'A) Base RI'!E26</f>
        <v>0</v>
      </c>
      <c r="I26" s="14">
        <f>'A) Base RI'!F26</f>
        <v>0</v>
      </c>
      <c r="J26" s="14">
        <f>'A) Base RI'!G26+'A) Base RI'!H26</f>
        <v>183257.5</v>
      </c>
      <c r="K26" s="14">
        <f>'A) Base RI'!I26</f>
        <v>0</v>
      </c>
      <c r="L26" s="14">
        <f>'A) Base RI'!J26</f>
        <v>122230.69</v>
      </c>
      <c r="M26" s="14">
        <f>'A) Base RI'!K26</f>
        <v>13657.5</v>
      </c>
      <c r="N26" s="14">
        <f>'A) Base RI'!Q26</f>
        <v>37100.15</v>
      </c>
      <c r="O26" s="14">
        <f t="shared" si="1"/>
        <v>184001.4</v>
      </c>
      <c r="P26" s="14">
        <f>'A) Base RI'!L26</f>
        <v>92000.7</v>
      </c>
      <c r="Q26" s="44">
        <f>'A) Base RI'!AR26</f>
        <v>0.5</v>
      </c>
      <c r="R26" s="4">
        <f t="shared" si="2"/>
        <v>2773543.4699999997</v>
      </c>
      <c r="S26" s="43">
        <f>'A) Base RI'!AM26</f>
        <v>68</v>
      </c>
      <c r="T26" s="4">
        <f t="shared" si="3"/>
        <v>2575884.5699999998</v>
      </c>
      <c r="U26" s="4">
        <f t="shared" si="4"/>
        <v>40787.403970588231</v>
      </c>
      <c r="V26" s="14">
        <f>'A) Base RI'!O26</f>
        <v>18861.900000000001</v>
      </c>
      <c r="W26" s="14">
        <f>'A) Base RI'!P26</f>
        <v>94742.35</v>
      </c>
      <c r="X26" s="14">
        <f>'A) Base RI'!R26</f>
        <v>93207.2</v>
      </c>
      <c r="Y26" s="4">
        <f t="shared" si="5"/>
        <v>206811.45</v>
      </c>
      <c r="Z26" s="14">
        <f>'A) Base RI'!N26</f>
        <v>37180.1</v>
      </c>
      <c r="AA26" s="14">
        <f>'A) Base RI'!S26+'A) Base RI'!T26</f>
        <v>1995</v>
      </c>
      <c r="AB26" s="14">
        <f>'A) Base RI'!U26</f>
        <v>11950</v>
      </c>
      <c r="AC26" s="14">
        <f>'A) Base RI'!V26</f>
        <v>8621.5499999999993</v>
      </c>
      <c r="AD26" s="14">
        <f>'A) Base RI'!W26</f>
        <v>0</v>
      </c>
      <c r="AE26" s="14">
        <f>'A) Base RI'!Y26</f>
        <v>8184.5</v>
      </c>
      <c r="AF26" s="14">
        <f>'A) Base RI'!Z26</f>
        <v>0</v>
      </c>
      <c r="AG26" s="14">
        <f>'A) Base RI'!AA26</f>
        <v>192210.5</v>
      </c>
      <c r="AH26" s="14">
        <f>'A) Base RI'!AB26</f>
        <v>0</v>
      </c>
      <c r="AI26" s="14">
        <f>'A) Base RI'!AC26</f>
        <v>0</v>
      </c>
      <c r="AJ26" s="14">
        <f>'A) Base RI'!AD26</f>
        <v>3448</v>
      </c>
      <c r="AK26" s="14">
        <f>'A) Base RI'!AE26</f>
        <v>0</v>
      </c>
      <c r="AL26" s="14">
        <f>'A) Base RI'!AF26</f>
        <v>0</v>
      </c>
      <c r="AM26" s="14">
        <f>'A) Base RI'!AG26</f>
        <v>0</v>
      </c>
      <c r="AN26" s="14">
        <f>'A) Base RI'!AH26</f>
        <v>58219.55</v>
      </c>
      <c r="AO26" s="14">
        <f>'A) Base RI'!AI26</f>
        <v>0</v>
      </c>
      <c r="AP26" s="14">
        <f>'A) Base RI'!AJ26</f>
        <v>0</v>
      </c>
      <c r="AQ26" s="14">
        <f>'A) Base RI'!AK26</f>
        <v>0</v>
      </c>
      <c r="AR26" s="14">
        <f>'A) Base RI'!AN26</f>
        <v>1550</v>
      </c>
    </row>
    <row r="27" spans="1:44" x14ac:dyDescent="0.25">
      <c r="A27" s="12">
        <f>'A) Base RI'!A27</f>
        <v>5426</v>
      </c>
      <c r="B27" s="42" t="str">
        <f>'A) Base RI'!B27</f>
        <v>Bougy-Villars</v>
      </c>
      <c r="C27" s="14">
        <f>'A) Base RI'!C27+'A) Base RI'!D27</f>
        <v>2067400.96</v>
      </c>
      <c r="D27" s="14">
        <f>'A) Base RI'!AO27</f>
        <v>-7181.72</v>
      </c>
      <c r="E27" s="41">
        <f>'A) Base RI'!AP27</f>
        <v>0</v>
      </c>
      <c r="F27" s="41">
        <f>'A) Base RI'!AQ27</f>
        <v>-857.8</v>
      </c>
      <c r="G27" s="4">
        <f t="shared" si="0"/>
        <v>2059361.44</v>
      </c>
      <c r="H27" s="14">
        <f>'A) Base RI'!E27</f>
        <v>0</v>
      </c>
      <c r="I27" s="14">
        <f>'A) Base RI'!F27</f>
        <v>0</v>
      </c>
      <c r="J27" s="14">
        <f>'A) Base RI'!G27+'A) Base RI'!H27</f>
        <v>61075.3</v>
      </c>
      <c r="K27" s="14">
        <f>'A) Base RI'!I27</f>
        <v>407014.2</v>
      </c>
      <c r="L27" s="14">
        <f>'A) Base RI'!J27</f>
        <v>-145747.32999999999</v>
      </c>
      <c r="M27" s="14">
        <f>'A) Base RI'!K27</f>
        <v>4426</v>
      </c>
      <c r="N27" s="14">
        <f>'A) Base RI'!Q27</f>
        <v>624.28</v>
      </c>
      <c r="O27" s="14">
        <f t="shared" si="1"/>
        <v>224280.15</v>
      </c>
      <c r="P27" s="14">
        <f>'A) Base RI'!L27</f>
        <v>224280.15</v>
      </c>
      <c r="Q27" s="44">
        <f>'A) Base RI'!AR27</f>
        <v>1</v>
      </c>
      <c r="R27" s="4">
        <f t="shared" si="2"/>
        <v>2611034.0399999996</v>
      </c>
      <c r="S27" s="43">
        <f>'A) Base RI'!AM27</f>
        <v>62</v>
      </c>
      <c r="T27" s="4">
        <f t="shared" si="3"/>
        <v>2382327.8899999997</v>
      </c>
      <c r="U27" s="4">
        <f t="shared" si="4"/>
        <v>42113.452258064506</v>
      </c>
      <c r="V27" s="14">
        <f>'A) Base RI'!O27</f>
        <v>24603.5</v>
      </c>
      <c r="W27" s="14">
        <f>'A) Base RI'!P27</f>
        <v>140360</v>
      </c>
      <c r="X27" s="14">
        <f>'A) Base RI'!R27</f>
        <v>73711.75</v>
      </c>
      <c r="Y27" s="4">
        <f t="shared" si="5"/>
        <v>238675.25</v>
      </c>
      <c r="Z27" s="14">
        <f>'A) Base RI'!N27</f>
        <v>15206.55</v>
      </c>
      <c r="AA27" s="14">
        <f>'A) Base RI'!S27+'A) Base RI'!T27</f>
        <v>850</v>
      </c>
      <c r="AB27" s="14">
        <f>'A) Base RI'!U27</f>
        <v>3160</v>
      </c>
      <c r="AC27" s="14">
        <f>'A) Base RI'!V27</f>
        <v>0</v>
      </c>
      <c r="AD27" s="14">
        <f>'A) Base RI'!W27</f>
        <v>0</v>
      </c>
      <c r="AE27" s="14">
        <f>'A) Base RI'!Y27</f>
        <v>2131</v>
      </c>
      <c r="AF27" s="14">
        <f>'A) Base RI'!Z27</f>
        <v>0</v>
      </c>
      <c r="AG27" s="14">
        <f>'A) Base RI'!AA27</f>
        <v>167473</v>
      </c>
      <c r="AH27" s="14">
        <f>'A) Base RI'!AB27</f>
        <v>0</v>
      </c>
      <c r="AI27" s="14">
        <f>'A) Base RI'!AC27</f>
        <v>38898.5</v>
      </c>
      <c r="AJ27" s="14">
        <f>'A) Base RI'!AD27</f>
        <v>0</v>
      </c>
      <c r="AK27" s="14">
        <f>'A) Base RI'!AE27</f>
        <v>0</v>
      </c>
      <c r="AL27" s="14">
        <f>'A) Base RI'!AF27</f>
        <v>0</v>
      </c>
      <c r="AM27" s="14">
        <f>'A) Base RI'!AG27</f>
        <v>0</v>
      </c>
      <c r="AN27" s="14">
        <f>'A) Base RI'!AH27</f>
        <v>0</v>
      </c>
      <c r="AO27" s="14">
        <f>'A) Base RI'!AI27</f>
        <v>0</v>
      </c>
      <c r="AP27" s="14">
        <f>'A) Base RI'!AJ27</f>
        <v>0</v>
      </c>
      <c r="AQ27" s="14">
        <f>'A) Base RI'!AK27</f>
        <v>0</v>
      </c>
      <c r="AR27" s="14">
        <f>'A) Base RI'!AN27</f>
        <v>481</v>
      </c>
    </row>
    <row r="28" spans="1:44" x14ac:dyDescent="0.25">
      <c r="A28" s="12">
        <f>'A) Base RI'!A28</f>
        <v>5427</v>
      </c>
      <c r="B28" s="42" t="str">
        <f>'A) Base RI'!B28</f>
        <v>Féchy</v>
      </c>
      <c r="C28" s="14">
        <f>'A) Base RI'!C28+'A) Base RI'!D28</f>
        <v>2938447.9</v>
      </c>
      <c r="D28" s="14">
        <f>'A) Base RI'!AO28</f>
        <v>-16247.93</v>
      </c>
      <c r="E28" s="41">
        <f>'A) Base RI'!AP28</f>
        <v>0</v>
      </c>
      <c r="F28" s="41">
        <f>'A) Base RI'!AQ28</f>
        <v>0</v>
      </c>
      <c r="G28" s="4">
        <f t="shared" si="0"/>
        <v>2922199.9699999997</v>
      </c>
      <c r="H28" s="14">
        <f>'A) Base RI'!E28</f>
        <v>0</v>
      </c>
      <c r="I28" s="14">
        <f>'A) Base RI'!F28</f>
        <v>0</v>
      </c>
      <c r="J28" s="14">
        <f>'A) Base RI'!G28+'A) Base RI'!H28</f>
        <v>-45079</v>
      </c>
      <c r="K28" s="14">
        <f>'A) Base RI'!I28</f>
        <v>751196.2</v>
      </c>
      <c r="L28" s="14">
        <f>'A) Base RI'!J28</f>
        <v>170171.57</v>
      </c>
      <c r="M28" s="14">
        <f>'A) Base RI'!K28</f>
        <v>2502.5</v>
      </c>
      <c r="N28" s="14">
        <f>'A) Base RI'!Q28</f>
        <v>0</v>
      </c>
      <c r="O28" s="14">
        <f t="shared" si="1"/>
        <v>317861.80769230769</v>
      </c>
      <c r="P28" s="14">
        <f>'A) Base RI'!L28</f>
        <v>413220.35</v>
      </c>
      <c r="Q28" s="44">
        <f>'A) Base RI'!AR28</f>
        <v>1.3</v>
      </c>
      <c r="R28" s="4">
        <f t="shared" si="2"/>
        <v>4118853.0476923073</v>
      </c>
      <c r="S28" s="43">
        <f>'A) Base RI'!AM28</f>
        <v>64</v>
      </c>
      <c r="T28" s="4">
        <f t="shared" si="3"/>
        <v>3798488.7399999998</v>
      </c>
      <c r="U28" s="4">
        <f t="shared" si="4"/>
        <v>64357.078870192301</v>
      </c>
      <c r="V28" s="14">
        <f>'A) Base RI'!O28</f>
        <v>2626.8</v>
      </c>
      <c r="W28" s="14">
        <f>'A) Base RI'!P28</f>
        <v>138943.35</v>
      </c>
      <c r="X28" s="14">
        <f>'A) Base RI'!R28</f>
        <v>98087.45</v>
      </c>
      <c r="Y28" s="4">
        <f t="shared" si="5"/>
        <v>239657.59999999998</v>
      </c>
      <c r="Z28" s="14">
        <f>'A) Base RI'!N28</f>
        <v>8714.9</v>
      </c>
      <c r="AA28" s="14">
        <f>'A) Base RI'!S28+'A) Base RI'!T28</f>
        <v>534</v>
      </c>
      <c r="AB28" s="14">
        <f>'A) Base RI'!U28</f>
        <v>4470</v>
      </c>
      <c r="AC28" s="14">
        <f>'A) Base RI'!V28</f>
        <v>0</v>
      </c>
      <c r="AD28" s="14">
        <f>'A) Base RI'!W28</f>
        <v>0</v>
      </c>
      <c r="AE28" s="14">
        <f>'A) Base RI'!Y28</f>
        <v>20433.05</v>
      </c>
      <c r="AF28" s="14">
        <f>'A) Base RI'!Z28</f>
        <v>0</v>
      </c>
      <c r="AG28" s="14">
        <f>'A) Base RI'!AA28</f>
        <v>281608.65000000002</v>
      </c>
      <c r="AH28" s="14">
        <f>'A) Base RI'!AB28</f>
        <v>0</v>
      </c>
      <c r="AI28" s="14">
        <f>'A) Base RI'!AC28</f>
        <v>95061.4</v>
      </c>
      <c r="AJ28" s="14">
        <f>'A) Base RI'!AD28</f>
        <v>0</v>
      </c>
      <c r="AK28" s="14">
        <f>'A) Base RI'!AE28</f>
        <v>0</v>
      </c>
      <c r="AL28" s="14">
        <f>'A) Base RI'!AF28</f>
        <v>0</v>
      </c>
      <c r="AM28" s="14">
        <f>'A) Base RI'!AG28</f>
        <v>0</v>
      </c>
      <c r="AN28" s="14">
        <f>'A) Base RI'!AH28</f>
        <v>0</v>
      </c>
      <c r="AO28" s="14">
        <f>'A) Base RI'!AI28</f>
        <v>0</v>
      </c>
      <c r="AP28" s="14">
        <f>'A) Base RI'!AJ28</f>
        <v>0</v>
      </c>
      <c r="AQ28" s="14">
        <f>'A) Base RI'!AK28</f>
        <v>0</v>
      </c>
      <c r="AR28" s="14">
        <f>'A) Base RI'!AN28</f>
        <v>860</v>
      </c>
    </row>
    <row r="29" spans="1:44" x14ac:dyDescent="0.25">
      <c r="A29" s="12">
        <f>'A) Base RI'!A29</f>
        <v>5428</v>
      </c>
      <c r="B29" s="42" t="str">
        <f>'A) Base RI'!B29</f>
        <v>Gimel</v>
      </c>
      <c r="C29" s="14">
        <f>'A) Base RI'!C29+'A) Base RI'!D29</f>
        <v>3416798.72</v>
      </c>
      <c r="D29" s="14">
        <f>'A) Base RI'!AO29</f>
        <v>-60457.94</v>
      </c>
      <c r="E29" s="41">
        <f>'A) Base RI'!AP29</f>
        <v>0</v>
      </c>
      <c r="F29" s="41">
        <f>'A) Base RI'!AQ29</f>
        <v>-120.46</v>
      </c>
      <c r="G29" s="4">
        <f t="shared" si="0"/>
        <v>3356220.3200000003</v>
      </c>
      <c r="H29" s="14">
        <f>'A) Base RI'!E29</f>
        <v>0</v>
      </c>
      <c r="I29" s="14">
        <f>'A) Base RI'!F29</f>
        <v>0</v>
      </c>
      <c r="J29" s="14">
        <f>'A) Base RI'!G29+'A) Base RI'!H29</f>
        <v>195750.6</v>
      </c>
      <c r="K29" s="14">
        <f>'A) Base RI'!I29</f>
        <v>79183.55</v>
      </c>
      <c r="L29" s="14">
        <f>'A) Base RI'!J29</f>
        <v>151769.79</v>
      </c>
      <c r="M29" s="14">
        <f>'A) Base RI'!K29</f>
        <v>10539.5</v>
      </c>
      <c r="N29" s="14">
        <f>'A) Base RI'!Q29</f>
        <v>19173</v>
      </c>
      <c r="O29" s="14">
        <f t="shared" si="1"/>
        <v>301906.08333333331</v>
      </c>
      <c r="P29" s="14">
        <f>'A) Base RI'!L29</f>
        <v>362287.3</v>
      </c>
      <c r="Q29" s="44">
        <f>'A) Base RI'!AR29</f>
        <v>1.2</v>
      </c>
      <c r="R29" s="4">
        <f t="shared" si="2"/>
        <v>4114542.8433333337</v>
      </c>
      <c r="S29" s="43">
        <f>'A) Base RI'!AM29</f>
        <v>71.5</v>
      </c>
      <c r="T29" s="4">
        <f t="shared" si="3"/>
        <v>3802097.2600000002</v>
      </c>
      <c r="U29" s="4">
        <f t="shared" si="4"/>
        <v>57546.053752913758</v>
      </c>
      <c r="V29" s="14">
        <f>'A) Base RI'!O29</f>
        <v>216014.6</v>
      </c>
      <c r="W29" s="14">
        <f>'A) Base RI'!P29</f>
        <v>141392.1</v>
      </c>
      <c r="X29" s="14">
        <f>'A) Base RI'!R29</f>
        <v>47357.4</v>
      </c>
      <c r="Y29" s="4">
        <f t="shared" si="5"/>
        <v>404764.10000000003</v>
      </c>
      <c r="Z29" s="14">
        <f>'A) Base RI'!N29</f>
        <v>225987.15</v>
      </c>
      <c r="AA29" s="14">
        <f>'A) Base RI'!S29+'A) Base RI'!T29</f>
        <v>2325</v>
      </c>
      <c r="AB29" s="14">
        <f>'A) Base RI'!U29</f>
        <v>9200</v>
      </c>
      <c r="AC29" s="14">
        <f>'A) Base RI'!V29</f>
        <v>0</v>
      </c>
      <c r="AD29" s="14">
        <f>'A) Base RI'!W29</f>
        <v>0</v>
      </c>
      <c r="AE29" s="14">
        <f>'A) Base RI'!Y29</f>
        <v>10484.6</v>
      </c>
      <c r="AF29" s="14">
        <f>'A) Base RI'!Z29</f>
        <v>0</v>
      </c>
      <c r="AG29" s="14">
        <f>'A) Base RI'!AA29</f>
        <v>0</v>
      </c>
      <c r="AH29" s="14">
        <f>'A) Base RI'!AB29</f>
        <v>239234.66</v>
      </c>
      <c r="AI29" s="14">
        <f>'A) Base RI'!AC29</f>
        <v>184999.57</v>
      </c>
      <c r="AJ29" s="14">
        <f>'A) Base RI'!AD29</f>
        <v>10484.6</v>
      </c>
      <c r="AK29" s="14">
        <f>'A) Base RI'!AE29</f>
        <v>0</v>
      </c>
      <c r="AL29" s="14">
        <f>'A) Base RI'!AF29</f>
        <v>0</v>
      </c>
      <c r="AM29" s="14">
        <f>'A) Base RI'!AG29</f>
        <v>0</v>
      </c>
      <c r="AN29" s="14">
        <f>'A) Base RI'!AH29</f>
        <v>0</v>
      </c>
      <c r="AO29" s="14">
        <f>'A) Base RI'!AI29</f>
        <v>44444.75</v>
      </c>
      <c r="AP29" s="14">
        <f>'A) Base RI'!AJ29</f>
        <v>0</v>
      </c>
      <c r="AQ29" s="14">
        <f>'A) Base RI'!AK29</f>
        <v>0</v>
      </c>
      <c r="AR29" s="14">
        <f>'A) Base RI'!AN29</f>
        <v>1907</v>
      </c>
    </row>
    <row r="30" spans="1:44" x14ac:dyDescent="0.25">
      <c r="A30" s="12">
        <f>'A) Base RI'!A30</f>
        <v>5429</v>
      </c>
      <c r="B30" s="42" t="str">
        <f>'A) Base RI'!B30</f>
        <v>Longirod</v>
      </c>
      <c r="C30" s="14">
        <f>'A) Base RI'!C30+'A) Base RI'!D30</f>
        <v>1048157.7</v>
      </c>
      <c r="D30" s="14">
        <f>'A) Base RI'!AO30</f>
        <v>-79874.59</v>
      </c>
      <c r="E30" s="41">
        <f>'A) Base RI'!AP30</f>
        <v>0</v>
      </c>
      <c r="F30" s="41">
        <f>'A) Base RI'!AQ30</f>
        <v>0</v>
      </c>
      <c r="G30" s="4">
        <f t="shared" si="0"/>
        <v>968283.11</v>
      </c>
      <c r="H30" s="14">
        <f>'A) Base RI'!E30</f>
        <v>0</v>
      </c>
      <c r="I30" s="14">
        <f>'A) Base RI'!F30</f>
        <v>0</v>
      </c>
      <c r="J30" s="14">
        <f>'A) Base RI'!G30+'A) Base RI'!H30</f>
        <v>19026.650000000001</v>
      </c>
      <c r="K30" s="14">
        <f>'A) Base RI'!I30</f>
        <v>0</v>
      </c>
      <c r="L30" s="14">
        <f>'A) Base RI'!J30</f>
        <v>6865.05</v>
      </c>
      <c r="M30" s="14">
        <f>'A) Base RI'!K30</f>
        <v>890</v>
      </c>
      <c r="N30" s="14">
        <f>'A) Base RI'!Q30</f>
        <v>26837.25</v>
      </c>
      <c r="O30" s="14">
        <f t="shared" si="1"/>
        <v>83354.5</v>
      </c>
      <c r="P30" s="14">
        <f>'A) Base RI'!L30</f>
        <v>83354.5</v>
      </c>
      <c r="Q30" s="44">
        <f>'A) Base RI'!AR30</f>
        <v>1</v>
      </c>
      <c r="R30" s="4">
        <f t="shared" si="2"/>
        <v>1105256.56</v>
      </c>
      <c r="S30" s="43">
        <f>'A) Base RI'!AM30</f>
        <v>81</v>
      </c>
      <c r="T30" s="4">
        <f t="shared" si="3"/>
        <v>1021012.06</v>
      </c>
      <c r="U30" s="4">
        <f t="shared" si="4"/>
        <v>13645.142716049384</v>
      </c>
      <c r="V30" s="14">
        <f>'A) Base RI'!O30</f>
        <v>0</v>
      </c>
      <c r="W30" s="14">
        <f>'A) Base RI'!P30</f>
        <v>50913.65</v>
      </c>
      <c r="X30" s="14">
        <f>'A) Base RI'!R30</f>
        <v>18123.900000000001</v>
      </c>
      <c r="Y30" s="4">
        <f t="shared" si="5"/>
        <v>69037.55</v>
      </c>
      <c r="Z30" s="14">
        <f>'A) Base RI'!N30</f>
        <v>0</v>
      </c>
      <c r="AA30" s="14">
        <f>'A) Base RI'!S30+'A) Base RI'!T30</f>
        <v>0</v>
      </c>
      <c r="AB30" s="14">
        <f>'A) Base RI'!U30</f>
        <v>3960</v>
      </c>
      <c r="AC30" s="14">
        <f>'A) Base RI'!V30</f>
        <v>0</v>
      </c>
      <c r="AD30" s="14">
        <f>'A) Base RI'!W30</f>
        <v>0</v>
      </c>
      <c r="AE30" s="14">
        <f>'A) Base RI'!Y30</f>
        <v>10743</v>
      </c>
      <c r="AF30" s="14">
        <f>'A) Base RI'!Z30</f>
        <v>0</v>
      </c>
      <c r="AG30" s="14">
        <f>'A) Base RI'!AA30</f>
        <v>32323.200000000001</v>
      </c>
      <c r="AH30" s="14">
        <f>'A) Base RI'!AB30</f>
        <v>0</v>
      </c>
      <c r="AI30" s="14">
        <f>'A) Base RI'!AC30</f>
        <v>57130.5</v>
      </c>
      <c r="AJ30" s="14">
        <f>'A) Base RI'!AD30</f>
        <v>11668</v>
      </c>
      <c r="AK30" s="14">
        <f>'A) Base RI'!AE30</f>
        <v>0</v>
      </c>
      <c r="AL30" s="14">
        <f>'A) Base RI'!AF30</f>
        <v>0</v>
      </c>
      <c r="AM30" s="14">
        <f>'A) Base RI'!AG30</f>
        <v>3612.95</v>
      </c>
      <c r="AN30" s="14">
        <f>'A) Base RI'!AH30</f>
        <v>0</v>
      </c>
      <c r="AO30" s="14">
        <f>'A) Base RI'!AI30</f>
        <v>0</v>
      </c>
      <c r="AP30" s="14">
        <f>'A) Base RI'!AJ30</f>
        <v>0</v>
      </c>
      <c r="AQ30" s="14">
        <f>'A) Base RI'!AK30</f>
        <v>0</v>
      </c>
      <c r="AR30" s="14">
        <f>'A) Base RI'!AN30</f>
        <v>463</v>
      </c>
    </row>
    <row r="31" spans="1:44" x14ac:dyDescent="0.25">
      <c r="A31" s="12">
        <f>'A) Base RI'!A31</f>
        <v>5430</v>
      </c>
      <c r="B31" s="42" t="str">
        <f>'A) Base RI'!B31</f>
        <v>Marchissy</v>
      </c>
      <c r="C31" s="14">
        <f>'A) Base RI'!C31+'A) Base RI'!D31</f>
        <v>966660.85</v>
      </c>
      <c r="D31" s="14">
        <f>'A) Base RI'!AO31</f>
        <v>-12611.96</v>
      </c>
      <c r="E31" s="41">
        <f>'A) Base RI'!AP31</f>
        <v>0</v>
      </c>
      <c r="F31" s="41">
        <f>'A) Base RI'!AQ31</f>
        <v>-23.33</v>
      </c>
      <c r="G31" s="4">
        <f t="shared" si="0"/>
        <v>954025.56</v>
      </c>
      <c r="H31" s="14">
        <f>'A) Base RI'!E31</f>
        <v>0</v>
      </c>
      <c r="I31" s="14">
        <f>'A) Base RI'!F31</f>
        <v>0</v>
      </c>
      <c r="J31" s="14">
        <f>'A) Base RI'!G31+'A) Base RI'!H31</f>
        <v>1463.4</v>
      </c>
      <c r="K31" s="14">
        <f>'A) Base RI'!I31</f>
        <v>0</v>
      </c>
      <c r="L31" s="14">
        <f>'A) Base RI'!J31</f>
        <v>10124.34</v>
      </c>
      <c r="M31" s="14">
        <f>'A) Base RI'!K31</f>
        <v>230</v>
      </c>
      <c r="N31" s="14">
        <f>'A) Base RI'!Q31</f>
        <v>3227.36</v>
      </c>
      <c r="O31" s="14">
        <f t="shared" si="1"/>
        <v>75965.95</v>
      </c>
      <c r="P31" s="14">
        <f>'A) Base RI'!L31</f>
        <v>75965.95</v>
      </c>
      <c r="Q31" s="44">
        <f>'A) Base RI'!AR31</f>
        <v>1</v>
      </c>
      <c r="R31" s="4">
        <f t="shared" si="2"/>
        <v>1045036.61</v>
      </c>
      <c r="S31" s="43">
        <f>'A) Base RI'!AM31</f>
        <v>81</v>
      </c>
      <c r="T31" s="4">
        <f t="shared" si="3"/>
        <v>968840.66</v>
      </c>
      <c r="U31" s="4">
        <f t="shared" si="4"/>
        <v>12901.686543209877</v>
      </c>
      <c r="V31" s="14">
        <f>'A) Base RI'!O31</f>
        <v>0</v>
      </c>
      <c r="W31" s="14">
        <f>'A) Base RI'!P31</f>
        <v>106511.6</v>
      </c>
      <c r="X31" s="14">
        <f>'A) Base RI'!R31</f>
        <v>80837.600000000006</v>
      </c>
      <c r="Y31" s="4">
        <f t="shared" si="5"/>
        <v>187349.2</v>
      </c>
      <c r="Z31" s="14">
        <f>'A) Base RI'!N31</f>
        <v>14332.65</v>
      </c>
      <c r="AA31" s="14">
        <f>'A) Base RI'!S31+'A) Base RI'!T31</f>
        <v>0</v>
      </c>
      <c r="AB31" s="14">
        <f>'A) Base RI'!U31</f>
        <v>2560</v>
      </c>
      <c r="AC31" s="14">
        <f>'A) Base RI'!V31</f>
        <v>0</v>
      </c>
      <c r="AD31" s="14">
        <f>'A) Base RI'!W31</f>
        <v>0</v>
      </c>
      <c r="AE31" s="14">
        <f>'A) Base RI'!Y31</f>
        <v>42085.1</v>
      </c>
      <c r="AF31" s="14">
        <f>'A) Base RI'!Z31</f>
        <v>0</v>
      </c>
      <c r="AG31" s="14">
        <f>'A) Base RI'!AA31</f>
        <v>36466.1</v>
      </c>
      <c r="AH31" s="14">
        <f>'A) Base RI'!AB31</f>
        <v>0</v>
      </c>
      <c r="AI31" s="14">
        <f>'A) Base RI'!AC31</f>
        <v>44667.85</v>
      </c>
      <c r="AJ31" s="14">
        <f>'A) Base RI'!AD31</f>
        <v>42725.1</v>
      </c>
      <c r="AK31" s="14">
        <f>'A) Base RI'!AE31</f>
        <v>0</v>
      </c>
      <c r="AL31" s="14">
        <f>'A) Base RI'!AF31</f>
        <v>0</v>
      </c>
      <c r="AM31" s="14">
        <f>'A) Base RI'!AG31</f>
        <v>311.10000000000002</v>
      </c>
      <c r="AN31" s="14">
        <f>'A) Base RI'!AH31</f>
        <v>0</v>
      </c>
      <c r="AO31" s="14">
        <f>'A) Base RI'!AI31</f>
        <v>0</v>
      </c>
      <c r="AP31" s="14">
        <f>'A) Base RI'!AJ31</f>
        <v>0</v>
      </c>
      <c r="AQ31" s="14">
        <f>'A) Base RI'!AK31</f>
        <v>0</v>
      </c>
      <c r="AR31" s="14">
        <f>'A) Base RI'!AN31</f>
        <v>448</v>
      </c>
    </row>
    <row r="32" spans="1:44" x14ac:dyDescent="0.25">
      <c r="A32" s="12">
        <f>'A) Base RI'!A32</f>
        <v>5431</v>
      </c>
      <c r="B32" s="42" t="str">
        <f>'A) Base RI'!B32</f>
        <v>Mollens</v>
      </c>
      <c r="C32" s="14">
        <f>'A) Base RI'!C32+'A) Base RI'!D32</f>
        <v>609662.82000000007</v>
      </c>
      <c r="D32" s="14">
        <f>'A) Base RI'!AO32</f>
        <v>-8783.07</v>
      </c>
      <c r="E32" s="41">
        <f>'A) Base RI'!AP32</f>
        <v>0</v>
      </c>
      <c r="F32" s="41">
        <f>'A) Base RI'!AQ32</f>
        <v>-543.92999999999995</v>
      </c>
      <c r="G32" s="4">
        <f t="shared" si="0"/>
        <v>600335.82000000007</v>
      </c>
      <c r="H32" s="14">
        <f>'A) Base RI'!E32</f>
        <v>0</v>
      </c>
      <c r="I32" s="14">
        <f>'A) Base RI'!F32</f>
        <v>0</v>
      </c>
      <c r="J32" s="14">
        <f>'A) Base RI'!G32+'A) Base RI'!H32</f>
        <v>684.8</v>
      </c>
      <c r="K32" s="14">
        <f>'A) Base RI'!I32</f>
        <v>0</v>
      </c>
      <c r="L32" s="14">
        <f>'A) Base RI'!J32</f>
        <v>15097.47</v>
      </c>
      <c r="M32" s="14">
        <f>'A) Base RI'!K32</f>
        <v>300.5</v>
      </c>
      <c r="N32" s="14">
        <f>'A) Base RI'!Q32</f>
        <v>704.65</v>
      </c>
      <c r="O32" s="14">
        <f t="shared" si="1"/>
        <v>46310.1</v>
      </c>
      <c r="P32" s="14">
        <f>'A) Base RI'!L32</f>
        <v>46310.1</v>
      </c>
      <c r="Q32" s="44">
        <f>'A) Base RI'!AR32</f>
        <v>1</v>
      </c>
      <c r="R32" s="4">
        <f t="shared" si="2"/>
        <v>663433.34000000008</v>
      </c>
      <c r="S32" s="43">
        <f>'A) Base RI'!AM32</f>
        <v>74</v>
      </c>
      <c r="T32" s="4">
        <f t="shared" si="3"/>
        <v>616822.74000000011</v>
      </c>
      <c r="U32" s="4">
        <f t="shared" si="4"/>
        <v>8965.3154054054066</v>
      </c>
      <c r="V32" s="14">
        <f>'A) Base RI'!O32</f>
        <v>0</v>
      </c>
      <c r="W32" s="14">
        <f>'A) Base RI'!P32</f>
        <v>14181.8</v>
      </c>
      <c r="X32" s="14">
        <f>'A) Base RI'!R32</f>
        <v>23229.8</v>
      </c>
      <c r="Y32" s="4">
        <f t="shared" si="5"/>
        <v>37411.599999999999</v>
      </c>
      <c r="Z32" s="14">
        <f>'A) Base RI'!N32</f>
        <v>0</v>
      </c>
      <c r="AA32" s="14">
        <f>'A) Base RI'!S32+'A) Base RI'!T32</f>
        <v>0</v>
      </c>
      <c r="AB32" s="14">
        <f>'A) Base RI'!U32</f>
        <v>1850</v>
      </c>
      <c r="AC32" s="14">
        <f>'A) Base RI'!V32</f>
        <v>0</v>
      </c>
      <c r="AD32" s="14">
        <f>'A) Base RI'!W32</f>
        <v>0</v>
      </c>
      <c r="AE32" s="14">
        <f>'A) Base RI'!Y32</f>
        <v>1372.7</v>
      </c>
      <c r="AF32" s="14">
        <f>'A) Base RI'!Z32</f>
        <v>0</v>
      </c>
      <c r="AG32" s="14">
        <f>'A) Base RI'!AA32</f>
        <v>92350</v>
      </c>
      <c r="AH32" s="14">
        <f>'A) Base RI'!AB32</f>
        <v>0</v>
      </c>
      <c r="AI32" s="14">
        <f>'A) Base RI'!AC32</f>
        <v>14950.1</v>
      </c>
      <c r="AJ32" s="14">
        <f>'A) Base RI'!AD32</f>
        <v>1372.7</v>
      </c>
      <c r="AK32" s="14">
        <f>'A) Base RI'!AE32</f>
        <v>0</v>
      </c>
      <c r="AL32" s="14">
        <f>'A) Base RI'!AF32</f>
        <v>0</v>
      </c>
      <c r="AM32" s="14">
        <f>'A) Base RI'!AG32</f>
        <v>0</v>
      </c>
      <c r="AN32" s="14">
        <f>'A) Base RI'!AH32</f>
        <v>0</v>
      </c>
      <c r="AO32" s="14">
        <f>'A) Base RI'!AI32</f>
        <v>0</v>
      </c>
      <c r="AP32" s="14">
        <f>'A) Base RI'!AJ32</f>
        <v>0</v>
      </c>
      <c r="AQ32" s="14">
        <f>'A) Base RI'!AK32</f>
        <v>0</v>
      </c>
      <c r="AR32" s="14">
        <f>'A) Base RI'!AN32</f>
        <v>294</v>
      </c>
    </row>
    <row r="33" spans="1:44" x14ac:dyDescent="0.25">
      <c r="A33" s="12">
        <f>'A) Base RI'!A33</f>
        <v>5432</v>
      </c>
      <c r="B33" s="42" t="str">
        <f>'A) Base RI'!B33</f>
        <v>Montherod</v>
      </c>
      <c r="C33" s="14">
        <f>'A) Base RI'!C33+'A) Base RI'!D33</f>
        <v>1223661.21</v>
      </c>
      <c r="D33" s="14">
        <f>'A) Base RI'!AO33</f>
        <v>-13300.32</v>
      </c>
      <c r="E33" s="41">
        <f>'A) Base RI'!AP33</f>
        <v>0</v>
      </c>
      <c r="F33" s="41">
        <f>'A) Base RI'!AQ33</f>
        <v>-307.38</v>
      </c>
      <c r="G33" s="4">
        <f t="shared" si="0"/>
        <v>1210053.51</v>
      </c>
      <c r="H33" s="14">
        <f>'A) Base RI'!E33</f>
        <v>0</v>
      </c>
      <c r="I33" s="14">
        <f>'A) Base RI'!F33</f>
        <v>0</v>
      </c>
      <c r="J33" s="14">
        <f>'A) Base RI'!G33+'A) Base RI'!H33</f>
        <v>54137.25</v>
      </c>
      <c r="K33" s="14">
        <f>'A) Base RI'!I33</f>
        <v>0</v>
      </c>
      <c r="L33" s="14">
        <f>'A) Base RI'!J33</f>
        <v>48763.72</v>
      </c>
      <c r="M33" s="14">
        <f>'A) Base RI'!K33</f>
        <v>2767</v>
      </c>
      <c r="N33" s="14">
        <f>'A) Base RI'!Q33</f>
        <v>0</v>
      </c>
      <c r="O33" s="14">
        <f t="shared" si="1"/>
        <v>85740.4</v>
      </c>
      <c r="P33" s="14">
        <f>'A) Base RI'!L33</f>
        <v>85740.4</v>
      </c>
      <c r="Q33" s="44">
        <f>'A) Base RI'!AR33</f>
        <v>1</v>
      </c>
      <c r="R33" s="4">
        <f t="shared" si="2"/>
        <v>1401461.88</v>
      </c>
      <c r="S33" s="43">
        <f>'A) Base RI'!AM33</f>
        <v>74</v>
      </c>
      <c r="T33" s="4">
        <f t="shared" si="3"/>
        <v>1312954.48</v>
      </c>
      <c r="U33" s="4">
        <f t="shared" si="4"/>
        <v>18938.674054054052</v>
      </c>
      <c r="V33" s="14">
        <f>'A) Base RI'!O33</f>
        <v>8542.9</v>
      </c>
      <c r="W33" s="14">
        <f>'A) Base RI'!P33</f>
        <v>95590</v>
      </c>
      <c r="X33" s="14">
        <f>'A) Base RI'!R33</f>
        <v>58006.85</v>
      </c>
      <c r="Y33" s="4">
        <f t="shared" si="5"/>
        <v>162139.75</v>
      </c>
      <c r="Z33" s="14">
        <f>'A) Base RI'!N33</f>
        <v>14943.5</v>
      </c>
      <c r="AA33" s="14">
        <f>'A) Base RI'!S33+'A) Base RI'!T33</f>
        <v>405</v>
      </c>
      <c r="AB33" s="14">
        <f>'A) Base RI'!U33</f>
        <v>3920</v>
      </c>
      <c r="AC33" s="14">
        <f>'A) Base RI'!V33</f>
        <v>0</v>
      </c>
      <c r="AD33" s="14">
        <f>'A) Base RI'!W33</f>
        <v>0</v>
      </c>
      <c r="AE33" s="14">
        <f>'A) Base RI'!Y33</f>
        <v>10526.5</v>
      </c>
      <c r="AF33" s="14">
        <f>'A) Base RI'!Z33</f>
        <v>0</v>
      </c>
      <c r="AG33" s="14">
        <f>'A) Base RI'!AA33</f>
        <v>37517.4</v>
      </c>
      <c r="AH33" s="14">
        <f>'A) Base RI'!AB33</f>
        <v>0</v>
      </c>
      <c r="AI33" s="14">
        <f>'A) Base RI'!AC33</f>
        <v>49300</v>
      </c>
      <c r="AJ33" s="14">
        <f>'A) Base RI'!AD33</f>
        <v>10526.5</v>
      </c>
      <c r="AK33" s="14">
        <f>'A) Base RI'!AE33</f>
        <v>0</v>
      </c>
      <c r="AL33" s="14">
        <f>'A) Base RI'!AF33</f>
        <v>0</v>
      </c>
      <c r="AM33" s="14">
        <f>'A) Base RI'!AG33</f>
        <v>0</v>
      </c>
      <c r="AN33" s="14">
        <f>'A) Base RI'!AH33</f>
        <v>11236.45</v>
      </c>
      <c r="AO33" s="14">
        <f>'A) Base RI'!AI33</f>
        <v>0</v>
      </c>
      <c r="AP33" s="14">
        <f>'A) Base RI'!AJ33</f>
        <v>0</v>
      </c>
      <c r="AQ33" s="14">
        <f>'A) Base RI'!AK33</f>
        <v>0</v>
      </c>
      <c r="AR33" s="14">
        <f>'A) Base RI'!AN33</f>
        <v>518</v>
      </c>
    </row>
    <row r="34" spans="1:44" x14ac:dyDescent="0.25">
      <c r="A34" s="12">
        <f>'A) Base RI'!A34</f>
        <v>5434</v>
      </c>
      <c r="B34" s="42" t="str">
        <f>'A) Base RI'!B34</f>
        <v>Saint-George</v>
      </c>
      <c r="C34" s="14">
        <f>'A) Base RI'!C34+'A) Base RI'!D34</f>
        <v>2004420.29</v>
      </c>
      <c r="D34" s="14">
        <f>'A) Base RI'!AO34</f>
        <v>-9426.9</v>
      </c>
      <c r="E34" s="41">
        <f>'A) Base RI'!AP34</f>
        <v>0</v>
      </c>
      <c r="F34" s="41">
        <f>'A) Base RI'!AQ34</f>
        <v>0</v>
      </c>
      <c r="G34" s="4">
        <f t="shared" si="0"/>
        <v>1994993.3900000001</v>
      </c>
      <c r="H34" s="14">
        <f>'A) Base RI'!E34</f>
        <v>0</v>
      </c>
      <c r="I34" s="14">
        <f>'A) Base RI'!F34</f>
        <v>0</v>
      </c>
      <c r="J34" s="14">
        <f>'A) Base RI'!G34+'A) Base RI'!H34</f>
        <v>49240.3</v>
      </c>
      <c r="K34" s="14">
        <f>'A) Base RI'!I34</f>
        <v>0</v>
      </c>
      <c r="L34" s="14">
        <f>'A) Base RI'!J34</f>
        <v>22132.35</v>
      </c>
      <c r="M34" s="14">
        <f>'A) Base RI'!K34</f>
        <v>0</v>
      </c>
      <c r="N34" s="14">
        <f>'A) Base RI'!Q34</f>
        <v>236.35</v>
      </c>
      <c r="O34" s="14">
        <f t="shared" si="1"/>
        <v>194978</v>
      </c>
      <c r="P34" s="14">
        <f>'A) Base RI'!L34</f>
        <v>194978</v>
      </c>
      <c r="Q34" s="44">
        <f>'A) Base RI'!AR34</f>
        <v>1</v>
      </c>
      <c r="R34" s="4">
        <f t="shared" si="2"/>
        <v>2261580.3900000006</v>
      </c>
      <c r="S34" s="43">
        <f>'A) Base RI'!AM34</f>
        <v>68.5</v>
      </c>
      <c r="T34" s="4">
        <f t="shared" si="3"/>
        <v>2066602.3900000004</v>
      </c>
      <c r="U34" s="4">
        <f t="shared" si="4"/>
        <v>33015.772116788328</v>
      </c>
      <c r="V34" s="14">
        <f>'A) Base RI'!O34</f>
        <v>5334.9</v>
      </c>
      <c r="W34" s="14">
        <f>'A) Base RI'!P34</f>
        <v>108520.5</v>
      </c>
      <c r="X34" s="14">
        <f>'A) Base RI'!R34</f>
        <v>136818.79999999999</v>
      </c>
      <c r="Y34" s="4">
        <f t="shared" si="5"/>
        <v>250674.19999999998</v>
      </c>
      <c r="Z34" s="14">
        <f>'A) Base RI'!N34</f>
        <v>34403.599999999999</v>
      </c>
      <c r="AA34" s="14">
        <f>'A) Base RI'!S34+'A) Base RI'!T34</f>
        <v>543.5</v>
      </c>
      <c r="AB34" s="14">
        <f>'A) Base RI'!U34</f>
        <v>7640</v>
      </c>
      <c r="AC34" s="14">
        <f>'A) Base RI'!V34</f>
        <v>0</v>
      </c>
      <c r="AD34" s="14">
        <f>'A) Base RI'!W34</f>
        <v>0</v>
      </c>
      <c r="AE34" s="14">
        <f>'A) Base RI'!Y34</f>
        <v>11979</v>
      </c>
      <c r="AF34" s="14">
        <f>'A) Base RI'!Z34</f>
        <v>0</v>
      </c>
      <c r="AG34" s="14">
        <f>'A) Base RI'!AA34</f>
        <v>94852.55</v>
      </c>
      <c r="AH34" s="14">
        <f>'A) Base RI'!AB34</f>
        <v>0</v>
      </c>
      <c r="AI34" s="14">
        <f>'A) Base RI'!AC34</f>
        <v>76351.05</v>
      </c>
      <c r="AJ34" s="14">
        <f>'A) Base RI'!AD34</f>
        <v>46575</v>
      </c>
      <c r="AK34" s="14">
        <f>'A) Base RI'!AE34</f>
        <v>0</v>
      </c>
      <c r="AL34" s="14">
        <f>'A) Base RI'!AF34</f>
        <v>0</v>
      </c>
      <c r="AM34" s="14">
        <f>'A) Base RI'!AG34</f>
        <v>10672.1</v>
      </c>
      <c r="AN34" s="14">
        <f>'A) Base RI'!AH34</f>
        <v>0</v>
      </c>
      <c r="AO34" s="14">
        <f>'A) Base RI'!AI34</f>
        <v>0</v>
      </c>
      <c r="AP34" s="14">
        <f>'A) Base RI'!AJ34</f>
        <v>0</v>
      </c>
      <c r="AQ34" s="14">
        <f>'A) Base RI'!AK34</f>
        <v>0</v>
      </c>
      <c r="AR34" s="14">
        <f>'A) Base RI'!AN34</f>
        <v>949</v>
      </c>
    </row>
    <row r="35" spans="1:44" x14ac:dyDescent="0.25">
      <c r="A35" s="12">
        <f>'A) Base RI'!A35</f>
        <v>5435</v>
      </c>
      <c r="B35" s="42" t="str">
        <f>'A) Base RI'!B35</f>
        <v>Saint-Livres</v>
      </c>
      <c r="C35" s="14">
        <f>'A) Base RI'!C35+'A) Base RI'!D35</f>
        <v>1447457.68</v>
      </c>
      <c r="D35" s="14">
        <f>'A) Base RI'!AO35</f>
        <v>-11012.75</v>
      </c>
      <c r="E35" s="41">
        <f>'A) Base RI'!AP35</f>
        <v>0</v>
      </c>
      <c r="F35" s="41">
        <f>'A) Base RI'!AQ35</f>
        <v>-1.4</v>
      </c>
      <c r="G35" s="4">
        <f t="shared" si="0"/>
        <v>1436443.53</v>
      </c>
      <c r="H35" s="14">
        <f>'A) Base RI'!E35</f>
        <v>0</v>
      </c>
      <c r="I35" s="14">
        <f>'A) Base RI'!F35</f>
        <v>0</v>
      </c>
      <c r="J35" s="14">
        <f>'A) Base RI'!G35+'A) Base RI'!H35</f>
        <v>10206.6</v>
      </c>
      <c r="K35" s="14">
        <f>'A) Base RI'!I35</f>
        <v>83.290000000000902</v>
      </c>
      <c r="L35" s="14">
        <f>'A) Base RI'!J35</f>
        <v>121701</v>
      </c>
      <c r="M35" s="14">
        <f>'A) Base RI'!K35</f>
        <v>0</v>
      </c>
      <c r="N35" s="14">
        <f>'A) Base RI'!Q35</f>
        <v>-367.99</v>
      </c>
      <c r="O35" s="14">
        <f t="shared" si="1"/>
        <v>111066.2</v>
      </c>
      <c r="P35" s="14">
        <f>'A) Base RI'!L35</f>
        <v>111066.2</v>
      </c>
      <c r="Q35" s="44">
        <f>'A) Base RI'!AR35</f>
        <v>1</v>
      </c>
      <c r="R35" s="4">
        <f t="shared" si="2"/>
        <v>1679132.6300000001</v>
      </c>
      <c r="S35" s="43">
        <f>'A) Base RI'!AM35</f>
        <v>69</v>
      </c>
      <c r="T35" s="4">
        <f t="shared" si="3"/>
        <v>1568066.4300000002</v>
      </c>
      <c r="U35" s="4">
        <f t="shared" si="4"/>
        <v>24335.25550724638</v>
      </c>
      <c r="V35" s="14">
        <f>'A) Base RI'!O35</f>
        <v>31798.400000000001</v>
      </c>
      <c r="W35" s="14">
        <f>'A) Base RI'!P35</f>
        <v>3231.7</v>
      </c>
      <c r="X35" s="14">
        <f>'A) Base RI'!R35</f>
        <v>-5296.05</v>
      </c>
      <c r="Y35" s="4">
        <f t="shared" si="5"/>
        <v>29734.05</v>
      </c>
      <c r="Z35" s="14">
        <f>'A) Base RI'!N35</f>
        <v>0</v>
      </c>
      <c r="AA35" s="14">
        <f>'A) Base RI'!S35+'A) Base RI'!T35</f>
        <v>300</v>
      </c>
      <c r="AB35" s="14">
        <f>'A) Base RI'!U35</f>
        <v>5020</v>
      </c>
      <c r="AC35" s="14">
        <f>'A) Base RI'!V35</f>
        <v>0</v>
      </c>
      <c r="AD35" s="14">
        <f>'A) Base RI'!W35</f>
        <v>0</v>
      </c>
      <c r="AE35" s="14">
        <f>'A) Base RI'!Y35</f>
        <v>4953.1000000000004</v>
      </c>
      <c r="AF35" s="14">
        <f>'A) Base RI'!Z35</f>
        <v>0</v>
      </c>
      <c r="AG35" s="14">
        <f>'A) Base RI'!AA35</f>
        <v>89916.49</v>
      </c>
      <c r="AH35" s="14">
        <f>'A) Base RI'!AB35</f>
        <v>0</v>
      </c>
      <c r="AI35" s="14">
        <f>'A) Base RI'!AC35</f>
        <v>59650</v>
      </c>
      <c r="AJ35" s="14">
        <f>'A) Base RI'!AD35</f>
        <v>22388.15</v>
      </c>
      <c r="AK35" s="14">
        <f>'A) Base RI'!AE35</f>
        <v>0</v>
      </c>
      <c r="AL35" s="14">
        <f>'A) Base RI'!AF35</f>
        <v>0</v>
      </c>
      <c r="AM35" s="14">
        <f>'A) Base RI'!AG35</f>
        <v>0</v>
      </c>
      <c r="AN35" s="14">
        <f>'A) Base RI'!AH35</f>
        <v>12320.5</v>
      </c>
      <c r="AO35" s="14">
        <f>'A) Base RI'!AI35</f>
        <v>0</v>
      </c>
      <c r="AP35" s="14">
        <f>'A) Base RI'!AJ35</f>
        <v>0</v>
      </c>
      <c r="AQ35" s="14">
        <f>'A) Base RI'!AK35</f>
        <v>0</v>
      </c>
      <c r="AR35" s="14">
        <f>'A) Base RI'!AN35</f>
        <v>713</v>
      </c>
    </row>
    <row r="36" spans="1:44" x14ac:dyDescent="0.25">
      <c r="A36" s="12">
        <f>'A) Base RI'!A36</f>
        <v>5436</v>
      </c>
      <c r="B36" s="42" t="str">
        <f>'A) Base RI'!B36</f>
        <v>Saint-Oyens</v>
      </c>
      <c r="C36" s="14">
        <f>'A) Base RI'!C36+'A) Base RI'!D36</f>
        <v>758703.47</v>
      </c>
      <c r="D36" s="14">
        <f>'A) Base RI'!AO36</f>
        <v>-2437.77</v>
      </c>
      <c r="E36" s="41">
        <f>'A) Base RI'!AP36</f>
        <v>0</v>
      </c>
      <c r="F36" s="41">
        <f>'A) Base RI'!AQ36</f>
        <v>-7.91</v>
      </c>
      <c r="G36" s="4">
        <f t="shared" si="0"/>
        <v>756257.78999999992</v>
      </c>
      <c r="H36" s="14">
        <f>'A) Base RI'!E36</f>
        <v>0</v>
      </c>
      <c r="I36" s="14">
        <f>'A) Base RI'!F36</f>
        <v>0</v>
      </c>
      <c r="J36" s="14">
        <f>'A) Base RI'!G36+'A) Base RI'!H36</f>
        <v>2192.8000000000002</v>
      </c>
      <c r="K36" s="14">
        <f>'A) Base RI'!I36</f>
        <v>0</v>
      </c>
      <c r="L36" s="14">
        <f>'A) Base RI'!J36</f>
        <v>-14221.02</v>
      </c>
      <c r="M36" s="14">
        <f>'A) Base RI'!K36</f>
        <v>0</v>
      </c>
      <c r="N36" s="14">
        <f>'A) Base RI'!Q36</f>
        <v>1800</v>
      </c>
      <c r="O36" s="14">
        <f t="shared" si="1"/>
        <v>58929.624999999993</v>
      </c>
      <c r="P36" s="14">
        <f>'A) Base RI'!L36</f>
        <v>47143.7</v>
      </c>
      <c r="Q36" s="44">
        <f>'A) Base RI'!AR36</f>
        <v>0.8</v>
      </c>
      <c r="R36" s="4">
        <f t="shared" si="2"/>
        <v>804959.19499999995</v>
      </c>
      <c r="S36" s="43">
        <f>'A) Base RI'!AM36</f>
        <v>81</v>
      </c>
      <c r="T36" s="4">
        <f t="shared" si="3"/>
        <v>746029.57</v>
      </c>
      <c r="U36" s="4">
        <f t="shared" si="4"/>
        <v>9937.7678395061721</v>
      </c>
      <c r="V36" s="14">
        <f>'A) Base RI'!O36</f>
        <v>0</v>
      </c>
      <c r="W36" s="14">
        <f>'A) Base RI'!P36</f>
        <v>19276.400000000001</v>
      </c>
      <c r="X36" s="14">
        <f>'A) Base RI'!R36</f>
        <v>57871.55</v>
      </c>
      <c r="Y36" s="4">
        <f t="shared" si="5"/>
        <v>77147.950000000012</v>
      </c>
      <c r="Z36" s="14">
        <f>'A) Base RI'!N36</f>
        <v>0</v>
      </c>
      <c r="AA36" s="14">
        <f>'A) Base RI'!S36+'A) Base RI'!T36</f>
        <v>0</v>
      </c>
      <c r="AB36" s="14">
        <f>'A) Base RI'!U36</f>
        <v>2812.5</v>
      </c>
      <c r="AC36" s="14">
        <f>'A) Base RI'!V36</f>
        <v>0</v>
      </c>
      <c r="AD36" s="14">
        <f>'A) Base RI'!W36</f>
        <v>0</v>
      </c>
      <c r="AE36" s="14">
        <f>'A) Base RI'!Y36</f>
        <v>25199</v>
      </c>
      <c r="AF36" s="14">
        <f>'A) Base RI'!Z36</f>
        <v>0</v>
      </c>
      <c r="AG36" s="14">
        <f>'A) Base RI'!AA36</f>
        <v>53223</v>
      </c>
      <c r="AH36" s="14">
        <f>'A) Base RI'!AB36</f>
        <v>0</v>
      </c>
      <c r="AI36" s="14">
        <f>'A) Base RI'!AC36</f>
        <v>27289</v>
      </c>
      <c r="AJ36" s="14">
        <f>'A) Base RI'!AD36</f>
        <v>25199</v>
      </c>
      <c r="AK36" s="14">
        <f>'A) Base RI'!AE36</f>
        <v>0</v>
      </c>
      <c r="AL36" s="14">
        <f>'A) Base RI'!AF36</f>
        <v>0</v>
      </c>
      <c r="AM36" s="14">
        <f>'A) Base RI'!AG36</f>
        <v>0</v>
      </c>
      <c r="AN36" s="14">
        <f>'A) Base RI'!AH36</f>
        <v>7749</v>
      </c>
      <c r="AO36" s="14">
        <f>'A) Base RI'!AI36</f>
        <v>0</v>
      </c>
      <c r="AP36" s="14">
        <f>'A) Base RI'!AJ36</f>
        <v>0</v>
      </c>
      <c r="AQ36" s="14">
        <f>'A) Base RI'!AK36</f>
        <v>0</v>
      </c>
      <c r="AR36" s="14">
        <f>'A) Base RI'!AN36</f>
        <v>345</v>
      </c>
    </row>
    <row r="37" spans="1:44" x14ac:dyDescent="0.25">
      <c r="A37" s="12">
        <f>'A) Base RI'!A37</f>
        <v>5437</v>
      </c>
      <c r="B37" s="42" t="str">
        <f>'A) Base RI'!B37</f>
        <v>Saubraz</v>
      </c>
      <c r="C37" s="14">
        <f>'A) Base RI'!C37+'A) Base RI'!D37</f>
        <v>674994.8899999999</v>
      </c>
      <c r="D37" s="14">
        <f>'A) Base RI'!AO37</f>
        <v>-3649.53</v>
      </c>
      <c r="E37" s="41">
        <f>'A) Base RI'!AP37</f>
        <v>0</v>
      </c>
      <c r="F37" s="41">
        <f>'A) Base RI'!AQ37</f>
        <v>-22.06</v>
      </c>
      <c r="G37" s="4">
        <f t="shared" si="0"/>
        <v>671323.29999999981</v>
      </c>
      <c r="H37" s="14">
        <f>'A) Base RI'!E37</f>
        <v>0</v>
      </c>
      <c r="I37" s="14">
        <f>'A) Base RI'!F37</f>
        <v>2111.1</v>
      </c>
      <c r="J37" s="14">
        <f>'A) Base RI'!G37+'A) Base RI'!H37</f>
        <v>8523.4500000000007</v>
      </c>
      <c r="K37" s="14">
        <f>'A) Base RI'!I37</f>
        <v>0</v>
      </c>
      <c r="L37" s="14">
        <f>'A) Base RI'!J37</f>
        <v>22541.86</v>
      </c>
      <c r="M37" s="14">
        <f>'A) Base RI'!K37</f>
        <v>770</v>
      </c>
      <c r="N37" s="14">
        <f>'A) Base RI'!Q37</f>
        <v>0</v>
      </c>
      <c r="O37" s="14">
        <f t="shared" si="1"/>
        <v>53736.75</v>
      </c>
      <c r="P37" s="14">
        <f>'A) Base RI'!L37</f>
        <v>53736.75</v>
      </c>
      <c r="Q37" s="44">
        <f>'A) Base RI'!AR37</f>
        <v>1</v>
      </c>
      <c r="R37" s="4">
        <f t="shared" si="2"/>
        <v>759006.45999999973</v>
      </c>
      <c r="S37" s="43">
        <f>'A) Base RI'!AM37</f>
        <v>83</v>
      </c>
      <c r="T37" s="4">
        <f t="shared" si="3"/>
        <v>702388.60999999975</v>
      </c>
      <c r="U37" s="4">
        <f t="shared" si="4"/>
        <v>9144.65614457831</v>
      </c>
      <c r="V37" s="14">
        <f>'A) Base RI'!O37</f>
        <v>189220.8</v>
      </c>
      <c r="W37" s="14">
        <f>'A) Base RI'!P37</f>
        <v>38555</v>
      </c>
      <c r="X37" s="14">
        <f>'A) Base RI'!R37</f>
        <v>20638.349999999999</v>
      </c>
      <c r="Y37" s="4">
        <f t="shared" si="5"/>
        <v>248414.15</v>
      </c>
      <c r="Z37" s="14">
        <f>'A) Base RI'!N37</f>
        <v>0</v>
      </c>
      <c r="AA37" s="14">
        <f>'A) Base RI'!S37+'A) Base RI'!T37</f>
        <v>0</v>
      </c>
      <c r="AB37" s="14">
        <f>'A) Base RI'!U37</f>
        <v>1050</v>
      </c>
      <c r="AC37" s="14">
        <f>'A) Base RI'!V37</f>
        <v>0</v>
      </c>
      <c r="AD37" s="14">
        <f>'A) Base RI'!W37</f>
        <v>0</v>
      </c>
      <c r="AE37" s="14">
        <f>'A) Base RI'!Y37</f>
        <v>0</v>
      </c>
      <c r="AF37" s="14">
        <f>'A) Base RI'!Z37</f>
        <v>0</v>
      </c>
      <c r="AG37" s="14">
        <f>'A) Base RI'!AA37</f>
        <v>0</v>
      </c>
      <c r="AH37" s="14">
        <f>'A) Base RI'!AB37</f>
        <v>0</v>
      </c>
      <c r="AI37" s="14">
        <f>'A) Base RI'!AC37</f>
        <v>39370</v>
      </c>
      <c r="AJ37" s="14">
        <f>'A) Base RI'!AD37</f>
        <v>0</v>
      </c>
      <c r="AK37" s="14">
        <f>'A) Base RI'!AE37</f>
        <v>0</v>
      </c>
      <c r="AL37" s="14">
        <f>'A) Base RI'!AF37</f>
        <v>0</v>
      </c>
      <c r="AM37" s="14">
        <f>'A) Base RI'!AG37</f>
        <v>0</v>
      </c>
      <c r="AN37" s="14">
        <f>'A) Base RI'!AH37</f>
        <v>0</v>
      </c>
      <c r="AO37" s="14">
        <f>'A) Base RI'!AI37</f>
        <v>0</v>
      </c>
      <c r="AP37" s="14">
        <f>'A) Base RI'!AJ37</f>
        <v>0</v>
      </c>
      <c r="AQ37" s="14">
        <f>'A) Base RI'!AK37</f>
        <v>0</v>
      </c>
      <c r="AR37" s="14">
        <f>'A) Base RI'!AN37</f>
        <v>391</v>
      </c>
    </row>
    <row r="38" spans="1:44" x14ac:dyDescent="0.25">
      <c r="A38" s="12">
        <f>'A) Base RI'!A38</f>
        <v>5451</v>
      </c>
      <c r="B38" s="42" t="str">
        <f>'A) Base RI'!B38</f>
        <v>Avenches</v>
      </c>
      <c r="C38" s="14">
        <f>'A) Base RI'!C38+'A) Base RI'!D38</f>
        <v>5159045.03</v>
      </c>
      <c r="D38" s="14">
        <f>'A) Base RI'!AO38</f>
        <v>-202947.82</v>
      </c>
      <c r="E38" s="41">
        <f>'A) Base RI'!AP38</f>
        <v>0</v>
      </c>
      <c r="F38" s="41">
        <f>'A) Base RI'!AQ38</f>
        <v>-277.02999999999997</v>
      </c>
      <c r="G38" s="4">
        <f t="shared" si="0"/>
        <v>4955820.18</v>
      </c>
      <c r="H38" s="14">
        <f>'A) Base RI'!E38</f>
        <v>0</v>
      </c>
      <c r="I38" s="14">
        <f>'A) Base RI'!F38</f>
        <v>0</v>
      </c>
      <c r="J38" s="14">
        <f>'A) Base RI'!G38+'A) Base RI'!H38</f>
        <v>694446.5</v>
      </c>
      <c r="K38" s="14">
        <f>'A) Base RI'!I38</f>
        <v>0</v>
      </c>
      <c r="L38" s="14">
        <f>'A) Base RI'!J38</f>
        <v>499497.65</v>
      </c>
      <c r="M38" s="14">
        <f>'A) Base RI'!K38</f>
        <v>97613</v>
      </c>
      <c r="N38" s="14">
        <f>'A) Base RI'!Q38</f>
        <v>54239.06</v>
      </c>
      <c r="O38" s="14">
        <f t="shared" si="1"/>
        <v>636343.1333333333</v>
      </c>
      <c r="P38" s="14">
        <f>'A) Base RI'!L38</f>
        <v>954514.7</v>
      </c>
      <c r="Q38" s="44">
        <f>'A) Base RI'!AR38</f>
        <v>1.5</v>
      </c>
      <c r="R38" s="4">
        <f t="shared" si="2"/>
        <v>6937959.5233333334</v>
      </c>
      <c r="S38" s="43">
        <f>'A) Base RI'!AM38</f>
        <v>68</v>
      </c>
      <c r="T38" s="4">
        <f t="shared" si="3"/>
        <v>6204003.3899999997</v>
      </c>
      <c r="U38" s="4">
        <f t="shared" si="4"/>
        <v>102028.81651960785</v>
      </c>
      <c r="V38" s="14">
        <f>'A) Base RI'!O38</f>
        <v>0</v>
      </c>
      <c r="W38" s="14">
        <f>'A) Base RI'!P38</f>
        <v>273872.09999999998</v>
      </c>
      <c r="X38" s="14">
        <f>'A) Base RI'!R38</f>
        <v>251937.55</v>
      </c>
      <c r="Y38" s="4">
        <f t="shared" si="5"/>
        <v>525809.64999999991</v>
      </c>
      <c r="Z38" s="14">
        <f>'A) Base RI'!N38</f>
        <v>596347.94999999995</v>
      </c>
      <c r="AA38" s="14">
        <f>'A) Base RI'!S38+'A) Base RI'!T38</f>
        <v>35013.65</v>
      </c>
      <c r="AB38" s="14">
        <f>'A) Base RI'!U38</f>
        <v>20350</v>
      </c>
      <c r="AC38" s="14">
        <f>'A) Base RI'!V38</f>
        <v>0</v>
      </c>
      <c r="AD38" s="14">
        <f>'A) Base RI'!W38</f>
        <v>0</v>
      </c>
      <c r="AE38" s="14">
        <f>'A) Base RI'!Y38</f>
        <v>40374.35</v>
      </c>
      <c r="AF38" s="14">
        <f>'A) Base RI'!Z38</f>
        <v>5863.2</v>
      </c>
      <c r="AG38" s="14">
        <f>'A) Base RI'!AA38</f>
        <v>816299.1</v>
      </c>
      <c r="AH38" s="14">
        <f>'A) Base RI'!AB38</f>
        <v>0</v>
      </c>
      <c r="AI38" s="14">
        <f>'A) Base RI'!AC38</f>
        <v>457584.86</v>
      </c>
      <c r="AJ38" s="14">
        <f>'A) Base RI'!AD38</f>
        <v>12316.15</v>
      </c>
      <c r="AK38" s="14">
        <f>'A) Base RI'!AE38</f>
        <v>6027.4</v>
      </c>
      <c r="AL38" s="14">
        <f>'A) Base RI'!AF38</f>
        <v>0</v>
      </c>
      <c r="AM38" s="14">
        <f>'A) Base RI'!AG38</f>
        <v>243754.5</v>
      </c>
      <c r="AN38" s="14">
        <f>'A) Base RI'!AH38</f>
        <v>0</v>
      </c>
      <c r="AO38" s="14">
        <f>'A) Base RI'!AI38</f>
        <v>0</v>
      </c>
      <c r="AP38" s="14">
        <f>'A) Base RI'!AJ38</f>
        <v>0</v>
      </c>
      <c r="AQ38" s="14">
        <f>'A) Base RI'!AK38</f>
        <v>0</v>
      </c>
      <c r="AR38" s="14">
        <f>'A) Base RI'!AN38</f>
        <v>4090</v>
      </c>
    </row>
    <row r="39" spans="1:44" x14ac:dyDescent="0.25">
      <c r="A39" s="12">
        <f>'A) Base RI'!A39</f>
        <v>5456</v>
      </c>
      <c r="B39" s="42" t="str">
        <f>'A) Base RI'!B39</f>
        <v>Cudrefin</v>
      </c>
      <c r="C39" s="14">
        <f>'A) Base RI'!C39+'A) Base RI'!D39</f>
        <v>2297571.2200000002</v>
      </c>
      <c r="D39" s="14">
        <f>'A) Base RI'!AO39</f>
        <v>-31417.24</v>
      </c>
      <c r="E39" s="41">
        <f>'A) Base RI'!AP39</f>
        <v>0</v>
      </c>
      <c r="F39" s="41">
        <f>'A) Base RI'!AQ39</f>
        <v>-20.63</v>
      </c>
      <c r="G39" s="4">
        <f t="shared" si="0"/>
        <v>2266133.35</v>
      </c>
      <c r="H39" s="14">
        <f>'A) Base RI'!E39</f>
        <v>0</v>
      </c>
      <c r="I39" s="14">
        <f>'A) Base RI'!F39</f>
        <v>0</v>
      </c>
      <c r="J39" s="14">
        <f>'A) Base RI'!G39+'A) Base RI'!H39</f>
        <v>61656.25</v>
      </c>
      <c r="K39" s="14">
        <f>'A) Base RI'!I39</f>
        <v>0</v>
      </c>
      <c r="L39" s="14">
        <f>'A) Base RI'!J39</f>
        <v>63787.95</v>
      </c>
      <c r="M39" s="14">
        <f>'A) Base RI'!K39</f>
        <v>6781</v>
      </c>
      <c r="N39" s="14">
        <f>'A) Base RI'!Q39</f>
        <v>10185.709999999999</v>
      </c>
      <c r="O39" s="14">
        <f t="shared" si="1"/>
        <v>262525.5</v>
      </c>
      <c r="P39" s="14">
        <f>'A) Base RI'!L39</f>
        <v>393788.25</v>
      </c>
      <c r="Q39" s="44">
        <f>'A) Base RI'!AR39</f>
        <v>1.5</v>
      </c>
      <c r="R39" s="4">
        <f t="shared" si="2"/>
        <v>2671069.7600000002</v>
      </c>
      <c r="S39" s="43">
        <f>'A) Base RI'!AM39</f>
        <v>59</v>
      </c>
      <c r="T39" s="4">
        <f t="shared" si="3"/>
        <v>2401763.2600000002</v>
      </c>
      <c r="U39" s="4">
        <f t="shared" si="4"/>
        <v>45272.368813559326</v>
      </c>
      <c r="V39" s="14">
        <f>'A) Base RI'!O39</f>
        <v>555258.30000000005</v>
      </c>
      <c r="W39" s="14">
        <f>'A) Base RI'!P39</f>
        <v>174600.4</v>
      </c>
      <c r="X39" s="14">
        <f>'A) Base RI'!R39</f>
        <v>38369.85</v>
      </c>
      <c r="Y39" s="4">
        <f t="shared" si="5"/>
        <v>768228.55</v>
      </c>
      <c r="Z39" s="14">
        <f>'A) Base RI'!N39</f>
        <v>0</v>
      </c>
      <c r="AA39" s="14">
        <f>'A) Base RI'!S39+'A) Base RI'!T39</f>
        <v>337.5</v>
      </c>
      <c r="AB39" s="14">
        <f>'A) Base RI'!U39</f>
        <v>1305</v>
      </c>
      <c r="AC39" s="14">
        <f>'A) Base RI'!V39</f>
        <v>0</v>
      </c>
      <c r="AD39" s="14">
        <f>'A) Base RI'!W39</f>
        <v>0</v>
      </c>
      <c r="AE39" s="14">
        <f>'A) Base RI'!Y39</f>
        <v>28972.2</v>
      </c>
      <c r="AF39" s="14">
        <f>'A) Base RI'!Z39</f>
        <v>0</v>
      </c>
      <c r="AG39" s="14">
        <f>'A) Base RI'!AA39</f>
        <v>123996.5</v>
      </c>
      <c r="AH39" s="14">
        <f>'A) Base RI'!AB39</f>
        <v>0</v>
      </c>
      <c r="AI39" s="14">
        <f>'A) Base RI'!AC39</f>
        <v>231864.64</v>
      </c>
      <c r="AJ39" s="14">
        <f>'A) Base RI'!AD39</f>
        <v>12724</v>
      </c>
      <c r="AK39" s="14">
        <f>'A) Base RI'!AE39</f>
        <v>0</v>
      </c>
      <c r="AL39" s="14">
        <f>'A) Base RI'!AF39</f>
        <v>121876.7</v>
      </c>
      <c r="AM39" s="14">
        <f>'A) Base RI'!AG39</f>
        <v>0</v>
      </c>
      <c r="AN39" s="14">
        <f>'A) Base RI'!AH39</f>
        <v>0</v>
      </c>
      <c r="AO39" s="14">
        <f>'A) Base RI'!AI39</f>
        <v>0</v>
      </c>
      <c r="AP39" s="14">
        <f>'A) Base RI'!AJ39</f>
        <v>0</v>
      </c>
      <c r="AQ39" s="14">
        <f>'A) Base RI'!AK39</f>
        <v>0</v>
      </c>
      <c r="AR39" s="14">
        <f>'A) Base RI'!AN39</f>
        <v>1516</v>
      </c>
    </row>
    <row r="40" spans="1:44" x14ac:dyDescent="0.25">
      <c r="A40" s="12">
        <f>'A) Base RI'!A40</f>
        <v>5458</v>
      </c>
      <c r="B40" s="42" t="str">
        <f>'A) Base RI'!B40</f>
        <v>Faoug</v>
      </c>
      <c r="C40" s="14">
        <f>'A) Base RI'!C40+'A) Base RI'!D40</f>
        <v>1541792.56</v>
      </c>
      <c r="D40" s="14">
        <f>'A) Base RI'!AO40</f>
        <v>-34168.080000000002</v>
      </c>
      <c r="E40" s="41">
        <f>'A) Base RI'!AP40</f>
        <v>0</v>
      </c>
      <c r="F40" s="41">
        <f>'A) Base RI'!AQ40</f>
        <v>-47.59</v>
      </c>
      <c r="G40" s="4">
        <f t="shared" si="0"/>
        <v>1507576.89</v>
      </c>
      <c r="H40" s="14">
        <f>'A) Base RI'!E40</f>
        <v>0</v>
      </c>
      <c r="I40" s="14">
        <f>'A) Base RI'!F40</f>
        <v>0</v>
      </c>
      <c r="J40" s="14">
        <f>'A) Base RI'!G40+'A) Base RI'!H40</f>
        <v>1028.5999999999999</v>
      </c>
      <c r="K40" s="14">
        <f>'A) Base RI'!I40</f>
        <v>0</v>
      </c>
      <c r="L40" s="14">
        <f>'A) Base RI'!J40</f>
        <v>42623.3</v>
      </c>
      <c r="M40" s="14">
        <f>'A) Base RI'!K40</f>
        <v>5851</v>
      </c>
      <c r="N40" s="14">
        <f>'A) Base RI'!Q40</f>
        <v>0</v>
      </c>
      <c r="O40" s="14">
        <f t="shared" si="1"/>
        <v>159703.4</v>
      </c>
      <c r="P40" s="14">
        <f>'A) Base RI'!L40</f>
        <v>159703.4</v>
      </c>
      <c r="Q40" s="44">
        <f>'A) Base RI'!AR40</f>
        <v>1</v>
      </c>
      <c r="R40" s="4">
        <f t="shared" si="2"/>
        <v>1716783.19</v>
      </c>
      <c r="S40" s="43">
        <f>'A) Base RI'!AM40</f>
        <v>61</v>
      </c>
      <c r="T40" s="4">
        <f t="shared" si="3"/>
        <v>1551228.79</v>
      </c>
      <c r="U40" s="4">
        <f t="shared" si="4"/>
        <v>28143.986721311474</v>
      </c>
      <c r="V40" s="14">
        <f>'A) Base RI'!O40</f>
        <v>21716.799999999999</v>
      </c>
      <c r="W40" s="14">
        <f>'A) Base RI'!P40</f>
        <v>92781.95</v>
      </c>
      <c r="X40" s="14">
        <f>'A) Base RI'!R40</f>
        <v>65912.149999999994</v>
      </c>
      <c r="Y40" s="4">
        <f t="shared" si="5"/>
        <v>180410.9</v>
      </c>
      <c r="Z40" s="14">
        <f>'A) Base RI'!N40</f>
        <v>0</v>
      </c>
      <c r="AA40" s="14">
        <f>'A) Base RI'!S40+'A) Base RI'!T40</f>
        <v>68.75</v>
      </c>
      <c r="AB40" s="14">
        <f>'A) Base RI'!U40</f>
        <v>7050</v>
      </c>
      <c r="AC40" s="14">
        <f>'A) Base RI'!V40</f>
        <v>0</v>
      </c>
      <c r="AD40" s="14">
        <f>'A) Base RI'!W40</f>
        <v>0</v>
      </c>
      <c r="AE40" s="14">
        <f>'A) Base RI'!Y40</f>
        <v>85350.05</v>
      </c>
      <c r="AF40" s="14">
        <f>'A) Base RI'!Z40</f>
        <v>12994.25</v>
      </c>
      <c r="AG40" s="14">
        <f>'A) Base RI'!AA40</f>
        <v>144369</v>
      </c>
      <c r="AH40" s="14">
        <f>'A) Base RI'!AB40</f>
        <v>0</v>
      </c>
      <c r="AI40" s="14">
        <f>'A) Base RI'!AC40</f>
        <v>73890</v>
      </c>
      <c r="AJ40" s="14">
        <f>'A) Base RI'!AD40</f>
        <v>85350.05</v>
      </c>
      <c r="AK40" s="14">
        <f>'A) Base RI'!AE40</f>
        <v>12994.25</v>
      </c>
      <c r="AL40" s="14">
        <f>'A) Base RI'!AF40</f>
        <v>0</v>
      </c>
      <c r="AM40" s="14">
        <f>'A) Base RI'!AG40</f>
        <v>31931.9</v>
      </c>
      <c r="AN40" s="14">
        <f>'A) Base RI'!AH40</f>
        <v>24520</v>
      </c>
      <c r="AO40" s="14">
        <f>'A) Base RI'!AI40</f>
        <v>0</v>
      </c>
      <c r="AP40" s="14">
        <f>'A) Base RI'!AJ40</f>
        <v>0</v>
      </c>
      <c r="AQ40" s="14">
        <f>'A) Base RI'!AK40</f>
        <v>0</v>
      </c>
      <c r="AR40" s="14">
        <f>'A) Base RI'!AN40</f>
        <v>853</v>
      </c>
    </row>
    <row r="41" spans="1:44" x14ac:dyDescent="0.25">
      <c r="A41" s="12">
        <f>'A) Base RI'!A41</f>
        <v>5464</v>
      </c>
      <c r="B41" s="42" t="str">
        <f>'A) Base RI'!B41</f>
        <v>Vully-les-Lacs</v>
      </c>
      <c r="C41" s="14">
        <f>'A) Base RI'!C41+'A) Base RI'!D41</f>
        <v>5761001.25</v>
      </c>
      <c r="D41" s="14">
        <f>'A) Base RI'!AO41</f>
        <v>-74180.19</v>
      </c>
      <c r="E41" s="41">
        <f>'A) Base RI'!AP41</f>
        <v>0</v>
      </c>
      <c r="F41" s="41">
        <f>'A) Base RI'!AQ41</f>
        <v>-1306.6199999999999</v>
      </c>
      <c r="G41" s="4">
        <f t="shared" si="0"/>
        <v>5685514.4399999995</v>
      </c>
      <c r="H41" s="14">
        <f>'A) Base RI'!E41</f>
        <v>0</v>
      </c>
      <c r="I41" s="14">
        <f>'A) Base RI'!F41</f>
        <v>0</v>
      </c>
      <c r="J41" s="14">
        <f>'A) Base RI'!G41+'A) Base RI'!H41</f>
        <v>81889.400000000009</v>
      </c>
      <c r="K41" s="14">
        <f>'A) Base RI'!I41</f>
        <v>0</v>
      </c>
      <c r="L41" s="14">
        <f>'A) Base RI'!J41</f>
        <v>123022.92</v>
      </c>
      <c r="M41" s="14">
        <f>'A) Base RI'!K41</f>
        <v>14847</v>
      </c>
      <c r="N41" s="14">
        <f>'A) Base RI'!Q41</f>
        <v>42734.7</v>
      </c>
      <c r="O41" s="14">
        <f t="shared" si="1"/>
        <v>542011.43333333335</v>
      </c>
      <c r="P41" s="14">
        <f>'A) Base RI'!L41</f>
        <v>813017.15</v>
      </c>
      <c r="Q41" s="44">
        <f>'A) Base RI'!AR41</f>
        <v>1.5</v>
      </c>
      <c r="R41" s="4">
        <f t="shared" si="2"/>
        <v>6490019.8933333335</v>
      </c>
      <c r="S41" s="43">
        <f>'A) Base RI'!AM41</f>
        <v>67</v>
      </c>
      <c r="T41" s="4">
        <f t="shared" si="3"/>
        <v>5933161.46</v>
      </c>
      <c r="U41" s="4">
        <f t="shared" si="4"/>
        <v>96865.968557213928</v>
      </c>
      <c r="V41" s="14">
        <f>'A) Base RI'!O41</f>
        <v>146359.70000000001</v>
      </c>
      <c r="W41" s="14">
        <f>'A) Base RI'!P41</f>
        <v>351536.95</v>
      </c>
      <c r="X41" s="14">
        <f>'A) Base RI'!R41</f>
        <v>246865.05</v>
      </c>
      <c r="Y41" s="4">
        <f t="shared" si="5"/>
        <v>744761.7</v>
      </c>
      <c r="Z41" s="14">
        <f>'A) Base RI'!N41</f>
        <v>0</v>
      </c>
      <c r="AA41" s="14">
        <f>'A) Base RI'!S41+'A) Base RI'!T41</f>
        <v>718.75</v>
      </c>
      <c r="AB41" s="14">
        <f>'A) Base RI'!U41</f>
        <v>20700</v>
      </c>
      <c r="AC41" s="14">
        <f>'A) Base RI'!V41</f>
        <v>0</v>
      </c>
      <c r="AD41" s="14">
        <f>'A) Base RI'!W41</f>
        <v>0</v>
      </c>
      <c r="AE41" s="14">
        <f>'A) Base RI'!Y41</f>
        <v>412751.15</v>
      </c>
      <c r="AF41" s="14">
        <f>'A) Base RI'!Z41</f>
        <v>208069.4</v>
      </c>
      <c r="AG41" s="14">
        <f>'A) Base RI'!AA41</f>
        <v>452988.75</v>
      </c>
      <c r="AH41" s="14">
        <f>'A) Base RI'!AB41</f>
        <v>0</v>
      </c>
      <c r="AI41" s="14">
        <f>'A) Base RI'!AC41</f>
        <v>276667.58</v>
      </c>
      <c r="AJ41" s="14">
        <f>'A) Base RI'!AD41</f>
        <v>474715.6</v>
      </c>
      <c r="AK41" s="14">
        <f>'A) Base RI'!AE41</f>
        <v>0</v>
      </c>
      <c r="AL41" s="14">
        <f>'A) Base RI'!AF41</f>
        <v>0</v>
      </c>
      <c r="AM41" s="14">
        <f>'A) Base RI'!AG41</f>
        <v>150096.95000000001</v>
      </c>
      <c r="AN41" s="14">
        <f>'A) Base RI'!AH41</f>
        <v>0</v>
      </c>
      <c r="AO41" s="14">
        <f>'A) Base RI'!AI41</f>
        <v>92863.45</v>
      </c>
      <c r="AP41" s="14">
        <f>'A) Base RI'!AJ41</f>
        <v>0</v>
      </c>
      <c r="AQ41" s="14">
        <f>'A) Base RI'!AK41</f>
        <v>0</v>
      </c>
      <c r="AR41" s="14">
        <f>'A) Base RI'!AN41</f>
        <v>2825</v>
      </c>
    </row>
    <row r="42" spans="1:44" x14ac:dyDescent="0.25">
      <c r="A42" s="12">
        <f>'A) Base RI'!A42</f>
        <v>5471</v>
      </c>
      <c r="B42" s="42" t="str">
        <f>'A) Base RI'!B42</f>
        <v>Bettens</v>
      </c>
      <c r="C42" s="14">
        <f>'A) Base RI'!C42+'A) Base RI'!D42</f>
        <v>1082576.75</v>
      </c>
      <c r="D42" s="14">
        <f>'A) Base RI'!AO42</f>
        <v>-18160.990000000002</v>
      </c>
      <c r="E42" s="41">
        <f>'A) Base RI'!AP42</f>
        <v>0</v>
      </c>
      <c r="F42" s="41">
        <f>'A) Base RI'!AQ42</f>
        <v>-430.28</v>
      </c>
      <c r="G42" s="4">
        <f t="shared" si="0"/>
        <v>1063985.48</v>
      </c>
      <c r="H42" s="14">
        <f>'A) Base RI'!E42</f>
        <v>0</v>
      </c>
      <c r="I42" s="14">
        <f>'A) Base RI'!F42</f>
        <v>0</v>
      </c>
      <c r="J42" s="14">
        <f>'A) Base RI'!G42+'A) Base RI'!H42</f>
        <v>78951.099999999991</v>
      </c>
      <c r="K42" s="14">
        <f>'A) Base RI'!I42</f>
        <v>0</v>
      </c>
      <c r="L42" s="14">
        <f>'A) Base RI'!J42</f>
        <v>28660.62</v>
      </c>
      <c r="M42" s="14">
        <f>'A) Base RI'!K42</f>
        <v>1306.5</v>
      </c>
      <c r="N42" s="14">
        <f>'A) Base RI'!Q42</f>
        <v>13634.85</v>
      </c>
      <c r="O42" s="14">
        <f t="shared" si="1"/>
        <v>85239.444444444438</v>
      </c>
      <c r="P42" s="14">
        <f>'A) Base RI'!L42</f>
        <v>76715.5</v>
      </c>
      <c r="Q42" s="44">
        <f>'A) Base RI'!AR42</f>
        <v>0.9</v>
      </c>
      <c r="R42" s="4">
        <f t="shared" si="2"/>
        <v>1271777.9944444448</v>
      </c>
      <c r="S42" s="43">
        <f>'A) Base RI'!AM42</f>
        <v>70</v>
      </c>
      <c r="T42" s="4">
        <f t="shared" si="3"/>
        <v>1185232.0500000003</v>
      </c>
      <c r="U42" s="4">
        <f t="shared" si="4"/>
        <v>18168.257063492067</v>
      </c>
      <c r="V42" s="14">
        <f>'A) Base RI'!O42</f>
        <v>0</v>
      </c>
      <c r="W42" s="14">
        <f>'A) Base RI'!P42</f>
        <v>95222.65</v>
      </c>
      <c r="X42" s="14">
        <f>'A) Base RI'!R42</f>
        <v>30638.45</v>
      </c>
      <c r="Y42" s="4">
        <f t="shared" si="5"/>
        <v>125861.09999999999</v>
      </c>
      <c r="Z42" s="14">
        <f>'A) Base RI'!N42</f>
        <v>2335.65</v>
      </c>
      <c r="AA42" s="14">
        <f>'A) Base RI'!S42+'A) Base RI'!T42</f>
        <v>31.25</v>
      </c>
      <c r="AB42" s="14">
        <f>'A) Base RI'!U42</f>
        <v>4050</v>
      </c>
      <c r="AC42" s="14">
        <f>'A) Base RI'!V42</f>
        <v>0</v>
      </c>
      <c r="AD42" s="14">
        <f>'A) Base RI'!W42</f>
        <v>0</v>
      </c>
      <c r="AE42" s="14">
        <f>'A) Base RI'!Y42</f>
        <v>95568.75</v>
      </c>
      <c r="AF42" s="14">
        <f>'A) Base RI'!Z42</f>
        <v>0</v>
      </c>
      <c r="AG42" s="14">
        <f>'A) Base RI'!AA42</f>
        <v>62076.2</v>
      </c>
      <c r="AH42" s="14">
        <f>'A) Base RI'!AB42</f>
        <v>0</v>
      </c>
      <c r="AI42" s="14">
        <f>'A) Base RI'!AC42</f>
        <v>20558.2</v>
      </c>
      <c r="AJ42" s="14">
        <f>'A) Base RI'!AD42</f>
        <v>28766.45</v>
      </c>
      <c r="AK42" s="14">
        <f>'A) Base RI'!AE42</f>
        <v>0</v>
      </c>
      <c r="AL42" s="14">
        <f>'A) Base RI'!AF42</f>
        <v>0</v>
      </c>
      <c r="AM42" s="14">
        <f>'A) Base RI'!AG42</f>
        <v>0</v>
      </c>
      <c r="AN42" s="14">
        <f>'A) Base RI'!AH42</f>
        <v>0</v>
      </c>
      <c r="AO42" s="14">
        <f>'A) Base RI'!AI42</f>
        <v>0</v>
      </c>
      <c r="AP42" s="14">
        <f>'A) Base RI'!AJ42</f>
        <v>0</v>
      </c>
      <c r="AQ42" s="14">
        <f>'A) Base RI'!AK42</f>
        <v>0</v>
      </c>
      <c r="AR42" s="14">
        <f>'A) Base RI'!AN42</f>
        <v>557</v>
      </c>
    </row>
    <row r="43" spans="1:44" x14ac:dyDescent="0.25">
      <c r="A43" s="12">
        <f>'A) Base RI'!A43</f>
        <v>5472</v>
      </c>
      <c r="B43" s="42" t="str">
        <f>'A) Base RI'!B43</f>
        <v>Bournens</v>
      </c>
      <c r="C43" s="14">
        <f>'A) Base RI'!C43+'A) Base RI'!D43</f>
        <v>985175.12</v>
      </c>
      <c r="D43" s="14">
        <f>'A) Base RI'!AO43</f>
        <v>-8152</v>
      </c>
      <c r="E43" s="41">
        <f>'A) Base RI'!AP43</f>
        <v>0</v>
      </c>
      <c r="F43" s="41">
        <f>'A) Base RI'!AQ43</f>
        <v>-51.97</v>
      </c>
      <c r="G43" s="4">
        <f t="shared" si="0"/>
        <v>976971.15</v>
      </c>
      <c r="H43" s="14">
        <f>'A) Base RI'!E43</f>
        <v>0</v>
      </c>
      <c r="I43" s="14">
        <f>'A) Base RI'!F43</f>
        <v>0</v>
      </c>
      <c r="J43" s="14">
        <f>'A) Base RI'!G43+'A) Base RI'!H43</f>
        <v>2557.7000000000003</v>
      </c>
      <c r="K43" s="14">
        <f>'A) Base RI'!I43</f>
        <v>0</v>
      </c>
      <c r="L43" s="14">
        <f>'A) Base RI'!J43</f>
        <v>11004.93</v>
      </c>
      <c r="M43" s="14">
        <f>'A) Base RI'!K43</f>
        <v>200</v>
      </c>
      <c r="N43" s="14">
        <f>'A) Base RI'!Q43</f>
        <v>0</v>
      </c>
      <c r="O43" s="14">
        <f t="shared" si="1"/>
        <v>66355.649999999994</v>
      </c>
      <c r="P43" s="14">
        <f>'A) Base RI'!L43</f>
        <v>66355.649999999994</v>
      </c>
      <c r="Q43" s="44">
        <f>'A) Base RI'!AR43</f>
        <v>1</v>
      </c>
      <c r="R43" s="4">
        <f t="shared" si="2"/>
        <v>1057089.43</v>
      </c>
      <c r="S43" s="43">
        <f>'A) Base RI'!AM43</f>
        <v>80</v>
      </c>
      <c r="T43" s="4">
        <f t="shared" si="3"/>
        <v>990533.78</v>
      </c>
      <c r="U43" s="4">
        <f t="shared" si="4"/>
        <v>13213.617875</v>
      </c>
      <c r="V43" s="14">
        <f>'A) Base RI'!O43</f>
        <v>0</v>
      </c>
      <c r="W43" s="14">
        <f>'A) Base RI'!P43</f>
        <v>62610.85</v>
      </c>
      <c r="X43" s="14">
        <f>'A) Base RI'!R43</f>
        <v>39290.75</v>
      </c>
      <c r="Y43" s="4">
        <f t="shared" si="5"/>
        <v>101901.6</v>
      </c>
      <c r="Z43" s="14">
        <f>'A) Base RI'!N43</f>
        <v>0</v>
      </c>
      <c r="AA43" s="14">
        <f>'A) Base RI'!S43+'A) Base RI'!T43</f>
        <v>187.5</v>
      </c>
      <c r="AB43" s="14">
        <f>'A) Base RI'!U43</f>
        <v>1290</v>
      </c>
      <c r="AC43" s="14">
        <f>'A) Base RI'!V43</f>
        <v>0</v>
      </c>
      <c r="AD43" s="14">
        <f>'A) Base RI'!W43</f>
        <v>0</v>
      </c>
      <c r="AE43" s="14">
        <f>'A) Base RI'!Y43</f>
        <v>0</v>
      </c>
      <c r="AF43" s="14">
        <f>'A) Base RI'!Z43</f>
        <v>0</v>
      </c>
      <c r="AG43" s="14">
        <f>'A) Base RI'!AA43</f>
        <v>33844.400000000001</v>
      </c>
      <c r="AH43" s="14">
        <f>'A) Base RI'!AB43</f>
        <v>0</v>
      </c>
      <c r="AI43" s="14">
        <f>'A) Base RI'!AC43</f>
        <v>28900</v>
      </c>
      <c r="AJ43" s="14">
        <f>'A) Base RI'!AD43</f>
        <v>0</v>
      </c>
      <c r="AK43" s="14">
        <f>'A) Base RI'!AE43</f>
        <v>0</v>
      </c>
      <c r="AL43" s="14">
        <f>'A) Base RI'!AF43</f>
        <v>0</v>
      </c>
      <c r="AM43" s="14">
        <f>'A) Base RI'!AG43</f>
        <v>0</v>
      </c>
      <c r="AN43" s="14">
        <f>'A) Base RI'!AH43</f>
        <v>0</v>
      </c>
      <c r="AO43" s="14">
        <f>'A) Base RI'!AI43</f>
        <v>0</v>
      </c>
      <c r="AP43" s="14">
        <f>'A) Base RI'!AJ43</f>
        <v>0</v>
      </c>
      <c r="AQ43" s="14">
        <f>'A) Base RI'!AK43</f>
        <v>0</v>
      </c>
      <c r="AR43" s="14">
        <f>'A) Base RI'!AN43</f>
        <v>373</v>
      </c>
    </row>
    <row r="44" spans="1:44" x14ac:dyDescent="0.25">
      <c r="A44" s="12">
        <f>'A) Base RI'!A44</f>
        <v>5473</v>
      </c>
      <c r="B44" s="42" t="str">
        <f>'A) Base RI'!B44</f>
        <v>Boussens</v>
      </c>
      <c r="C44" s="14">
        <f>'A) Base RI'!C44+'A) Base RI'!D44</f>
        <v>2000398.1400000001</v>
      </c>
      <c r="D44" s="14">
        <f>'A) Base RI'!AO44</f>
        <v>-9862.41</v>
      </c>
      <c r="E44" s="41">
        <f>'A) Base RI'!AP44</f>
        <v>0</v>
      </c>
      <c r="F44" s="41">
        <f>'A) Base RI'!AQ44</f>
        <v>-24.43</v>
      </c>
      <c r="G44" s="4">
        <f t="shared" si="0"/>
        <v>1990511.3000000003</v>
      </c>
      <c r="H44" s="14">
        <f>'A) Base RI'!E44</f>
        <v>0</v>
      </c>
      <c r="I44" s="14">
        <f>'A) Base RI'!F44</f>
        <v>0</v>
      </c>
      <c r="J44" s="14">
        <f>'A) Base RI'!G44+'A) Base RI'!H44</f>
        <v>70225.8</v>
      </c>
      <c r="K44" s="14">
        <f>'A) Base RI'!I44</f>
        <v>0</v>
      </c>
      <c r="L44" s="14">
        <f>'A) Base RI'!J44</f>
        <v>43679.99</v>
      </c>
      <c r="M44" s="14">
        <f>'A) Base RI'!K44</f>
        <v>3431.5</v>
      </c>
      <c r="N44" s="14">
        <f>'A) Base RI'!Q44</f>
        <v>1819.6</v>
      </c>
      <c r="O44" s="14">
        <f t="shared" si="1"/>
        <v>167866.6</v>
      </c>
      <c r="P44" s="14">
        <f>'A) Base RI'!L44</f>
        <v>167866.6</v>
      </c>
      <c r="Q44" s="44">
        <f>'A) Base RI'!AR44</f>
        <v>1</v>
      </c>
      <c r="R44" s="4">
        <f t="shared" si="2"/>
        <v>2277534.7900000005</v>
      </c>
      <c r="S44" s="43">
        <f>'A) Base RI'!AM44</f>
        <v>69</v>
      </c>
      <c r="T44" s="4">
        <f t="shared" si="3"/>
        <v>2106236.6900000004</v>
      </c>
      <c r="U44" s="4">
        <f t="shared" si="4"/>
        <v>33007.750579710155</v>
      </c>
      <c r="V44" s="14">
        <f>'A) Base RI'!O44</f>
        <v>0</v>
      </c>
      <c r="W44" s="14">
        <f>'A) Base RI'!P44</f>
        <v>19373.7</v>
      </c>
      <c r="X44" s="14">
        <f>'A) Base RI'!R44</f>
        <v>20191.650000000001</v>
      </c>
      <c r="Y44" s="4">
        <f t="shared" si="5"/>
        <v>39565.350000000006</v>
      </c>
      <c r="Z44" s="14">
        <f>'A) Base RI'!N44</f>
        <v>0</v>
      </c>
      <c r="AA44" s="14">
        <f>'A) Base RI'!S44+'A) Base RI'!T44</f>
        <v>0</v>
      </c>
      <c r="AB44" s="14">
        <f>'A) Base RI'!U44</f>
        <v>5760</v>
      </c>
      <c r="AC44" s="14">
        <f>'A) Base RI'!V44</f>
        <v>0</v>
      </c>
      <c r="AD44" s="14">
        <f>'A) Base RI'!W44</f>
        <v>0</v>
      </c>
      <c r="AE44" s="14">
        <f>'A) Base RI'!Y44</f>
        <v>5800</v>
      </c>
      <c r="AF44" s="14">
        <f>'A) Base RI'!Z44</f>
        <v>0</v>
      </c>
      <c r="AG44" s="14">
        <f>'A) Base RI'!AA44</f>
        <v>170797</v>
      </c>
      <c r="AH44" s="14">
        <f>'A) Base RI'!AB44</f>
        <v>0</v>
      </c>
      <c r="AI44" s="14">
        <f>'A) Base RI'!AC44</f>
        <v>101619</v>
      </c>
      <c r="AJ44" s="14">
        <f>'A) Base RI'!AD44</f>
        <v>0</v>
      </c>
      <c r="AK44" s="14">
        <f>'A) Base RI'!AE44</f>
        <v>0</v>
      </c>
      <c r="AL44" s="14">
        <f>'A) Base RI'!AF44</f>
        <v>0</v>
      </c>
      <c r="AM44" s="14">
        <f>'A) Base RI'!AG44</f>
        <v>0</v>
      </c>
      <c r="AN44" s="14">
        <f>'A) Base RI'!AH44</f>
        <v>0</v>
      </c>
      <c r="AO44" s="14">
        <f>'A) Base RI'!AI44</f>
        <v>0</v>
      </c>
      <c r="AP44" s="14">
        <f>'A) Base RI'!AJ44</f>
        <v>0</v>
      </c>
      <c r="AQ44" s="14">
        <f>'A) Base RI'!AK44</f>
        <v>0</v>
      </c>
      <c r="AR44" s="14">
        <f>'A) Base RI'!AN44</f>
        <v>958</v>
      </c>
    </row>
    <row r="45" spans="1:44" x14ac:dyDescent="0.25">
      <c r="A45" s="12">
        <f>'A) Base RI'!A45</f>
        <v>5474</v>
      </c>
      <c r="B45" s="42" t="str">
        <f>'A) Base RI'!B45</f>
        <v>La Chaux (Cossonay)</v>
      </c>
      <c r="C45" s="14">
        <f>'A) Base RI'!C45+'A) Base RI'!D45</f>
        <v>866767.86</v>
      </c>
      <c r="D45" s="14">
        <f>'A) Base RI'!AO45</f>
        <v>-3685.99</v>
      </c>
      <c r="E45" s="41">
        <f>'A) Base RI'!AP45</f>
        <v>0</v>
      </c>
      <c r="F45" s="41">
        <f>'A) Base RI'!AQ45</f>
        <v>-13.33</v>
      </c>
      <c r="G45" s="4">
        <f t="shared" si="0"/>
        <v>863068.54</v>
      </c>
      <c r="H45" s="14">
        <f>'A) Base RI'!E45</f>
        <v>0</v>
      </c>
      <c r="I45" s="14">
        <f>'A) Base RI'!F45</f>
        <v>0</v>
      </c>
      <c r="J45" s="14">
        <f>'A) Base RI'!G45+'A) Base RI'!H45</f>
        <v>6022.1</v>
      </c>
      <c r="K45" s="14">
        <f>'A) Base RI'!I45</f>
        <v>33792.6</v>
      </c>
      <c r="L45" s="14">
        <f>'A) Base RI'!J45</f>
        <v>8335.57</v>
      </c>
      <c r="M45" s="14">
        <f>'A) Base RI'!K45</f>
        <v>560</v>
      </c>
      <c r="N45" s="14">
        <f>'A) Base RI'!Q45</f>
        <v>0</v>
      </c>
      <c r="O45" s="14">
        <f t="shared" si="1"/>
        <v>65385.708333333343</v>
      </c>
      <c r="P45" s="14">
        <f>'A) Base RI'!L45</f>
        <v>78462.850000000006</v>
      </c>
      <c r="Q45" s="44">
        <f>'A) Base RI'!AR45</f>
        <v>1.2</v>
      </c>
      <c r="R45" s="4">
        <f t="shared" si="2"/>
        <v>977164.51833333331</v>
      </c>
      <c r="S45" s="43">
        <f>'A) Base RI'!AM45</f>
        <v>77</v>
      </c>
      <c r="T45" s="4">
        <f t="shared" si="3"/>
        <v>911218.80999999994</v>
      </c>
      <c r="U45" s="4">
        <f t="shared" si="4"/>
        <v>12690.44829004329</v>
      </c>
      <c r="V45" s="14">
        <f>'A) Base RI'!O45</f>
        <v>649.4</v>
      </c>
      <c r="W45" s="14">
        <f>'A) Base RI'!P45</f>
        <v>0</v>
      </c>
      <c r="X45" s="14">
        <f>'A) Base RI'!R45</f>
        <v>-15412.1</v>
      </c>
      <c r="Y45" s="4">
        <f t="shared" si="5"/>
        <v>-14762.7</v>
      </c>
      <c r="Z45" s="14">
        <f>'A) Base RI'!N45</f>
        <v>0</v>
      </c>
      <c r="AA45" s="14">
        <f>'A) Base RI'!S45+'A) Base RI'!T45</f>
        <v>75</v>
      </c>
      <c r="AB45" s="14">
        <f>'A) Base RI'!U45</f>
        <v>1000</v>
      </c>
      <c r="AC45" s="14">
        <f>'A) Base RI'!V45</f>
        <v>0</v>
      </c>
      <c r="AD45" s="14">
        <f>'A) Base RI'!W45</f>
        <v>0</v>
      </c>
      <c r="AE45" s="14">
        <f>'A) Base RI'!Y45</f>
        <v>37814</v>
      </c>
      <c r="AF45" s="14">
        <f>'A) Base RI'!Z45</f>
        <v>58640.4</v>
      </c>
      <c r="AG45" s="14">
        <f>'A) Base RI'!AA45</f>
        <v>0</v>
      </c>
      <c r="AH45" s="14">
        <f>'A) Base RI'!AB45</f>
        <v>0</v>
      </c>
      <c r="AI45" s="14">
        <f>'A) Base RI'!AC45</f>
        <v>0</v>
      </c>
      <c r="AJ45" s="14">
        <f>'A) Base RI'!AD45</f>
        <v>0</v>
      </c>
      <c r="AK45" s="14">
        <f>'A) Base RI'!AE45</f>
        <v>0</v>
      </c>
      <c r="AL45" s="14">
        <f>'A) Base RI'!AF45</f>
        <v>0</v>
      </c>
      <c r="AM45" s="14">
        <f>'A) Base RI'!AG45</f>
        <v>0</v>
      </c>
      <c r="AN45" s="14">
        <f>'A) Base RI'!AH45</f>
        <v>0</v>
      </c>
      <c r="AO45" s="14">
        <f>'A) Base RI'!AI45</f>
        <v>0</v>
      </c>
      <c r="AP45" s="14">
        <f>'A) Base RI'!AJ45</f>
        <v>0</v>
      </c>
      <c r="AQ45" s="14">
        <f>'A) Base RI'!AK45</f>
        <v>0</v>
      </c>
      <c r="AR45" s="14">
        <f>'A) Base RI'!AN45</f>
        <v>421</v>
      </c>
    </row>
    <row r="46" spans="1:44" x14ac:dyDescent="0.25">
      <c r="A46" s="12">
        <f>'A) Base RI'!A46</f>
        <v>5475</v>
      </c>
      <c r="B46" s="42" t="str">
        <f>'A) Base RI'!B46</f>
        <v>Chavannes-le-Veyron</v>
      </c>
      <c r="C46" s="14">
        <f>'A) Base RI'!C46+'A) Base RI'!D46</f>
        <v>184695.83</v>
      </c>
      <c r="D46" s="14">
        <f>'A) Base RI'!AO46</f>
        <v>-3184.57</v>
      </c>
      <c r="E46" s="41">
        <f>'A) Base RI'!AP46</f>
        <v>0</v>
      </c>
      <c r="F46" s="41">
        <f>'A) Base RI'!AQ46</f>
        <v>-0.25</v>
      </c>
      <c r="G46" s="4">
        <f t="shared" si="0"/>
        <v>181511.00999999998</v>
      </c>
      <c r="H46" s="14">
        <f>'A) Base RI'!E46</f>
        <v>0</v>
      </c>
      <c r="I46" s="14">
        <f>'A) Base RI'!F46</f>
        <v>0</v>
      </c>
      <c r="J46" s="14">
        <f>'A) Base RI'!G46+'A) Base RI'!H46</f>
        <v>1252.399999999999</v>
      </c>
      <c r="K46" s="14">
        <f>'A) Base RI'!I46</f>
        <v>0</v>
      </c>
      <c r="L46" s="14">
        <f>'A) Base RI'!J46</f>
        <v>9274.69</v>
      </c>
      <c r="M46" s="14">
        <f>'A) Base RI'!K46</f>
        <v>0</v>
      </c>
      <c r="N46" s="14">
        <f>'A) Base RI'!Q46</f>
        <v>0</v>
      </c>
      <c r="O46" s="14">
        <f t="shared" si="1"/>
        <v>19723.8</v>
      </c>
      <c r="P46" s="14">
        <f>'A) Base RI'!L46</f>
        <v>19723.8</v>
      </c>
      <c r="Q46" s="44">
        <f>'A) Base RI'!AR46</f>
        <v>1</v>
      </c>
      <c r="R46" s="4">
        <f t="shared" si="2"/>
        <v>211761.89999999997</v>
      </c>
      <c r="S46" s="43">
        <f>'A) Base RI'!AM46</f>
        <v>77</v>
      </c>
      <c r="T46" s="4">
        <f t="shared" si="3"/>
        <v>192038.09999999998</v>
      </c>
      <c r="U46" s="4">
        <f t="shared" si="4"/>
        <v>2750.1545454545449</v>
      </c>
      <c r="V46" s="14">
        <f>'A) Base RI'!O46</f>
        <v>0</v>
      </c>
      <c r="W46" s="14">
        <f>'A) Base RI'!P46</f>
        <v>3649.25</v>
      </c>
      <c r="X46" s="14">
        <f>'A) Base RI'!R46</f>
        <v>0</v>
      </c>
      <c r="Y46" s="4">
        <f t="shared" si="5"/>
        <v>3649.25</v>
      </c>
      <c r="Z46" s="14">
        <f>'A) Base RI'!N46</f>
        <v>0</v>
      </c>
      <c r="AA46" s="14">
        <f>'A) Base RI'!S46+'A) Base RI'!T46</f>
        <v>0</v>
      </c>
      <c r="AB46" s="14">
        <f>'A) Base RI'!U46</f>
        <v>420</v>
      </c>
      <c r="AC46" s="14">
        <f>'A) Base RI'!V46</f>
        <v>0</v>
      </c>
      <c r="AD46" s="14">
        <f>'A) Base RI'!W46</f>
        <v>0</v>
      </c>
      <c r="AE46" s="14">
        <f>'A) Base RI'!Y46</f>
        <v>0</v>
      </c>
      <c r="AF46" s="14">
        <f>'A) Base RI'!Z46</f>
        <v>0</v>
      </c>
      <c r="AG46" s="14">
        <f>'A) Base RI'!AA46</f>
        <v>10279.15</v>
      </c>
      <c r="AH46" s="14">
        <f>'A) Base RI'!AB46</f>
        <v>0</v>
      </c>
      <c r="AI46" s="14">
        <f>'A) Base RI'!AC46</f>
        <v>17610.150000000001</v>
      </c>
      <c r="AJ46" s="14">
        <f>'A) Base RI'!AD46</f>
        <v>1242.3</v>
      </c>
      <c r="AK46" s="14">
        <f>'A) Base RI'!AE46</f>
        <v>0</v>
      </c>
      <c r="AL46" s="14">
        <f>'A) Base RI'!AF46</f>
        <v>0</v>
      </c>
      <c r="AM46" s="14">
        <f>'A) Base RI'!AG46</f>
        <v>0</v>
      </c>
      <c r="AN46" s="14">
        <f>'A) Base RI'!AH46</f>
        <v>0</v>
      </c>
      <c r="AO46" s="14">
        <f>'A) Base RI'!AI46</f>
        <v>0</v>
      </c>
      <c r="AP46" s="14">
        <f>'A) Base RI'!AJ46</f>
        <v>0</v>
      </c>
      <c r="AQ46" s="14">
        <f>'A) Base RI'!AK46</f>
        <v>0</v>
      </c>
      <c r="AR46" s="14">
        <f>'A) Base RI'!AN46</f>
        <v>120</v>
      </c>
    </row>
    <row r="47" spans="1:44" x14ac:dyDescent="0.25">
      <c r="A47" s="12">
        <f>'A) Base RI'!A47</f>
        <v>5476</v>
      </c>
      <c r="B47" s="42" t="str">
        <f>'A) Base RI'!B47</f>
        <v>Chevilly</v>
      </c>
      <c r="C47" s="14">
        <f>'A) Base RI'!C47+'A) Base RI'!D47</f>
        <v>539756.43000000005</v>
      </c>
      <c r="D47" s="14">
        <f>'A) Base RI'!AO47</f>
        <v>-21320.6</v>
      </c>
      <c r="E47" s="41">
        <f>'A) Base RI'!AP47</f>
        <v>0</v>
      </c>
      <c r="F47" s="41">
        <f>'A) Base RI'!AQ47</f>
        <v>0</v>
      </c>
      <c r="G47" s="4">
        <f t="shared" si="0"/>
        <v>518435.83000000007</v>
      </c>
      <c r="H47" s="14">
        <f>'A) Base RI'!E47</f>
        <v>0</v>
      </c>
      <c r="I47" s="14">
        <f>'A) Base RI'!F47</f>
        <v>0</v>
      </c>
      <c r="J47" s="14">
        <f>'A) Base RI'!G47+'A) Base RI'!H47</f>
        <v>2981.45</v>
      </c>
      <c r="K47" s="14">
        <f>'A) Base RI'!I47</f>
        <v>0</v>
      </c>
      <c r="L47" s="14">
        <f>'A) Base RI'!J47</f>
        <v>10211.75</v>
      </c>
      <c r="M47" s="14">
        <f>'A) Base RI'!K47</f>
        <v>0</v>
      </c>
      <c r="N47" s="14">
        <f>'A) Base RI'!Q47</f>
        <v>3615.5</v>
      </c>
      <c r="O47" s="14">
        <f t="shared" si="1"/>
        <v>48439.200000000004</v>
      </c>
      <c r="P47" s="14">
        <f>'A) Base RI'!L47</f>
        <v>72658.8</v>
      </c>
      <c r="Q47" s="44">
        <f>'A) Base RI'!AR47</f>
        <v>1.5</v>
      </c>
      <c r="R47" s="4">
        <f t="shared" si="2"/>
        <v>583683.73</v>
      </c>
      <c r="S47" s="43">
        <f>'A) Base RI'!AM47</f>
        <v>74</v>
      </c>
      <c r="T47" s="4">
        <f t="shared" si="3"/>
        <v>535244.53</v>
      </c>
      <c r="U47" s="4">
        <f t="shared" si="4"/>
        <v>7887.6179729729729</v>
      </c>
      <c r="V47" s="14">
        <f>'A) Base RI'!O47</f>
        <v>0</v>
      </c>
      <c r="W47" s="14">
        <f>'A) Base RI'!P47</f>
        <v>78175.5</v>
      </c>
      <c r="X47" s="14">
        <f>'A) Base RI'!R47</f>
        <v>-2881.25</v>
      </c>
      <c r="Y47" s="4">
        <f t="shared" si="5"/>
        <v>75294.25</v>
      </c>
      <c r="Z47" s="14">
        <f>'A) Base RI'!N47</f>
        <v>2996.05</v>
      </c>
      <c r="AA47" s="14">
        <f>'A) Base RI'!S47+'A) Base RI'!T47</f>
        <v>0</v>
      </c>
      <c r="AB47" s="14">
        <f>'A) Base RI'!U47</f>
        <v>2700</v>
      </c>
      <c r="AC47" s="14">
        <f>'A) Base RI'!V47</f>
        <v>0</v>
      </c>
      <c r="AD47" s="14">
        <f>'A) Base RI'!W47</f>
        <v>0</v>
      </c>
      <c r="AE47" s="14">
        <f>'A) Base RI'!Y47</f>
        <v>12464.45</v>
      </c>
      <c r="AF47" s="14">
        <f>'A) Base RI'!Z47</f>
        <v>0</v>
      </c>
      <c r="AG47" s="14">
        <f>'A) Base RI'!AA47</f>
        <v>14310</v>
      </c>
      <c r="AH47" s="14">
        <f>'A) Base RI'!AB47</f>
        <v>0</v>
      </c>
      <c r="AI47" s="14">
        <f>'A) Base RI'!AC47</f>
        <v>14160</v>
      </c>
      <c r="AJ47" s="14">
        <f>'A) Base RI'!AD47</f>
        <v>20774.05</v>
      </c>
      <c r="AK47" s="14">
        <f>'A) Base RI'!AE47</f>
        <v>0</v>
      </c>
      <c r="AL47" s="14">
        <f>'A) Base RI'!AF47</f>
        <v>0</v>
      </c>
      <c r="AM47" s="14">
        <f>'A) Base RI'!AG47</f>
        <v>0</v>
      </c>
      <c r="AN47" s="14">
        <f>'A) Base RI'!AH47</f>
        <v>0</v>
      </c>
      <c r="AO47" s="14">
        <f>'A) Base RI'!AI47</f>
        <v>0</v>
      </c>
      <c r="AP47" s="14">
        <f>'A) Base RI'!AJ47</f>
        <v>0</v>
      </c>
      <c r="AQ47" s="14">
        <f>'A) Base RI'!AK47</f>
        <v>0</v>
      </c>
      <c r="AR47" s="14">
        <f>'A) Base RI'!AN47</f>
        <v>286</v>
      </c>
    </row>
    <row r="48" spans="1:44" x14ac:dyDescent="0.25">
      <c r="A48" s="12">
        <f>'A) Base RI'!A48</f>
        <v>5477</v>
      </c>
      <c r="B48" s="42" t="str">
        <f>'A) Base RI'!B48</f>
        <v>Cossonay</v>
      </c>
      <c r="C48" s="14">
        <f>'A) Base RI'!C48+'A) Base RI'!D48</f>
        <v>7147836.25</v>
      </c>
      <c r="D48" s="14">
        <f>'A) Base RI'!AO48</f>
        <v>-114717.79</v>
      </c>
      <c r="E48" s="41">
        <f>'A) Base RI'!AP48</f>
        <v>0</v>
      </c>
      <c r="F48" s="41">
        <f>'A) Base RI'!AQ48</f>
        <v>-77.819999999999993</v>
      </c>
      <c r="G48" s="4">
        <f t="shared" si="0"/>
        <v>7033040.6399999997</v>
      </c>
      <c r="H48" s="14">
        <f>'A) Base RI'!E48</f>
        <v>0</v>
      </c>
      <c r="I48" s="14">
        <f>'A) Base RI'!F48</f>
        <v>0</v>
      </c>
      <c r="J48" s="14">
        <f>'A) Base RI'!G48+'A) Base RI'!H48</f>
        <v>521271.45</v>
      </c>
      <c r="K48" s="14">
        <f>'A) Base RI'!I48</f>
        <v>0</v>
      </c>
      <c r="L48" s="14">
        <f>'A) Base RI'!J48</f>
        <v>198316.48</v>
      </c>
      <c r="M48" s="14">
        <f>'A) Base RI'!K48</f>
        <v>6142.5</v>
      </c>
      <c r="N48" s="14">
        <f>'A) Base RI'!Q48</f>
        <v>82027.34</v>
      </c>
      <c r="O48" s="14">
        <f t="shared" si="1"/>
        <v>516070.75</v>
      </c>
      <c r="P48" s="14">
        <f>'A) Base RI'!L48</f>
        <v>516070.75</v>
      </c>
      <c r="Q48" s="44">
        <f>'A) Base RI'!AR48</f>
        <v>1</v>
      </c>
      <c r="R48" s="4">
        <f t="shared" si="2"/>
        <v>8356869.1600000001</v>
      </c>
      <c r="S48" s="43">
        <f>'A) Base RI'!AM48</f>
        <v>69.3</v>
      </c>
      <c r="T48" s="4">
        <f t="shared" si="3"/>
        <v>7834655.9100000001</v>
      </c>
      <c r="U48" s="4">
        <f t="shared" si="4"/>
        <v>120589.74256854257</v>
      </c>
      <c r="V48" s="14">
        <f>'A) Base RI'!O48</f>
        <v>174778.55</v>
      </c>
      <c r="W48" s="14">
        <f>'A) Base RI'!P48</f>
        <v>337704.05</v>
      </c>
      <c r="X48" s="14">
        <f>'A) Base RI'!R48</f>
        <v>214883.6</v>
      </c>
      <c r="Y48" s="4">
        <f t="shared" si="5"/>
        <v>727366.2</v>
      </c>
      <c r="Z48" s="14">
        <f>'A) Base RI'!N48</f>
        <v>78698.25</v>
      </c>
      <c r="AA48" s="14">
        <f>'A) Base RI'!S48+'A) Base RI'!T48</f>
        <v>275</v>
      </c>
      <c r="AB48" s="14">
        <f>'A) Base RI'!U48</f>
        <v>16500</v>
      </c>
      <c r="AC48" s="14">
        <f>'A) Base RI'!V48</f>
        <v>0</v>
      </c>
      <c r="AD48" s="14">
        <f>'A) Base RI'!W48</f>
        <v>0</v>
      </c>
      <c r="AE48" s="14">
        <f>'A) Base RI'!Y48</f>
        <v>278288.45</v>
      </c>
      <c r="AF48" s="14">
        <f>'A) Base RI'!Z48</f>
        <v>29640</v>
      </c>
      <c r="AG48" s="14">
        <f>'A) Base RI'!AA48</f>
        <v>284430.40000000002</v>
      </c>
      <c r="AH48" s="14">
        <f>'A) Base RI'!AB48</f>
        <v>380096.15</v>
      </c>
      <c r="AI48" s="14">
        <f>'A) Base RI'!AC48</f>
        <v>339811.65</v>
      </c>
      <c r="AJ48" s="14">
        <f>'A) Base RI'!AD48</f>
        <v>206409.35</v>
      </c>
      <c r="AK48" s="14">
        <f>'A) Base RI'!AE48</f>
        <v>60386.7</v>
      </c>
      <c r="AL48" s="14">
        <f>'A) Base RI'!AF48</f>
        <v>0</v>
      </c>
      <c r="AM48" s="14">
        <f>'A) Base RI'!AG48</f>
        <v>1275</v>
      </c>
      <c r="AN48" s="14">
        <f>'A) Base RI'!AH48</f>
        <v>74615.8</v>
      </c>
      <c r="AO48" s="14">
        <f>'A) Base RI'!AI48</f>
        <v>0</v>
      </c>
      <c r="AP48" s="14">
        <f>'A) Base RI'!AJ48</f>
        <v>0</v>
      </c>
      <c r="AQ48" s="14">
        <f>'A) Base RI'!AK48</f>
        <v>2100</v>
      </c>
      <c r="AR48" s="14">
        <f>'A) Base RI'!AN48</f>
        <v>3642</v>
      </c>
    </row>
    <row r="49" spans="1:44" x14ac:dyDescent="0.25">
      <c r="A49" s="12">
        <f>'A) Base RI'!A49</f>
        <v>5478</v>
      </c>
      <c r="B49" s="42" t="str">
        <f>'A) Base RI'!B49</f>
        <v>Cottens</v>
      </c>
      <c r="C49" s="14">
        <f>'A) Base RI'!C49+'A) Base RI'!D49</f>
        <v>992700.44</v>
      </c>
      <c r="D49" s="14">
        <f>'A) Base RI'!AO49</f>
        <v>-5311.81</v>
      </c>
      <c r="E49" s="41">
        <f>'A) Base RI'!AP49</f>
        <v>0</v>
      </c>
      <c r="F49" s="41">
        <f>'A) Base RI'!AQ49</f>
        <v>0</v>
      </c>
      <c r="G49" s="4">
        <f t="shared" si="0"/>
        <v>987388.62999999989</v>
      </c>
      <c r="H49" s="14">
        <f>'A) Base RI'!E49</f>
        <v>0</v>
      </c>
      <c r="I49" s="14">
        <f>'A) Base RI'!F49</f>
        <v>0</v>
      </c>
      <c r="J49" s="14">
        <f>'A) Base RI'!G49+'A) Base RI'!H49</f>
        <v>40933.5</v>
      </c>
      <c r="K49" s="14">
        <f>'A) Base RI'!I49</f>
        <v>0</v>
      </c>
      <c r="L49" s="14">
        <f>'A) Base RI'!J49</f>
        <v>6542.89</v>
      </c>
      <c r="M49" s="14">
        <f>'A) Base RI'!K49</f>
        <v>250</v>
      </c>
      <c r="N49" s="14">
        <f>'A) Base RI'!Q49</f>
        <v>6232.49</v>
      </c>
      <c r="O49" s="14">
        <f t="shared" si="1"/>
        <v>72077.3</v>
      </c>
      <c r="P49" s="14">
        <f>'A) Base RI'!L49</f>
        <v>72077.3</v>
      </c>
      <c r="Q49" s="44">
        <f>'A) Base RI'!AR49</f>
        <v>1</v>
      </c>
      <c r="R49" s="4">
        <f t="shared" si="2"/>
        <v>1113424.8099999998</v>
      </c>
      <c r="S49" s="43">
        <f>'A) Base RI'!AM49</f>
        <v>72</v>
      </c>
      <c r="T49" s="4">
        <f t="shared" si="3"/>
        <v>1041097.5099999999</v>
      </c>
      <c r="U49" s="4">
        <f t="shared" si="4"/>
        <v>15464.23347222222</v>
      </c>
      <c r="V49" s="14">
        <f>'A) Base RI'!O49</f>
        <v>717.8</v>
      </c>
      <c r="W49" s="14">
        <f>'A) Base RI'!P49</f>
        <v>6600</v>
      </c>
      <c r="X49" s="14">
        <f>'A) Base RI'!R49</f>
        <v>20155.05</v>
      </c>
      <c r="Y49" s="4">
        <f t="shared" si="5"/>
        <v>27472.85</v>
      </c>
      <c r="Z49" s="14">
        <f>'A) Base RI'!N49</f>
        <v>0</v>
      </c>
      <c r="AA49" s="14">
        <f>'A) Base RI'!S49+'A) Base RI'!T49</f>
        <v>331.25</v>
      </c>
      <c r="AB49" s="14">
        <f>'A) Base RI'!U49</f>
        <v>1850</v>
      </c>
      <c r="AC49" s="14">
        <f>'A) Base RI'!V49</f>
        <v>0</v>
      </c>
      <c r="AD49" s="14">
        <f>'A) Base RI'!W49</f>
        <v>0</v>
      </c>
      <c r="AE49" s="14">
        <f>'A) Base RI'!Y49</f>
        <v>3524.05</v>
      </c>
      <c r="AF49" s="14">
        <f>'A) Base RI'!Z49</f>
        <v>0</v>
      </c>
      <c r="AG49" s="14">
        <f>'A) Base RI'!AA49</f>
        <v>29736.25</v>
      </c>
      <c r="AH49" s="14">
        <f>'A) Base RI'!AB49</f>
        <v>0</v>
      </c>
      <c r="AI49" s="14">
        <f>'A) Base RI'!AC49</f>
        <v>44694.3</v>
      </c>
      <c r="AJ49" s="14">
        <f>'A) Base RI'!AD49</f>
        <v>3524.05</v>
      </c>
      <c r="AK49" s="14">
        <f>'A) Base RI'!AE49</f>
        <v>0</v>
      </c>
      <c r="AL49" s="14">
        <f>'A) Base RI'!AF49</f>
        <v>0</v>
      </c>
      <c r="AM49" s="14">
        <f>'A) Base RI'!AG49</f>
        <v>0</v>
      </c>
      <c r="AN49" s="14">
        <f>'A) Base RI'!AH49</f>
        <v>0</v>
      </c>
      <c r="AO49" s="14">
        <f>'A) Base RI'!AI49</f>
        <v>0</v>
      </c>
      <c r="AP49" s="14">
        <f>'A) Base RI'!AJ49</f>
        <v>0</v>
      </c>
      <c r="AQ49" s="14">
        <f>'A) Base RI'!AK49</f>
        <v>0</v>
      </c>
      <c r="AR49" s="14">
        <f>'A) Base RI'!AN49</f>
        <v>473</v>
      </c>
    </row>
    <row r="50" spans="1:44" x14ac:dyDescent="0.25">
      <c r="A50" s="12">
        <f>'A) Base RI'!A50</f>
        <v>5479</v>
      </c>
      <c r="B50" s="42" t="str">
        <f>'A) Base RI'!B50</f>
        <v>Cuarnens</v>
      </c>
      <c r="C50" s="14">
        <f>'A) Base RI'!C50+'A) Base RI'!D50</f>
        <v>747381.39999999991</v>
      </c>
      <c r="D50" s="14">
        <f>'A) Base RI'!AO50</f>
        <v>-14870.28</v>
      </c>
      <c r="E50" s="41">
        <f>'A) Base RI'!AP50</f>
        <v>0</v>
      </c>
      <c r="F50" s="41">
        <f>'A) Base RI'!AQ50</f>
        <v>-33.04</v>
      </c>
      <c r="G50" s="4">
        <f t="shared" si="0"/>
        <v>732478.07999999984</v>
      </c>
      <c r="H50" s="14">
        <f>'A) Base RI'!E50</f>
        <v>0</v>
      </c>
      <c r="I50" s="14">
        <f>'A) Base RI'!F50</f>
        <v>0</v>
      </c>
      <c r="J50" s="14">
        <f>'A) Base RI'!G50+'A) Base RI'!H50</f>
        <v>3370.9</v>
      </c>
      <c r="K50" s="14">
        <f>'A) Base RI'!I50</f>
        <v>54737.05</v>
      </c>
      <c r="L50" s="14">
        <f>'A) Base RI'!J50</f>
        <v>10424.219999999999</v>
      </c>
      <c r="M50" s="14">
        <f>'A) Base RI'!K50</f>
        <v>1912</v>
      </c>
      <c r="N50" s="14">
        <f>'A) Base RI'!Q50</f>
        <v>36094.379999999997</v>
      </c>
      <c r="O50" s="14">
        <f t="shared" si="1"/>
        <v>70008.800000000003</v>
      </c>
      <c r="P50" s="14">
        <f>'A) Base RI'!L50</f>
        <v>70008.800000000003</v>
      </c>
      <c r="Q50" s="44">
        <f>'A) Base RI'!AR50</f>
        <v>1</v>
      </c>
      <c r="R50" s="4">
        <f t="shared" si="2"/>
        <v>909025.42999999993</v>
      </c>
      <c r="S50" s="43">
        <f>'A) Base RI'!AM50</f>
        <v>77</v>
      </c>
      <c r="T50" s="4">
        <f t="shared" si="3"/>
        <v>837104.62999999989</v>
      </c>
      <c r="U50" s="4">
        <f t="shared" si="4"/>
        <v>11805.525064935064</v>
      </c>
      <c r="V50" s="14">
        <f>'A) Base RI'!O50</f>
        <v>14770.7</v>
      </c>
      <c r="W50" s="14">
        <f>'A) Base RI'!P50</f>
        <v>5106.2</v>
      </c>
      <c r="X50" s="14">
        <f>'A) Base RI'!R50</f>
        <v>-4698.1499999999996</v>
      </c>
      <c r="Y50" s="4">
        <f t="shared" si="5"/>
        <v>15178.750000000002</v>
      </c>
      <c r="Z50" s="14">
        <f>'A) Base RI'!N50</f>
        <v>1482.8</v>
      </c>
      <c r="AA50" s="14">
        <f>'A) Base RI'!S50+'A) Base RI'!T50</f>
        <v>0</v>
      </c>
      <c r="AB50" s="14">
        <f>'A) Base RI'!U50</f>
        <v>1800</v>
      </c>
      <c r="AC50" s="14">
        <f>'A) Base RI'!V50</f>
        <v>0</v>
      </c>
      <c r="AD50" s="14">
        <f>'A) Base RI'!W50</f>
        <v>0</v>
      </c>
      <c r="AE50" s="14">
        <f>'A) Base RI'!Y50</f>
        <v>7135</v>
      </c>
      <c r="AF50" s="14">
        <f>'A) Base RI'!Z50</f>
        <v>0</v>
      </c>
      <c r="AG50" s="14">
        <f>'A) Base RI'!AA50</f>
        <v>51878.1</v>
      </c>
      <c r="AH50" s="14">
        <f>'A) Base RI'!AB50</f>
        <v>0</v>
      </c>
      <c r="AI50" s="14">
        <f>'A) Base RI'!AC50</f>
        <v>67382.149999999994</v>
      </c>
      <c r="AJ50" s="14">
        <f>'A) Base RI'!AD50</f>
        <v>2731.75</v>
      </c>
      <c r="AK50" s="14">
        <f>'A) Base RI'!AE50</f>
        <v>10832.5</v>
      </c>
      <c r="AL50" s="14">
        <f>'A) Base RI'!AF50</f>
        <v>0</v>
      </c>
      <c r="AM50" s="14">
        <f>'A) Base RI'!AG50</f>
        <v>0</v>
      </c>
      <c r="AN50" s="14">
        <f>'A) Base RI'!AH50</f>
        <v>13202.5</v>
      </c>
      <c r="AO50" s="14">
        <f>'A) Base RI'!AI50</f>
        <v>0</v>
      </c>
      <c r="AP50" s="14">
        <f>'A) Base RI'!AJ50</f>
        <v>0</v>
      </c>
      <c r="AQ50" s="14">
        <f>'A) Base RI'!AK50</f>
        <v>0</v>
      </c>
      <c r="AR50" s="14">
        <f>'A) Base RI'!AN50</f>
        <v>439</v>
      </c>
    </row>
    <row r="51" spans="1:44" x14ac:dyDescent="0.25">
      <c r="A51" s="12">
        <f>'A) Base RI'!A51</f>
        <v>5480</v>
      </c>
      <c r="B51" s="42" t="str">
        <f>'A) Base RI'!B51</f>
        <v>Daillens</v>
      </c>
      <c r="C51" s="14">
        <f>'A) Base RI'!C51+'A) Base RI'!D51</f>
        <v>2266334.38</v>
      </c>
      <c r="D51" s="14">
        <f>'A) Base RI'!AO51</f>
        <v>-4282.63</v>
      </c>
      <c r="E51" s="41">
        <f>'A) Base RI'!AP51</f>
        <v>0</v>
      </c>
      <c r="F51" s="41">
        <f>'A) Base RI'!AQ51</f>
        <v>-194.03</v>
      </c>
      <c r="G51" s="4">
        <f t="shared" si="0"/>
        <v>2261857.7200000002</v>
      </c>
      <c r="H51" s="14">
        <f>'A) Base RI'!E51</f>
        <v>0</v>
      </c>
      <c r="I51" s="14">
        <f>'A) Base RI'!F51</f>
        <v>0</v>
      </c>
      <c r="J51" s="14">
        <f>'A) Base RI'!G51+'A) Base RI'!H51</f>
        <v>380585.3</v>
      </c>
      <c r="K51" s="14">
        <f>'A) Base RI'!I51</f>
        <v>0</v>
      </c>
      <c r="L51" s="14">
        <f>'A) Base RI'!J51</f>
        <v>62991.42</v>
      </c>
      <c r="M51" s="14">
        <f>'A) Base RI'!K51</f>
        <v>11335.5</v>
      </c>
      <c r="N51" s="14">
        <f>'A) Base RI'!Q51</f>
        <v>974.09</v>
      </c>
      <c r="O51" s="14">
        <f t="shared" si="1"/>
        <v>272339.3</v>
      </c>
      <c r="P51" s="14">
        <f>'A) Base RI'!L51</f>
        <v>272339.3</v>
      </c>
      <c r="Q51" s="44">
        <f>'A) Base RI'!AR51</f>
        <v>1</v>
      </c>
      <c r="R51" s="4">
        <f t="shared" si="2"/>
        <v>2990083.3299999996</v>
      </c>
      <c r="S51" s="43">
        <f>'A) Base RI'!AM51</f>
        <v>71</v>
      </c>
      <c r="T51" s="4">
        <f t="shared" si="3"/>
        <v>2706408.53</v>
      </c>
      <c r="U51" s="4">
        <f t="shared" si="4"/>
        <v>42113.849718309852</v>
      </c>
      <c r="V51" s="14">
        <f>'A) Base RI'!O51</f>
        <v>10005.6</v>
      </c>
      <c r="W51" s="14">
        <f>'A) Base RI'!P51</f>
        <v>123032.55</v>
      </c>
      <c r="X51" s="14">
        <f>'A) Base RI'!R51</f>
        <v>121478.35</v>
      </c>
      <c r="Y51" s="4">
        <f t="shared" si="5"/>
        <v>254516.5</v>
      </c>
      <c r="Z51" s="14">
        <f>'A) Base RI'!N51</f>
        <v>161064.79999999999</v>
      </c>
      <c r="AA51" s="14">
        <f>'A) Base RI'!S51+'A) Base RI'!T51</f>
        <v>1162.5</v>
      </c>
      <c r="AB51" s="14">
        <f>'A) Base RI'!U51</f>
        <v>9750</v>
      </c>
      <c r="AC51" s="14">
        <f>'A) Base RI'!V51</f>
        <v>0</v>
      </c>
      <c r="AD51" s="14">
        <f>'A) Base RI'!W51</f>
        <v>0</v>
      </c>
      <c r="AE51" s="14">
        <f>'A) Base RI'!Y51</f>
        <v>45723.15</v>
      </c>
      <c r="AF51" s="14">
        <f>'A) Base RI'!Z51</f>
        <v>0</v>
      </c>
      <c r="AG51" s="14">
        <f>'A) Base RI'!AA51</f>
        <v>146292.5</v>
      </c>
      <c r="AH51" s="14">
        <f>'A) Base RI'!AB51</f>
        <v>107789.05</v>
      </c>
      <c r="AI51" s="14">
        <f>'A) Base RI'!AC51</f>
        <v>56884.25</v>
      </c>
      <c r="AJ51" s="14">
        <f>'A) Base RI'!AD51</f>
        <v>43791.8</v>
      </c>
      <c r="AK51" s="14">
        <f>'A) Base RI'!AE51</f>
        <v>0</v>
      </c>
      <c r="AL51" s="14">
        <f>'A) Base RI'!AF51</f>
        <v>0</v>
      </c>
      <c r="AM51" s="14">
        <f>'A) Base RI'!AG51</f>
        <v>4286.8999999999996</v>
      </c>
      <c r="AN51" s="14">
        <f>'A) Base RI'!AH51</f>
        <v>58285.3</v>
      </c>
      <c r="AO51" s="14">
        <f>'A) Base RI'!AI51</f>
        <v>0</v>
      </c>
      <c r="AP51" s="14">
        <f>'A) Base RI'!AJ51</f>
        <v>0</v>
      </c>
      <c r="AQ51" s="14">
        <f>'A) Base RI'!AK51</f>
        <v>0</v>
      </c>
      <c r="AR51" s="14">
        <f>'A) Base RI'!AN51</f>
        <v>940</v>
      </c>
    </row>
    <row r="52" spans="1:44" x14ac:dyDescent="0.25">
      <c r="A52" s="12">
        <f>'A) Base RI'!A52</f>
        <v>5481</v>
      </c>
      <c r="B52" s="42" t="str">
        <f>'A) Base RI'!B52</f>
        <v>Dizy</v>
      </c>
      <c r="C52" s="14">
        <f>'A) Base RI'!C52+'A) Base RI'!D52</f>
        <v>544056.24</v>
      </c>
      <c r="D52" s="14">
        <f>'A) Base RI'!AO52</f>
        <v>-2225.7800000000002</v>
      </c>
      <c r="E52" s="41">
        <f>'A) Base RI'!AP52</f>
        <v>0</v>
      </c>
      <c r="F52" s="41">
        <f>'A) Base RI'!AQ52</f>
        <v>-1.74</v>
      </c>
      <c r="G52" s="4">
        <f t="shared" si="0"/>
        <v>541828.72</v>
      </c>
      <c r="H52" s="14">
        <f>'A) Base RI'!E52</f>
        <v>0</v>
      </c>
      <c r="I52" s="14">
        <f>'A) Base RI'!F52</f>
        <v>0</v>
      </c>
      <c r="J52" s="14">
        <f>'A) Base RI'!G52+'A) Base RI'!H52</f>
        <v>28000.149999999998</v>
      </c>
      <c r="K52" s="14">
        <f>'A) Base RI'!I52</f>
        <v>0</v>
      </c>
      <c r="L52" s="14">
        <f>'A) Base RI'!J52</f>
        <v>5695.19</v>
      </c>
      <c r="M52" s="14">
        <f>'A) Base RI'!K52</f>
        <v>0</v>
      </c>
      <c r="N52" s="14">
        <f>'A) Base RI'!Q52</f>
        <v>0</v>
      </c>
      <c r="O52" s="14">
        <f t="shared" si="1"/>
        <v>34309.599999999999</v>
      </c>
      <c r="P52" s="14">
        <f>'A) Base RI'!L52</f>
        <v>34309.599999999999</v>
      </c>
      <c r="Q52" s="44">
        <f>'A) Base RI'!AR52</f>
        <v>1</v>
      </c>
      <c r="R52" s="4">
        <f t="shared" si="2"/>
        <v>609833.65999999992</v>
      </c>
      <c r="S52" s="43">
        <f>'A) Base RI'!AM52</f>
        <v>74</v>
      </c>
      <c r="T52" s="4">
        <f t="shared" si="3"/>
        <v>575524.05999999994</v>
      </c>
      <c r="U52" s="4">
        <f t="shared" si="4"/>
        <v>8240.9954054054051</v>
      </c>
      <c r="V52" s="14">
        <f>'A) Base RI'!O52</f>
        <v>0</v>
      </c>
      <c r="W52" s="14">
        <f>'A) Base RI'!P52</f>
        <v>9762.5</v>
      </c>
      <c r="X52" s="14">
        <f>'A) Base RI'!R52</f>
        <v>13950.9</v>
      </c>
      <c r="Y52" s="4">
        <f t="shared" si="5"/>
        <v>23713.4</v>
      </c>
      <c r="Z52" s="14">
        <f>'A) Base RI'!N52</f>
        <v>0</v>
      </c>
      <c r="AA52" s="14">
        <f>'A) Base RI'!S52+'A) Base RI'!T52</f>
        <v>0</v>
      </c>
      <c r="AB52" s="14">
        <f>'A) Base RI'!U52</f>
        <v>750</v>
      </c>
      <c r="AC52" s="14">
        <f>'A) Base RI'!V52</f>
        <v>0</v>
      </c>
      <c r="AD52" s="14">
        <f>'A) Base RI'!W52</f>
        <v>0</v>
      </c>
      <c r="AE52" s="14">
        <f>'A) Base RI'!Y52</f>
        <v>10800</v>
      </c>
      <c r="AF52" s="14">
        <f>'A) Base RI'!Z52</f>
        <v>0</v>
      </c>
      <c r="AG52" s="14">
        <f>'A) Base RI'!AA52</f>
        <v>48620</v>
      </c>
      <c r="AH52" s="14">
        <f>'A) Base RI'!AB52</f>
        <v>0</v>
      </c>
      <c r="AI52" s="14">
        <f>'A) Base RI'!AC52</f>
        <v>14916</v>
      </c>
      <c r="AJ52" s="14">
        <f>'A) Base RI'!AD52</f>
        <v>10557</v>
      </c>
      <c r="AK52" s="14">
        <f>'A) Base RI'!AE52</f>
        <v>0</v>
      </c>
      <c r="AL52" s="14">
        <f>'A) Base RI'!AF52</f>
        <v>0</v>
      </c>
      <c r="AM52" s="14">
        <f>'A) Base RI'!AG52</f>
        <v>0</v>
      </c>
      <c r="AN52" s="14">
        <f>'A) Base RI'!AH52</f>
        <v>0</v>
      </c>
      <c r="AO52" s="14">
        <f>'A) Base RI'!AI52</f>
        <v>0</v>
      </c>
      <c r="AP52" s="14">
        <f>'A) Base RI'!AJ52</f>
        <v>0</v>
      </c>
      <c r="AQ52" s="14">
        <f>'A) Base RI'!AK52</f>
        <v>0</v>
      </c>
      <c r="AR52" s="14">
        <f>'A) Base RI'!AN52</f>
        <v>221</v>
      </c>
    </row>
    <row r="53" spans="1:44" x14ac:dyDescent="0.25">
      <c r="A53" s="12">
        <f>'A) Base RI'!A53</f>
        <v>5482</v>
      </c>
      <c r="B53" s="42" t="str">
        <f>'A) Base RI'!B53</f>
        <v>Eclépens</v>
      </c>
      <c r="C53" s="14">
        <f>'A) Base RI'!C53+'A) Base RI'!D53</f>
        <v>1393004.42</v>
      </c>
      <c r="D53" s="14">
        <f>'A) Base RI'!AO53</f>
        <v>-12760.93</v>
      </c>
      <c r="E53" s="41">
        <f>'A) Base RI'!AP53</f>
        <v>0</v>
      </c>
      <c r="F53" s="41">
        <f>'A) Base RI'!AQ53</f>
        <v>-26.36</v>
      </c>
      <c r="G53" s="4">
        <f t="shared" si="0"/>
        <v>1380217.13</v>
      </c>
      <c r="H53" s="14">
        <f>'A) Base RI'!E53</f>
        <v>0</v>
      </c>
      <c r="I53" s="14">
        <f>'A) Base RI'!F53</f>
        <v>0</v>
      </c>
      <c r="J53" s="14">
        <f>'A) Base RI'!G53+'A) Base RI'!H53</f>
        <v>1085818.6499999999</v>
      </c>
      <c r="K53" s="14">
        <f>'A) Base RI'!I53</f>
        <v>0</v>
      </c>
      <c r="L53" s="14">
        <f>'A) Base RI'!J53</f>
        <v>95486.22</v>
      </c>
      <c r="M53" s="14">
        <f>'A) Base RI'!K53</f>
        <v>37015</v>
      </c>
      <c r="N53" s="14">
        <f>'A) Base RI'!Q53</f>
        <v>4373.59</v>
      </c>
      <c r="O53" s="14">
        <f t="shared" si="1"/>
        <v>366478.1</v>
      </c>
      <c r="P53" s="14">
        <f>'A) Base RI'!L53</f>
        <v>366478.1</v>
      </c>
      <c r="Q53" s="44">
        <f>'A) Base RI'!AR53</f>
        <v>1</v>
      </c>
      <c r="R53" s="4">
        <f t="shared" si="2"/>
        <v>2969388.69</v>
      </c>
      <c r="S53" s="43">
        <f>'A) Base RI'!AM53</f>
        <v>46</v>
      </c>
      <c r="T53" s="4">
        <f t="shared" si="3"/>
        <v>2565895.59</v>
      </c>
      <c r="U53" s="4">
        <f t="shared" si="4"/>
        <v>64551.928043478263</v>
      </c>
      <c r="V53" s="14">
        <f>'A) Base RI'!O53</f>
        <v>27397.599999999999</v>
      </c>
      <c r="W53" s="14">
        <f>'A) Base RI'!P53</f>
        <v>118763.1</v>
      </c>
      <c r="X53" s="14">
        <f>'A) Base RI'!R53</f>
        <v>25876.65</v>
      </c>
      <c r="Y53" s="4">
        <f t="shared" si="5"/>
        <v>172037.35</v>
      </c>
      <c r="Z53" s="14">
        <f>'A) Base RI'!N53</f>
        <v>152417.95000000001</v>
      </c>
      <c r="AA53" s="14">
        <f>'A) Base RI'!S53+'A) Base RI'!T53</f>
        <v>181.25</v>
      </c>
      <c r="AB53" s="14">
        <f>'A) Base RI'!U53</f>
        <v>7950</v>
      </c>
      <c r="AC53" s="14">
        <f>'A) Base RI'!V53</f>
        <v>0</v>
      </c>
      <c r="AD53" s="14">
        <f>'A) Base RI'!W53</f>
        <v>0</v>
      </c>
      <c r="AE53" s="14">
        <f>'A) Base RI'!Y53</f>
        <v>0</v>
      </c>
      <c r="AF53" s="14">
        <f>'A) Base RI'!Z53</f>
        <v>0</v>
      </c>
      <c r="AG53" s="14">
        <f>'A) Base RI'!AA53</f>
        <v>201808.8</v>
      </c>
      <c r="AH53" s="14">
        <f>'A) Base RI'!AB53</f>
        <v>0</v>
      </c>
      <c r="AI53" s="14">
        <f>'A) Base RI'!AC53</f>
        <v>98797.1</v>
      </c>
      <c r="AJ53" s="14">
        <f>'A) Base RI'!AD53</f>
        <v>0</v>
      </c>
      <c r="AK53" s="14">
        <f>'A) Base RI'!AE53</f>
        <v>0</v>
      </c>
      <c r="AL53" s="14">
        <f>'A) Base RI'!AF53</f>
        <v>0</v>
      </c>
      <c r="AM53" s="14">
        <f>'A) Base RI'!AG53</f>
        <v>0</v>
      </c>
      <c r="AN53" s="14">
        <f>'A) Base RI'!AH53</f>
        <v>650245.85</v>
      </c>
      <c r="AO53" s="14">
        <f>'A) Base RI'!AI53</f>
        <v>0</v>
      </c>
      <c r="AP53" s="14">
        <f>'A) Base RI'!AJ53</f>
        <v>0</v>
      </c>
      <c r="AQ53" s="14">
        <f>'A) Base RI'!AK53</f>
        <v>0</v>
      </c>
      <c r="AR53" s="14">
        <f>'A) Base RI'!AN53</f>
        <v>1039</v>
      </c>
    </row>
    <row r="54" spans="1:44" x14ac:dyDescent="0.25">
      <c r="A54" s="12">
        <f>'A) Base RI'!A54</f>
        <v>5483</v>
      </c>
      <c r="B54" s="42" t="str">
        <f>'A) Base RI'!B54</f>
        <v>Ferreyres</v>
      </c>
      <c r="C54" s="14">
        <f>'A) Base RI'!C54+'A) Base RI'!D54</f>
        <v>619195.78999999992</v>
      </c>
      <c r="D54" s="14">
        <f>'A) Base RI'!AO54</f>
        <v>-7368.63</v>
      </c>
      <c r="E54" s="41">
        <f>'A) Base RI'!AP54</f>
        <v>0</v>
      </c>
      <c r="F54" s="41">
        <f>'A) Base RI'!AQ54</f>
        <v>0</v>
      </c>
      <c r="G54" s="4">
        <f t="shared" si="0"/>
        <v>611827.15999999992</v>
      </c>
      <c r="H54" s="14">
        <f>'A) Base RI'!E54</f>
        <v>0</v>
      </c>
      <c r="I54" s="14">
        <f>'A) Base RI'!F54</f>
        <v>0</v>
      </c>
      <c r="J54" s="14">
        <f>'A) Base RI'!G54+'A) Base RI'!H54</f>
        <v>30329.3</v>
      </c>
      <c r="K54" s="14">
        <f>'A) Base RI'!I54</f>
        <v>0</v>
      </c>
      <c r="L54" s="14">
        <f>'A) Base RI'!J54</f>
        <v>1203.94</v>
      </c>
      <c r="M54" s="14">
        <f>'A) Base RI'!K54</f>
        <v>175.5</v>
      </c>
      <c r="N54" s="14">
        <f>'A) Base RI'!Q54</f>
        <v>0</v>
      </c>
      <c r="O54" s="14">
        <f t="shared" si="1"/>
        <v>47878.5</v>
      </c>
      <c r="P54" s="14">
        <f>'A) Base RI'!L54</f>
        <v>47878.5</v>
      </c>
      <c r="Q54" s="44">
        <f>'A) Base RI'!AR54</f>
        <v>1</v>
      </c>
      <c r="R54" s="4">
        <f t="shared" si="2"/>
        <v>691414.39999999991</v>
      </c>
      <c r="S54" s="43">
        <f>'A) Base RI'!AM54</f>
        <v>76</v>
      </c>
      <c r="T54" s="4">
        <f t="shared" si="3"/>
        <v>643360.39999999991</v>
      </c>
      <c r="U54" s="4">
        <f t="shared" si="4"/>
        <v>9097.5578947368413</v>
      </c>
      <c r="V54" s="14">
        <f>'A) Base RI'!O54</f>
        <v>0</v>
      </c>
      <c r="W54" s="14">
        <f>'A) Base RI'!P54</f>
        <v>15070</v>
      </c>
      <c r="X54" s="14">
        <f>'A) Base RI'!R54</f>
        <v>11477.8</v>
      </c>
      <c r="Y54" s="4">
        <f t="shared" si="5"/>
        <v>26547.8</v>
      </c>
      <c r="Z54" s="14">
        <f>'A) Base RI'!N54</f>
        <v>171.95</v>
      </c>
      <c r="AA54" s="14">
        <f>'A) Base RI'!S54+'A) Base RI'!T54</f>
        <v>-31.25</v>
      </c>
      <c r="AB54" s="14">
        <f>'A) Base RI'!U54</f>
        <v>1440</v>
      </c>
      <c r="AC54" s="14">
        <f>'A) Base RI'!V54</f>
        <v>0</v>
      </c>
      <c r="AD54" s="14">
        <f>'A) Base RI'!W54</f>
        <v>0</v>
      </c>
      <c r="AE54" s="14">
        <f>'A) Base RI'!Y54</f>
        <v>0</v>
      </c>
      <c r="AF54" s="14">
        <f>'A) Base RI'!Z54</f>
        <v>0</v>
      </c>
      <c r="AG54" s="14">
        <f>'A) Base RI'!AA54</f>
        <v>46773.1</v>
      </c>
      <c r="AH54" s="14">
        <f>'A) Base RI'!AB54</f>
        <v>0</v>
      </c>
      <c r="AI54" s="14">
        <f>'A) Base RI'!AC54</f>
        <v>27747.45</v>
      </c>
      <c r="AJ54" s="14">
        <f>'A) Base RI'!AD54</f>
        <v>0</v>
      </c>
      <c r="AK54" s="14">
        <f>'A) Base RI'!AE54</f>
        <v>0</v>
      </c>
      <c r="AL54" s="14">
        <f>'A) Base RI'!AF54</f>
        <v>0</v>
      </c>
      <c r="AM54" s="14">
        <f>'A) Base RI'!AG54</f>
        <v>0</v>
      </c>
      <c r="AN54" s="14">
        <f>'A) Base RI'!AH54</f>
        <v>0</v>
      </c>
      <c r="AO54" s="14">
        <f>'A) Base RI'!AI54</f>
        <v>0</v>
      </c>
      <c r="AP54" s="14">
        <f>'A) Base RI'!AJ54</f>
        <v>0</v>
      </c>
      <c r="AQ54" s="14">
        <f>'A) Base RI'!AK54</f>
        <v>0</v>
      </c>
      <c r="AR54" s="14">
        <f>'A) Base RI'!AN54</f>
        <v>313</v>
      </c>
    </row>
    <row r="55" spans="1:44" x14ac:dyDescent="0.25">
      <c r="A55" s="12">
        <f>'A) Base RI'!A55</f>
        <v>5484</v>
      </c>
      <c r="B55" s="42" t="str">
        <f>'A) Base RI'!B55</f>
        <v>Gollion</v>
      </c>
      <c r="C55" s="14">
        <f>'A) Base RI'!C55+'A) Base RI'!D55</f>
        <v>1709031.7400000002</v>
      </c>
      <c r="D55" s="14">
        <f>'A) Base RI'!AO55</f>
        <v>-56509.58</v>
      </c>
      <c r="E55" s="41">
        <f>'A) Base RI'!AP55</f>
        <v>0</v>
      </c>
      <c r="F55" s="41">
        <f>'A) Base RI'!AQ55</f>
        <v>-1.83</v>
      </c>
      <c r="G55" s="4">
        <f t="shared" si="0"/>
        <v>1652520.33</v>
      </c>
      <c r="H55" s="14">
        <f>'A) Base RI'!E55</f>
        <v>0</v>
      </c>
      <c r="I55" s="14">
        <f>'A) Base RI'!F55</f>
        <v>0</v>
      </c>
      <c r="J55" s="14">
        <f>'A) Base RI'!G55+'A) Base RI'!H55</f>
        <v>-53697.2</v>
      </c>
      <c r="K55" s="14">
        <f>'A) Base RI'!I55</f>
        <v>-50470.6</v>
      </c>
      <c r="L55" s="14">
        <f>'A) Base RI'!J55</f>
        <v>27435.68</v>
      </c>
      <c r="M55" s="14">
        <f>'A) Base RI'!K55</f>
        <v>3831</v>
      </c>
      <c r="N55" s="14">
        <f>'A) Base RI'!Q55</f>
        <v>4704.62</v>
      </c>
      <c r="O55" s="14">
        <f t="shared" si="1"/>
        <v>129738.7</v>
      </c>
      <c r="P55" s="14">
        <f>'A) Base RI'!L55</f>
        <v>129738.7</v>
      </c>
      <c r="Q55" s="44">
        <f>'A) Base RI'!AR55</f>
        <v>1</v>
      </c>
      <c r="R55" s="4">
        <f t="shared" si="2"/>
        <v>1714062.53</v>
      </c>
      <c r="S55" s="43">
        <f>'A) Base RI'!AM55</f>
        <v>74</v>
      </c>
      <c r="T55" s="4">
        <f t="shared" si="3"/>
        <v>1580492.83</v>
      </c>
      <c r="U55" s="4">
        <f t="shared" si="4"/>
        <v>23163.007162162161</v>
      </c>
      <c r="V55" s="14">
        <f>'A) Base RI'!O55</f>
        <v>6454.8</v>
      </c>
      <c r="W55" s="14">
        <f>'A) Base RI'!P55</f>
        <v>193899.55</v>
      </c>
      <c r="X55" s="14">
        <f>'A) Base RI'!R55</f>
        <v>39397.25</v>
      </c>
      <c r="Y55" s="4">
        <f t="shared" si="5"/>
        <v>239751.59999999998</v>
      </c>
      <c r="Z55" s="14">
        <f>'A) Base RI'!N55</f>
        <v>9736.2999999999993</v>
      </c>
      <c r="AA55" s="14">
        <f>'A) Base RI'!S55+'A) Base RI'!T55</f>
        <v>93.75</v>
      </c>
      <c r="AB55" s="14">
        <f>'A) Base RI'!U55</f>
        <v>4080</v>
      </c>
      <c r="AC55" s="14">
        <f>'A) Base RI'!V55</f>
        <v>0</v>
      </c>
      <c r="AD55" s="14">
        <f>'A) Base RI'!W55</f>
        <v>0</v>
      </c>
      <c r="AE55" s="14">
        <f>'A) Base RI'!Y55</f>
        <v>81310.8</v>
      </c>
      <c r="AF55" s="14">
        <f>'A) Base RI'!Z55</f>
        <v>0</v>
      </c>
      <c r="AG55" s="14">
        <f>'A) Base RI'!AA55</f>
        <v>110500.9</v>
      </c>
      <c r="AH55" s="14">
        <f>'A) Base RI'!AB55</f>
        <v>0</v>
      </c>
      <c r="AI55" s="14">
        <f>'A) Base RI'!AC55</f>
        <v>97517.05</v>
      </c>
      <c r="AJ55" s="14">
        <f>'A) Base RI'!AD55</f>
        <v>41652.6</v>
      </c>
      <c r="AK55" s="14">
        <f>'A) Base RI'!AE55</f>
        <v>0</v>
      </c>
      <c r="AL55" s="14">
        <f>'A) Base RI'!AF55</f>
        <v>0</v>
      </c>
      <c r="AM55" s="14">
        <f>'A) Base RI'!AG55</f>
        <v>0</v>
      </c>
      <c r="AN55" s="14">
        <f>'A) Base RI'!AH55</f>
        <v>0</v>
      </c>
      <c r="AO55" s="14">
        <f>'A) Base RI'!AI55</f>
        <v>22878.799999999999</v>
      </c>
      <c r="AP55" s="14">
        <f>'A) Base RI'!AJ55</f>
        <v>0</v>
      </c>
      <c r="AQ55" s="14">
        <f>'A) Base RI'!AK55</f>
        <v>0</v>
      </c>
      <c r="AR55" s="14">
        <f>'A) Base RI'!AN55</f>
        <v>857</v>
      </c>
    </row>
    <row r="56" spans="1:44" x14ac:dyDescent="0.25">
      <c r="A56" s="12">
        <f>'A) Base RI'!A56</f>
        <v>5485</v>
      </c>
      <c r="B56" s="42" t="str">
        <f>'A) Base RI'!B56</f>
        <v>Grancy</v>
      </c>
      <c r="C56" s="14">
        <f>'A) Base RI'!C56+'A) Base RI'!D56</f>
        <v>1122830.6400000001</v>
      </c>
      <c r="D56" s="14">
        <f>'A) Base RI'!AO56</f>
        <v>-7887.74</v>
      </c>
      <c r="E56" s="41">
        <f>'A) Base RI'!AP56</f>
        <v>0</v>
      </c>
      <c r="F56" s="41">
        <f>'A) Base RI'!AQ56</f>
        <v>-187.42</v>
      </c>
      <c r="G56" s="4">
        <f t="shared" si="0"/>
        <v>1114755.4800000002</v>
      </c>
      <c r="H56" s="14">
        <f>'A) Base RI'!E56</f>
        <v>0</v>
      </c>
      <c r="I56" s="14">
        <f>'A) Base RI'!F56</f>
        <v>0</v>
      </c>
      <c r="J56" s="14">
        <f>'A) Base RI'!G56+'A) Base RI'!H56</f>
        <v>44093.049999999996</v>
      </c>
      <c r="K56" s="14">
        <f>'A) Base RI'!I56</f>
        <v>-42588.55</v>
      </c>
      <c r="L56" s="14">
        <f>'A) Base RI'!J56</f>
        <v>26046.48</v>
      </c>
      <c r="M56" s="14">
        <f>'A) Base RI'!K56</f>
        <v>225</v>
      </c>
      <c r="N56" s="14">
        <f>'A) Base RI'!Q56</f>
        <v>1406.4</v>
      </c>
      <c r="O56" s="14">
        <f t="shared" si="1"/>
        <v>66947.05</v>
      </c>
      <c r="P56" s="14">
        <f>'A) Base RI'!L56</f>
        <v>66947.05</v>
      </c>
      <c r="Q56" s="44">
        <f>'A) Base RI'!AR56</f>
        <v>1</v>
      </c>
      <c r="R56" s="4">
        <f t="shared" si="2"/>
        <v>1210884.9100000001</v>
      </c>
      <c r="S56" s="43">
        <f>'A) Base RI'!AM56</f>
        <v>70</v>
      </c>
      <c r="T56" s="4">
        <f t="shared" si="3"/>
        <v>1143712.8600000001</v>
      </c>
      <c r="U56" s="4">
        <f t="shared" si="4"/>
        <v>17298.355857142858</v>
      </c>
      <c r="V56" s="14">
        <f>'A) Base RI'!O56</f>
        <v>10475.200000000001</v>
      </c>
      <c r="W56" s="14">
        <f>'A) Base RI'!P56</f>
        <v>16720</v>
      </c>
      <c r="X56" s="14">
        <f>'A) Base RI'!R56</f>
        <v>32200.05</v>
      </c>
      <c r="Y56" s="4">
        <f t="shared" si="5"/>
        <v>59395.25</v>
      </c>
      <c r="Z56" s="14">
        <f>'A) Base RI'!N56</f>
        <v>7836.4</v>
      </c>
      <c r="AA56" s="14">
        <f>'A) Base RI'!S56+'A) Base RI'!T56</f>
        <v>0</v>
      </c>
      <c r="AB56" s="14">
        <f>'A) Base RI'!U56</f>
        <v>1040</v>
      </c>
      <c r="AC56" s="14">
        <f>'A) Base RI'!V56</f>
        <v>0</v>
      </c>
      <c r="AD56" s="14">
        <f>'A) Base RI'!W56</f>
        <v>0</v>
      </c>
      <c r="AE56" s="14">
        <f>'A) Base RI'!Y56</f>
        <v>6024</v>
      </c>
      <c r="AF56" s="14">
        <f>'A) Base RI'!Z56</f>
        <v>0</v>
      </c>
      <c r="AG56" s="14">
        <f>'A) Base RI'!AA56</f>
        <v>75074</v>
      </c>
      <c r="AH56" s="14">
        <f>'A) Base RI'!AB56</f>
        <v>0</v>
      </c>
      <c r="AI56" s="14">
        <f>'A) Base RI'!AC56</f>
        <v>26670</v>
      </c>
      <c r="AJ56" s="14">
        <f>'A) Base RI'!AD56</f>
        <v>3667</v>
      </c>
      <c r="AK56" s="14">
        <f>'A) Base RI'!AE56</f>
        <v>0</v>
      </c>
      <c r="AL56" s="14">
        <f>'A) Base RI'!AF56</f>
        <v>0</v>
      </c>
      <c r="AM56" s="14">
        <f>'A) Base RI'!AG56</f>
        <v>0</v>
      </c>
      <c r="AN56" s="14">
        <f>'A) Base RI'!AH56</f>
        <v>0</v>
      </c>
      <c r="AO56" s="14">
        <f>'A) Base RI'!AI56</f>
        <v>0</v>
      </c>
      <c r="AP56" s="14">
        <f>'A) Base RI'!AJ56</f>
        <v>0</v>
      </c>
      <c r="AQ56" s="14">
        <f>'A) Base RI'!AK56</f>
        <v>0</v>
      </c>
      <c r="AR56" s="14">
        <f>'A) Base RI'!AN56</f>
        <v>396</v>
      </c>
    </row>
    <row r="57" spans="1:44" x14ac:dyDescent="0.25">
      <c r="A57" s="12">
        <f>'A) Base RI'!A57</f>
        <v>5486</v>
      </c>
      <c r="B57" s="42" t="str">
        <f>'A) Base RI'!B57</f>
        <v>L'Isle</v>
      </c>
      <c r="C57" s="14">
        <f>'A) Base RI'!C57+'A) Base RI'!D57</f>
        <v>1778073.82</v>
      </c>
      <c r="D57" s="14">
        <f>'A) Base RI'!AO57</f>
        <v>-67951.25</v>
      </c>
      <c r="E57" s="41">
        <f>'A) Base RI'!AP57</f>
        <v>0</v>
      </c>
      <c r="F57" s="41">
        <f>'A) Base RI'!AQ57</f>
        <v>-6.5</v>
      </c>
      <c r="G57" s="4">
        <f t="shared" si="0"/>
        <v>1710116.07</v>
      </c>
      <c r="H57" s="14">
        <f>'A) Base RI'!E57</f>
        <v>0</v>
      </c>
      <c r="I57" s="14">
        <f>'A) Base RI'!F57</f>
        <v>0</v>
      </c>
      <c r="J57" s="14">
        <f>'A) Base RI'!G57+'A) Base RI'!H57</f>
        <v>71047.350000000006</v>
      </c>
      <c r="K57" s="14">
        <f>'A) Base RI'!I57</f>
        <v>45945.25</v>
      </c>
      <c r="L57" s="14">
        <f>'A) Base RI'!J57</f>
        <v>43121.17</v>
      </c>
      <c r="M57" s="14">
        <f>'A) Base RI'!K57</f>
        <v>8116.5</v>
      </c>
      <c r="N57" s="14">
        <f>'A) Base RI'!Q57</f>
        <v>21532.38</v>
      </c>
      <c r="O57" s="14">
        <f t="shared" si="1"/>
        <v>168267.15</v>
      </c>
      <c r="P57" s="14">
        <f>'A) Base RI'!L57</f>
        <v>168267.15</v>
      </c>
      <c r="Q57" s="44">
        <f>'A) Base RI'!AR57</f>
        <v>1</v>
      </c>
      <c r="R57" s="4">
        <f t="shared" si="2"/>
        <v>2068145.8699999999</v>
      </c>
      <c r="S57" s="43">
        <f>'A) Base RI'!AM57</f>
        <v>76</v>
      </c>
      <c r="T57" s="4">
        <f t="shared" si="3"/>
        <v>1891762.22</v>
      </c>
      <c r="U57" s="4">
        <f t="shared" si="4"/>
        <v>27212.445657894736</v>
      </c>
      <c r="V57" s="14">
        <f>'A) Base RI'!O57</f>
        <v>403934.5</v>
      </c>
      <c r="W57" s="14">
        <f>'A) Base RI'!P57</f>
        <v>46604.800000000003</v>
      </c>
      <c r="X57" s="14">
        <f>'A) Base RI'!R57</f>
        <v>51579.4</v>
      </c>
      <c r="Y57" s="4">
        <f t="shared" si="5"/>
        <v>502118.7</v>
      </c>
      <c r="Z57" s="14">
        <f>'A) Base RI'!N57</f>
        <v>55291.35</v>
      </c>
      <c r="AA57" s="14">
        <f>'A) Base RI'!S57+'A) Base RI'!T57</f>
        <v>1100</v>
      </c>
      <c r="AB57" s="14">
        <f>'A) Base RI'!U57</f>
        <v>8850</v>
      </c>
      <c r="AC57" s="14">
        <f>'A) Base RI'!V57</f>
        <v>0</v>
      </c>
      <c r="AD57" s="14">
        <f>'A) Base RI'!W57</f>
        <v>0</v>
      </c>
      <c r="AE57" s="14">
        <f>'A) Base RI'!Y57</f>
        <v>4212</v>
      </c>
      <c r="AF57" s="14">
        <f>'A) Base RI'!Z57</f>
        <v>3744</v>
      </c>
      <c r="AG57" s="14">
        <f>'A) Base RI'!AA57</f>
        <v>181682.8</v>
      </c>
      <c r="AH57" s="14">
        <f>'A) Base RI'!AB57</f>
        <v>0</v>
      </c>
      <c r="AI57" s="14">
        <f>'A) Base RI'!AC57</f>
        <v>91136</v>
      </c>
      <c r="AJ57" s="14">
        <f>'A) Base RI'!AD57</f>
        <v>8424</v>
      </c>
      <c r="AK57" s="14">
        <f>'A) Base RI'!AE57</f>
        <v>3744</v>
      </c>
      <c r="AL57" s="14">
        <f>'A) Base RI'!AF57</f>
        <v>0</v>
      </c>
      <c r="AM57" s="14">
        <f>'A) Base RI'!AG57</f>
        <v>0</v>
      </c>
      <c r="AN57" s="14">
        <f>'A) Base RI'!AH57</f>
        <v>36165.449999999997</v>
      </c>
      <c r="AO57" s="14">
        <f>'A) Base RI'!AI57</f>
        <v>0</v>
      </c>
      <c r="AP57" s="14">
        <f>'A) Base RI'!AJ57</f>
        <v>0</v>
      </c>
      <c r="AQ57" s="14">
        <f>'A) Base RI'!AK57</f>
        <v>0</v>
      </c>
      <c r="AR57" s="14">
        <f>'A) Base RI'!AN57</f>
        <v>1032</v>
      </c>
    </row>
    <row r="58" spans="1:44" x14ac:dyDescent="0.25">
      <c r="A58" s="12">
        <f>'A) Base RI'!A58</f>
        <v>5487</v>
      </c>
      <c r="B58" s="42" t="str">
        <f>'A) Base RI'!B58</f>
        <v>Lussery-Villars</v>
      </c>
      <c r="C58" s="14">
        <f>'A) Base RI'!C58+'A) Base RI'!D58</f>
        <v>783507.14</v>
      </c>
      <c r="D58" s="14">
        <f>'A) Base RI'!AO58</f>
        <v>-25090.97</v>
      </c>
      <c r="E58" s="41">
        <f>'A) Base RI'!AP58</f>
        <v>0</v>
      </c>
      <c r="F58" s="41">
        <f>'A) Base RI'!AQ58</f>
        <v>-6.55</v>
      </c>
      <c r="G58" s="4">
        <f t="shared" si="0"/>
        <v>758409.62</v>
      </c>
      <c r="H58" s="14">
        <f>'A) Base RI'!E58</f>
        <v>0</v>
      </c>
      <c r="I58" s="14">
        <f>'A) Base RI'!F58</f>
        <v>0</v>
      </c>
      <c r="J58" s="14">
        <f>'A) Base RI'!G58+'A) Base RI'!H58</f>
        <v>-22301.200000000001</v>
      </c>
      <c r="K58" s="14">
        <f>'A) Base RI'!I58</f>
        <v>0</v>
      </c>
      <c r="L58" s="14">
        <f>'A) Base RI'!J58</f>
        <v>21263.24</v>
      </c>
      <c r="M58" s="14">
        <f>'A) Base RI'!K58</f>
        <v>158</v>
      </c>
      <c r="N58" s="14">
        <f>'A) Base RI'!Q58</f>
        <v>13258.31</v>
      </c>
      <c r="O58" s="14">
        <f t="shared" si="1"/>
        <v>63866.1</v>
      </c>
      <c r="P58" s="14">
        <f>'A) Base RI'!L58</f>
        <v>63866.1</v>
      </c>
      <c r="Q58" s="44">
        <f>'A) Base RI'!AR58</f>
        <v>1</v>
      </c>
      <c r="R58" s="4">
        <f t="shared" si="2"/>
        <v>834654.07000000007</v>
      </c>
      <c r="S58" s="43">
        <f>'A) Base RI'!AM58</f>
        <v>68</v>
      </c>
      <c r="T58" s="4">
        <f t="shared" si="3"/>
        <v>770629.97000000009</v>
      </c>
      <c r="U58" s="4">
        <f t="shared" si="4"/>
        <v>12274.32455882353</v>
      </c>
      <c r="V58" s="14">
        <f>'A) Base RI'!O58</f>
        <v>1353</v>
      </c>
      <c r="W58" s="14">
        <f>'A) Base RI'!P58</f>
        <v>24013</v>
      </c>
      <c r="X58" s="14">
        <f>'A) Base RI'!R58</f>
        <v>21653.7</v>
      </c>
      <c r="Y58" s="4">
        <f t="shared" si="5"/>
        <v>47019.7</v>
      </c>
      <c r="Z58" s="14">
        <f>'A) Base RI'!N58</f>
        <v>0</v>
      </c>
      <c r="AA58" s="14">
        <f>'A) Base RI'!S58+'A) Base RI'!T58</f>
        <v>37.5</v>
      </c>
      <c r="AB58" s="14">
        <f>'A) Base RI'!U58</f>
        <v>1860</v>
      </c>
      <c r="AC58" s="14">
        <f>'A) Base RI'!V58</f>
        <v>0</v>
      </c>
      <c r="AD58" s="14">
        <f>'A) Base RI'!W58</f>
        <v>0</v>
      </c>
      <c r="AE58" s="14">
        <f>'A) Base RI'!Y58</f>
        <v>5250</v>
      </c>
      <c r="AF58" s="14">
        <f>'A) Base RI'!Z58</f>
        <v>0</v>
      </c>
      <c r="AG58" s="14">
        <f>'A) Base RI'!AA58</f>
        <v>37260.5</v>
      </c>
      <c r="AH58" s="14">
        <f>'A) Base RI'!AB58</f>
        <v>0</v>
      </c>
      <c r="AI58" s="14">
        <f>'A) Base RI'!AC58</f>
        <v>36100</v>
      </c>
      <c r="AJ58" s="14">
        <f>'A) Base RI'!AD58</f>
        <v>12917.7</v>
      </c>
      <c r="AK58" s="14">
        <f>'A) Base RI'!AE58</f>
        <v>0</v>
      </c>
      <c r="AL58" s="14">
        <f>'A) Base RI'!AF58</f>
        <v>0</v>
      </c>
      <c r="AM58" s="14">
        <f>'A) Base RI'!AG58</f>
        <v>191.6</v>
      </c>
      <c r="AN58" s="14">
        <f>'A) Base RI'!AH58</f>
        <v>8400</v>
      </c>
      <c r="AO58" s="14">
        <f>'A) Base RI'!AI58</f>
        <v>0</v>
      </c>
      <c r="AP58" s="14">
        <f>'A) Base RI'!AJ58</f>
        <v>0</v>
      </c>
      <c r="AQ58" s="14">
        <f>'A) Base RI'!AK58</f>
        <v>0</v>
      </c>
      <c r="AR58" s="14">
        <f>'A) Base RI'!AN58</f>
        <v>423</v>
      </c>
    </row>
    <row r="59" spans="1:44" x14ac:dyDescent="0.25">
      <c r="A59" s="12">
        <f>'A) Base RI'!A59</f>
        <v>5488</v>
      </c>
      <c r="B59" s="42" t="str">
        <f>'A) Base RI'!B59</f>
        <v>Mauraz</v>
      </c>
      <c r="C59" s="14">
        <f>'A) Base RI'!C59+'A) Base RI'!D59</f>
        <v>92722.42</v>
      </c>
      <c r="D59" s="14">
        <f>'A) Base RI'!AO59</f>
        <v>-24.33</v>
      </c>
      <c r="E59" s="41">
        <f>'A) Base RI'!AP59</f>
        <v>0</v>
      </c>
      <c r="F59" s="41">
        <f>'A) Base RI'!AQ59</f>
        <v>0</v>
      </c>
      <c r="G59" s="4">
        <f t="shared" si="0"/>
        <v>92698.09</v>
      </c>
      <c r="H59" s="14">
        <f>'A) Base RI'!E59</f>
        <v>0</v>
      </c>
      <c r="I59" s="14">
        <f>'A) Base RI'!F59</f>
        <v>0</v>
      </c>
      <c r="J59" s="14">
        <f>'A) Base RI'!G59+'A) Base RI'!H59</f>
        <v>3724.7999999999997</v>
      </c>
      <c r="K59" s="14">
        <f>'A) Base RI'!I59</f>
        <v>0</v>
      </c>
      <c r="L59" s="14">
        <f>'A) Base RI'!J59</f>
        <v>0</v>
      </c>
      <c r="M59" s="14">
        <f>'A) Base RI'!K59</f>
        <v>0</v>
      </c>
      <c r="N59" s="14">
        <f>'A) Base RI'!Q59</f>
        <v>0</v>
      </c>
      <c r="O59" s="14">
        <f t="shared" si="1"/>
        <v>8474</v>
      </c>
      <c r="P59" s="14">
        <f>'A) Base RI'!L59</f>
        <v>8474</v>
      </c>
      <c r="Q59" s="44">
        <f>'A) Base RI'!AR59</f>
        <v>1</v>
      </c>
      <c r="R59" s="4">
        <f t="shared" si="2"/>
        <v>104896.89</v>
      </c>
      <c r="S59" s="43">
        <f>'A) Base RI'!AM59</f>
        <v>74</v>
      </c>
      <c r="T59" s="4">
        <f t="shared" si="3"/>
        <v>96422.89</v>
      </c>
      <c r="U59" s="4">
        <f t="shared" si="4"/>
        <v>1417.5255405405405</v>
      </c>
      <c r="V59" s="14">
        <f>'A) Base RI'!O59</f>
        <v>0</v>
      </c>
      <c r="W59" s="14">
        <f>'A) Base RI'!P59</f>
        <v>0</v>
      </c>
      <c r="X59" s="14">
        <f>'A) Base RI'!R59</f>
        <v>0</v>
      </c>
      <c r="Y59" s="4">
        <f t="shared" si="5"/>
        <v>0</v>
      </c>
      <c r="Z59" s="14">
        <f>'A) Base RI'!N59</f>
        <v>0</v>
      </c>
      <c r="AA59" s="14">
        <f>'A) Base RI'!S59+'A) Base RI'!T59</f>
        <v>0</v>
      </c>
      <c r="AB59" s="14">
        <f>'A) Base RI'!U59</f>
        <v>140</v>
      </c>
      <c r="AC59" s="14">
        <f>'A) Base RI'!V59</f>
        <v>0</v>
      </c>
      <c r="AD59" s="14">
        <f>'A) Base RI'!W59</f>
        <v>0</v>
      </c>
      <c r="AE59" s="14">
        <f>'A) Base RI'!Y59</f>
        <v>0</v>
      </c>
      <c r="AF59" s="14">
        <f>'A) Base RI'!Z59</f>
        <v>0</v>
      </c>
      <c r="AG59" s="14">
        <f>'A) Base RI'!AA59</f>
        <v>6295.5</v>
      </c>
      <c r="AH59" s="14">
        <f>'A) Base RI'!AB59</f>
        <v>0</v>
      </c>
      <c r="AI59" s="14">
        <f>'A) Base RI'!AC59</f>
        <v>5093</v>
      </c>
      <c r="AJ59" s="14">
        <f>'A) Base RI'!AD59</f>
        <v>0</v>
      </c>
      <c r="AK59" s="14">
        <f>'A) Base RI'!AE59</f>
        <v>0</v>
      </c>
      <c r="AL59" s="14">
        <f>'A) Base RI'!AF59</f>
        <v>0</v>
      </c>
      <c r="AM59" s="14">
        <f>'A) Base RI'!AG59</f>
        <v>0</v>
      </c>
      <c r="AN59" s="14">
        <f>'A) Base RI'!AH59</f>
        <v>1186.5</v>
      </c>
      <c r="AO59" s="14">
        <f>'A) Base RI'!AI59</f>
        <v>0</v>
      </c>
      <c r="AP59" s="14">
        <f>'A) Base RI'!AJ59</f>
        <v>0</v>
      </c>
      <c r="AQ59" s="14">
        <f>'A) Base RI'!AK59</f>
        <v>0</v>
      </c>
      <c r="AR59" s="14">
        <f>'A) Base RI'!AN59</f>
        <v>49</v>
      </c>
    </row>
    <row r="60" spans="1:44" x14ac:dyDescent="0.25">
      <c r="A60" s="12">
        <f>'A) Base RI'!A60</f>
        <v>5489</v>
      </c>
      <c r="B60" s="42" t="str">
        <f>'A) Base RI'!B60</f>
        <v>Mex</v>
      </c>
      <c r="C60" s="14">
        <f>'A) Base RI'!C60+'A) Base RI'!D60</f>
        <v>1895208.3599999999</v>
      </c>
      <c r="D60" s="14">
        <f>'A) Base RI'!AO60</f>
        <v>-26734.68</v>
      </c>
      <c r="E60" s="41">
        <f>'A) Base RI'!AP60</f>
        <v>0</v>
      </c>
      <c r="F60" s="41">
        <f>'A) Base RI'!AQ60</f>
        <v>-180.13</v>
      </c>
      <c r="G60" s="4">
        <f t="shared" si="0"/>
        <v>1868293.55</v>
      </c>
      <c r="H60" s="14">
        <f>'A) Base RI'!E60</f>
        <v>0</v>
      </c>
      <c r="I60" s="14">
        <f>'A) Base RI'!F60</f>
        <v>0</v>
      </c>
      <c r="J60" s="14">
        <f>'A) Base RI'!G60+'A) Base RI'!H60</f>
        <v>126594.05</v>
      </c>
      <c r="K60" s="14">
        <f>'A) Base RI'!I60</f>
        <v>-27686.65</v>
      </c>
      <c r="L60" s="14">
        <f>'A) Base RI'!J60</f>
        <v>31708.07</v>
      </c>
      <c r="M60" s="14">
        <f>'A) Base RI'!K60</f>
        <v>4261</v>
      </c>
      <c r="N60" s="14">
        <f>'A) Base RI'!Q60</f>
        <v>3349.7</v>
      </c>
      <c r="O60" s="14">
        <f t="shared" si="1"/>
        <v>257878.7</v>
      </c>
      <c r="P60" s="14">
        <f>'A) Base RI'!L60</f>
        <v>257878.7</v>
      </c>
      <c r="Q60" s="44">
        <f>'A) Base RI'!AR60</f>
        <v>1</v>
      </c>
      <c r="R60" s="4">
        <f t="shared" si="2"/>
        <v>2264398.4200000004</v>
      </c>
      <c r="S60" s="43">
        <f>'A) Base RI'!AM60</f>
        <v>61</v>
      </c>
      <c r="T60" s="4">
        <f t="shared" si="3"/>
        <v>2002258.7200000002</v>
      </c>
      <c r="U60" s="4">
        <f t="shared" si="4"/>
        <v>37121.285573770496</v>
      </c>
      <c r="V60" s="14">
        <f>'A) Base RI'!O60</f>
        <v>12177</v>
      </c>
      <c r="W60" s="14">
        <f>'A) Base RI'!P60</f>
        <v>76505</v>
      </c>
      <c r="X60" s="14">
        <f>'A) Base RI'!R60</f>
        <v>40311</v>
      </c>
      <c r="Y60" s="4">
        <f t="shared" si="5"/>
        <v>128993</v>
      </c>
      <c r="Z60" s="14">
        <f>'A) Base RI'!N60</f>
        <v>17897.2</v>
      </c>
      <c r="AA60" s="14">
        <f>'A) Base RI'!S60+'A) Base RI'!T60</f>
        <v>112.5</v>
      </c>
      <c r="AB60" s="14">
        <f>'A) Base RI'!U60</f>
        <v>3240</v>
      </c>
      <c r="AC60" s="14">
        <f>'A) Base RI'!V60</f>
        <v>0</v>
      </c>
      <c r="AD60" s="14">
        <f>'A) Base RI'!W60</f>
        <v>0</v>
      </c>
      <c r="AE60" s="14">
        <f>'A) Base RI'!Y60</f>
        <v>9788.4500000000007</v>
      </c>
      <c r="AF60" s="14">
        <f>'A) Base RI'!Z60</f>
        <v>0</v>
      </c>
      <c r="AG60" s="14">
        <f>'A) Base RI'!AA60</f>
        <v>142353.79999999999</v>
      </c>
      <c r="AH60" s="14">
        <f>'A) Base RI'!AB60</f>
        <v>0</v>
      </c>
      <c r="AI60" s="14">
        <f>'A) Base RI'!AC60</f>
        <v>46360</v>
      </c>
      <c r="AJ60" s="14">
        <f>'A) Base RI'!AD60</f>
        <v>3701.75</v>
      </c>
      <c r="AK60" s="14">
        <f>'A) Base RI'!AE60</f>
        <v>43061.35</v>
      </c>
      <c r="AL60" s="14">
        <f>'A) Base RI'!AF60</f>
        <v>0</v>
      </c>
      <c r="AM60" s="14">
        <f>'A) Base RI'!AG60</f>
        <v>0</v>
      </c>
      <c r="AN60" s="14">
        <f>'A) Base RI'!AH60</f>
        <v>0</v>
      </c>
      <c r="AO60" s="14">
        <f>'A) Base RI'!AI60</f>
        <v>0</v>
      </c>
      <c r="AP60" s="14">
        <f>'A) Base RI'!AJ60</f>
        <v>0</v>
      </c>
      <c r="AQ60" s="14">
        <f>'A) Base RI'!AK60</f>
        <v>0</v>
      </c>
      <c r="AR60" s="14">
        <f>'A) Base RI'!AN60</f>
        <v>678</v>
      </c>
    </row>
    <row r="61" spans="1:44" x14ac:dyDescent="0.25">
      <c r="A61" s="12">
        <f>'A) Base RI'!A61</f>
        <v>5490</v>
      </c>
      <c r="B61" s="42" t="str">
        <f>'A) Base RI'!B61</f>
        <v>Moiry</v>
      </c>
      <c r="C61" s="14">
        <f>'A) Base RI'!C61+'A) Base RI'!D61</f>
        <v>550418.05000000005</v>
      </c>
      <c r="D61" s="14">
        <f>'A) Base RI'!AO61</f>
        <v>-11514.46</v>
      </c>
      <c r="E61" s="41">
        <f>'A) Base RI'!AP61</f>
        <v>0</v>
      </c>
      <c r="F61" s="41">
        <f>'A) Base RI'!AQ61</f>
        <v>-1.47</v>
      </c>
      <c r="G61" s="4">
        <f t="shared" si="0"/>
        <v>538902.12000000011</v>
      </c>
      <c r="H61" s="14">
        <f>'A) Base RI'!E61</f>
        <v>0</v>
      </c>
      <c r="I61" s="14">
        <f>'A) Base RI'!F61</f>
        <v>0</v>
      </c>
      <c r="J61" s="14">
        <f>'A) Base RI'!G61+'A) Base RI'!H61</f>
        <v>4792.1499999999996</v>
      </c>
      <c r="K61" s="14">
        <f>'A) Base RI'!I61</f>
        <v>0</v>
      </c>
      <c r="L61" s="14">
        <f>'A) Base RI'!J61</f>
        <v>7152.09</v>
      </c>
      <c r="M61" s="14">
        <f>'A) Base RI'!K61</f>
        <v>0</v>
      </c>
      <c r="N61" s="14">
        <f>'A) Base RI'!Q61</f>
        <v>4238.33</v>
      </c>
      <c r="O61" s="14">
        <f t="shared" si="1"/>
        <v>37975.199999999997</v>
      </c>
      <c r="P61" s="14">
        <f>'A) Base RI'!L61</f>
        <v>37975.199999999997</v>
      </c>
      <c r="Q61" s="44">
        <f>'A) Base RI'!AR61</f>
        <v>1</v>
      </c>
      <c r="R61" s="4">
        <f t="shared" si="2"/>
        <v>593059.89</v>
      </c>
      <c r="S61" s="43">
        <f>'A) Base RI'!AM61</f>
        <v>81</v>
      </c>
      <c r="T61" s="4">
        <f t="shared" si="3"/>
        <v>555084.69000000006</v>
      </c>
      <c r="U61" s="4">
        <f t="shared" si="4"/>
        <v>7321.727037037037</v>
      </c>
      <c r="V61" s="14">
        <f>'A) Base RI'!O61</f>
        <v>0</v>
      </c>
      <c r="W61" s="14">
        <f>'A) Base RI'!P61</f>
        <v>9966.6500000000015</v>
      </c>
      <c r="X61" s="14">
        <f>'A) Base RI'!R61</f>
        <v>18007.45</v>
      </c>
      <c r="Y61" s="4">
        <f t="shared" si="5"/>
        <v>27974.100000000002</v>
      </c>
      <c r="Z61" s="14">
        <f>'A) Base RI'!N61</f>
        <v>0</v>
      </c>
      <c r="AA61" s="14">
        <f>'A) Base RI'!S61+'A) Base RI'!T61</f>
        <v>31.25</v>
      </c>
      <c r="AB61" s="14">
        <f>'A) Base RI'!U61</f>
        <v>1140</v>
      </c>
      <c r="AC61" s="14">
        <f>'A) Base RI'!V61</f>
        <v>0</v>
      </c>
      <c r="AD61" s="14">
        <f>'A) Base RI'!W61</f>
        <v>0</v>
      </c>
      <c r="AE61" s="14">
        <f>'A) Base RI'!Y61</f>
        <v>786.5</v>
      </c>
      <c r="AF61" s="14">
        <f>'A) Base RI'!Z61</f>
        <v>0</v>
      </c>
      <c r="AG61" s="14">
        <f>'A) Base RI'!AA61</f>
        <v>8458.5</v>
      </c>
      <c r="AH61" s="14">
        <f>'A) Base RI'!AB61</f>
        <v>0</v>
      </c>
      <c r="AI61" s="14">
        <f>'A) Base RI'!AC61</f>
        <v>24952.25</v>
      </c>
      <c r="AJ61" s="14">
        <f>'A) Base RI'!AD61</f>
        <v>3300</v>
      </c>
      <c r="AK61" s="14">
        <f>'A) Base RI'!AE61</f>
        <v>0</v>
      </c>
      <c r="AL61" s="14">
        <f>'A) Base RI'!AF61</f>
        <v>0</v>
      </c>
      <c r="AM61" s="14">
        <f>'A) Base RI'!AG61</f>
        <v>0</v>
      </c>
      <c r="AN61" s="14">
        <f>'A) Base RI'!AH61</f>
        <v>5527.05</v>
      </c>
      <c r="AO61" s="14">
        <f>'A) Base RI'!AI61</f>
        <v>0</v>
      </c>
      <c r="AP61" s="14">
        <f>'A) Base RI'!AJ61</f>
        <v>0</v>
      </c>
      <c r="AQ61" s="14">
        <f>'A) Base RI'!AK61</f>
        <v>0</v>
      </c>
      <c r="AR61" s="14">
        <f>'A) Base RI'!AN61</f>
        <v>290</v>
      </c>
    </row>
    <row r="62" spans="1:44" x14ac:dyDescent="0.25">
      <c r="A62" s="12">
        <f>'A) Base RI'!A62</f>
        <v>5491</v>
      </c>
      <c r="B62" s="42" t="str">
        <f>'A) Base RI'!B62</f>
        <v>Mont-la-Ville</v>
      </c>
      <c r="C62" s="14">
        <f>'A) Base RI'!C62+'A) Base RI'!D62</f>
        <v>604565.28</v>
      </c>
      <c r="D62" s="14">
        <f>'A) Base RI'!AO62</f>
        <v>-22207.75</v>
      </c>
      <c r="E62" s="41">
        <f>'A) Base RI'!AP62</f>
        <v>0</v>
      </c>
      <c r="F62" s="41">
        <f>'A) Base RI'!AQ62</f>
        <v>0</v>
      </c>
      <c r="G62" s="4">
        <f t="shared" si="0"/>
        <v>582357.53</v>
      </c>
      <c r="H62" s="14">
        <f>'A) Base RI'!E62</f>
        <v>0</v>
      </c>
      <c r="I62" s="14">
        <f>'A) Base RI'!F62</f>
        <v>0</v>
      </c>
      <c r="J62" s="14">
        <f>'A) Base RI'!G62+'A) Base RI'!H62</f>
        <v>2476.0500000000002</v>
      </c>
      <c r="K62" s="14">
        <f>'A) Base RI'!I62</f>
        <v>0</v>
      </c>
      <c r="L62" s="14">
        <f>'A) Base RI'!J62</f>
        <v>6922.65</v>
      </c>
      <c r="M62" s="14">
        <f>'A) Base RI'!K62</f>
        <v>512.5</v>
      </c>
      <c r="N62" s="14">
        <f>'A) Base RI'!Q62</f>
        <v>276.17</v>
      </c>
      <c r="O62" s="14">
        <f t="shared" si="1"/>
        <v>61030.85</v>
      </c>
      <c r="P62" s="14">
        <f>'A) Base RI'!L62</f>
        <v>61030.85</v>
      </c>
      <c r="Q62" s="44">
        <f>'A) Base RI'!AR62</f>
        <v>1</v>
      </c>
      <c r="R62" s="4">
        <f t="shared" si="2"/>
        <v>653575.75000000012</v>
      </c>
      <c r="S62" s="43">
        <f>'A) Base RI'!AM62</f>
        <v>76</v>
      </c>
      <c r="T62" s="4">
        <f t="shared" si="3"/>
        <v>592032.40000000014</v>
      </c>
      <c r="U62" s="4">
        <f t="shared" si="4"/>
        <v>8599.6809210526335</v>
      </c>
      <c r="V62" s="14">
        <f>'A) Base RI'!O62</f>
        <v>0</v>
      </c>
      <c r="W62" s="14">
        <f>'A) Base RI'!P62</f>
        <v>38464.35</v>
      </c>
      <c r="X62" s="14">
        <f>'A) Base RI'!R62</f>
        <v>38770.6</v>
      </c>
      <c r="Y62" s="4">
        <f t="shared" si="5"/>
        <v>77234.95</v>
      </c>
      <c r="Z62" s="14">
        <f>'A) Base RI'!N62</f>
        <v>0</v>
      </c>
      <c r="AA62" s="14">
        <f>'A) Base RI'!S62+'A) Base RI'!T62</f>
        <v>12.5</v>
      </c>
      <c r="AB62" s="14">
        <f>'A) Base RI'!U62</f>
        <v>3950</v>
      </c>
      <c r="AC62" s="14">
        <f>'A) Base RI'!V62</f>
        <v>0</v>
      </c>
      <c r="AD62" s="14">
        <f>'A) Base RI'!W62</f>
        <v>0</v>
      </c>
      <c r="AE62" s="14">
        <f>'A) Base RI'!Y62</f>
        <v>0</v>
      </c>
      <c r="AF62" s="14">
        <f>'A) Base RI'!Z62</f>
        <v>0</v>
      </c>
      <c r="AG62" s="14">
        <f>'A) Base RI'!AA62</f>
        <v>45932</v>
      </c>
      <c r="AH62" s="14">
        <f>'A) Base RI'!AB62</f>
        <v>0</v>
      </c>
      <c r="AI62" s="14">
        <f>'A) Base RI'!AC62</f>
        <v>33602</v>
      </c>
      <c r="AJ62" s="14">
        <f>'A) Base RI'!AD62</f>
        <v>0</v>
      </c>
      <c r="AK62" s="14">
        <f>'A) Base RI'!AE62</f>
        <v>0</v>
      </c>
      <c r="AL62" s="14">
        <f>'A) Base RI'!AF62</f>
        <v>0</v>
      </c>
      <c r="AM62" s="14">
        <f>'A) Base RI'!AG62</f>
        <v>0</v>
      </c>
      <c r="AN62" s="14">
        <f>'A) Base RI'!AH62</f>
        <v>10757.7</v>
      </c>
      <c r="AO62" s="14">
        <f>'A) Base RI'!AI62</f>
        <v>0</v>
      </c>
      <c r="AP62" s="14">
        <f>'A) Base RI'!AJ62</f>
        <v>0</v>
      </c>
      <c r="AQ62" s="14">
        <f>'A) Base RI'!AK62</f>
        <v>0</v>
      </c>
      <c r="AR62" s="14">
        <f>'A) Base RI'!AN62</f>
        <v>382</v>
      </c>
    </row>
    <row r="63" spans="1:44" x14ac:dyDescent="0.25">
      <c r="A63" s="12">
        <f>'A) Base RI'!A63</f>
        <v>5492</v>
      </c>
      <c r="B63" s="42" t="str">
        <f>'A) Base RI'!B63</f>
        <v>Montricher</v>
      </c>
      <c r="C63" s="14">
        <f>'A) Base RI'!C63+'A) Base RI'!D63</f>
        <v>11565397.32</v>
      </c>
      <c r="D63" s="14">
        <f>'A) Base RI'!AO63</f>
        <v>-66685.14</v>
      </c>
      <c r="E63" s="41">
        <f>'A) Base RI'!AP63</f>
        <v>0</v>
      </c>
      <c r="F63" s="41">
        <f>'A) Base RI'!AQ63</f>
        <v>-3614.81</v>
      </c>
      <c r="G63" s="4">
        <f t="shared" si="0"/>
        <v>11495097.369999999</v>
      </c>
      <c r="H63" s="14">
        <f>'A) Base RI'!E63</f>
        <v>0</v>
      </c>
      <c r="I63" s="14">
        <f>'A) Base RI'!F63</f>
        <v>0</v>
      </c>
      <c r="J63" s="14">
        <f>'A) Base RI'!G63+'A) Base RI'!H63</f>
        <v>178173.1</v>
      </c>
      <c r="K63" s="14">
        <f>'A) Base RI'!I63</f>
        <v>1336.95</v>
      </c>
      <c r="L63" s="14">
        <f>'A) Base RI'!J63</f>
        <v>29378.21</v>
      </c>
      <c r="M63" s="14">
        <f>'A) Base RI'!K63</f>
        <v>33696.5</v>
      </c>
      <c r="N63" s="14">
        <f>'A) Base RI'!Q63</f>
        <v>18447.689999999999</v>
      </c>
      <c r="O63" s="14">
        <f t="shared" si="1"/>
        <v>213521.00000000003</v>
      </c>
      <c r="P63" s="14">
        <f>'A) Base RI'!L63</f>
        <v>64056.3</v>
      </c>
      <c r="Q63" s="44">
        <f>'A) Base RI'!AR63</f>
        <v>0.3</v>
      </c>
      <c r="R63" s="4">
        <f t="shared" si="2"/>
        <v>11969650.819999998</v>
      </c>
      <c r="S63" s="43">
        <f>'A) Base RI'!AM63</f>
        <v>64</v>
      </c>
      <c r="T63" s="4">
        <f t="shared" si="3"/>
        <v>11722433.319999998</v>
      </c>
      <c r="U63" s="4">
        <f t="shared" si="4"/>
        <v>187025.79406249998</v>
      </c>
      <c r="V63" s="14">
        <f>'A) Base RI'!O63</f>
        <v>0</v>
      </c>
      <c r="W63" s="14">
        <f>'A) Base RI'!P63</f>
        <v>71912.55</v>
      </c>
      <c r="X63" s="14">
        <f>'A) Base RI'!R63</f>
        <v>52626.3</v>
      </c>
      <c r="Y63" s="4">
        <f t="shared" si="5"/>
        <v>124538.85</v>
      </c>
      <c r="Z63" s="14">
        <f>'A) Base RI'!N63</f>
        <v>2115.35</v>
      </c>
      <c r="AA63" s="14">
        <f>'A) Base RI'!S63+'A) Base RI'!T63</f>
        <v>0</v>
      </c>
      <c r="AB63" s="14">
        <f>'A) Base RI'!U63</f>
        <v>4560</v>
      </c>
      <c r="AC63" s="14">
        <f>'A) Base RI'!V63</f>
        <v>0</v>
      </c>
      <c r="AD63" s="14">
        <f>'A) Base RI'!W63</f>
        <v>0</v>
      </c>
      <c r="AE63" s="14">
        <f>'A) Base RI'!Y63</f>
        <v>10219</v>
      </c>
      <c r="AF63" s="14">
        <f>'A) Base RI'!Z63</f>
        <v>0</v>
      </c>
      <c r="AG63" s="14">
        <f>'A) Base RI'!AA63</f>
        <v>22282.5</v>
      </c>
      <c r="AH63" s="14">
        <f>'A) Base RI'!AB63</f>
        <v>0</v>
      </c>
      <c r="AI63" s="14">
        <f>'A) Base RI'!AC63</f>
        <v>30950</v>
      </c>
      <c r="AJ63" s="14">
        <f>'A) Base RI'!AD63</f>
        <v>13019</v>
      </c>
      <c r="AK63" s="14">
        <f>'A) Base RI'!AE63</f>
        <v>0</v>
      </c>
      <c r="AL63" s="14">
        <f>'A) Base RI'!AF63</f>
        <v>0</v>
      </c>
      <c r="AM63" s="14">
        <f>'A) Base RI'!AG63</f>
        <v>0</v>
      </c>
      <c r="AN63" s="14">
        <f>'A) Base RI'!AH63</f>
        <v>0</v>
      </c>
      <c r="AO63" s="14">
        <f>'A) Base RI'!AI63</f>
        <v>0</v>
      </c>
      <c r="AP63" s="14">
        <f>'A) Base RI'!AJ63</f>
        <v>0</v>
      </c>
      <c r="AQ63" s="14">
        <f>'A) Base RI'!AK63</f>
        <v>0</v>
      </c>
      <c r="AR63" s="14">
        <f>'A) Base RI'!AN63</f>
        <v>961</v>
      </c>
    </row>
    <row r="64" spans="1:44" x14ac:dyDescent="0.25">
      <c r="A64" s="12">
        <f>'A) Base RI'!A64</f>
        <v>5493</v>
      </c>
      <c r="B64" s="42" t="str">
        <f>'A) Base RI'!B64</f>
        <v>Orny</v>
      </c>
      <c r="C64" s="14">
        <f>'A) Base RI'!C64+'A) Base RI'!D64</f>
        <v>719864.34</v>
      </c>
      <c r="D64" s="14">
        <f>'A) Base RI'!AO64</f>
        <v>-34819.839999999997</v>
      </c>
      <c r="E64" s="41">
        <f>'A) Base RI'!AP64</f>
        <v>0</v>
      </c>
      <c r="F64" s="41">
        <f>'A) Base RI'!AQ64</f>
        <v>-0.06</v>
      </c>
      <c r="G64" s="4">
        <f t="shared" si="0"/>
        <v>685044.44</v>
      </c>
      <c r="H64" s="14">
        <f>'A) Base RI'!E64</f>
        <v>0</v>
      </c>
      <c r="I64" s="14">
        <f>'A) Base RI'!F64</f>
        <v>0</v>
      </c>
      <c r="J64" s="14">
        <f>'A) Base RI'!G64+'A) Base RI'!H64</f>
        <v>1323.55</v>
      </c>
      <c r="K64" s="14">
        <f>'A) Base RI'!I64</f>
        <v>0</v>
      </c>
      <c r="L64" s="14">
        <f>'A) Base RI'!J64</f>
        <v>19818.59</v>
      </c>
      <c r="M64" s="14">
        <f>'A) Base RI'!K64</f>
        <v>134.5</v>
      </c>
      <c r="N64" s="14">
        <f>'A) Base RI'!Q64</f>
        <v>16684.09</v>
      </c>
      <c r="O64" s="14">
        <f t="shared" si="1"/>
        <v>51840.538461538461</v>
      </c>
      <c r="P64" s="14">
        <f>'A) Base RI'!L64</f>
        <v>33696.35</v>
      </c>
      <c r="Q64" s="44">
        <f>'A) Base RI'!AR64</f>
        <v>0.65</v>
      </c>
      <c r="R64" s="4">
        <f t="shared" si="2"/>
        <v>774845.70846153842</v>
      </c>
      <c r="S64" s="43">
        <f>'A) Base RI'!AM64</f>
        <v>73</v>
      </c>
      <c r="T64" s="4">
        <f t="shared" si="3"/>
        <v>722870.66999999993</v>
      </c>
      <c r="U64" s="4">
        <f t="shared" si="4"/>
        <v>10614.324773445733</v>
      </c>
      <c r="V64" s="14">
        <f>'A) Base RI'!O64</f>
        <v>1498.5</v>
      </c>
      <c r="W64" s="14">
        <f>'A) Base RI'!P64</f>
        <v>8670.7000000000007</v>
      </c>
      <c r="X64" s="14">
        <f>'A) Base RI'!R64</f>
        <v>7291.65</v>
      </c>
      <c r="Y64" s="4">
        <f t="shared" si="5"/>
        <v>17460.849999999999</v>
      </c>
      <c r="Z64" s="14">
        <f>'A) Base RI'!N64</f>
        <v>60612.05</v>
      </c>
      <c r="AA64" s="14">
        <f>'A) Base RI'!S64+'A) Base RI'!T64</f>
        <v>0</v>
      </c>
      <c r="AB64" s="14">
        <f>'A) Base RI'!U64</f>
        <v>1300</v>
      </c>
      <c r="AC64" s="14">
        <f>'A) Base RI'!V64</f>
        <v>0</v>
      </c>
      <c r="AD64" s="14">
        <f>'A) Base RI'!W64</f>
        <v>0</v>
      </c>
      <c r="AE64" s="14">
        <f>'A) Base RI'!Y64</f>
        <v>0</v>
      </c>
      <c r="AF64" s="14">
        <f>'A) Base RI'!Z64</f>
        <v>625</v>
      </c>
      <c r="AG64" s="14">
        <f>'A) Base RI'!AA64</f>
        <v>52823.05</v>
      </c>
      <c r="AH64" s="14">
        <f>'A) Base RI'!AB64</f>
        <v>0</v>
      </c>
      <c r="AI64" s="14">
        <f>'A) Base RI'!AC64</f>
        <v>16701.5</v>
      </c>
      <c r="AJ64" s="14">
        <f>'A) Base RI'!AD64</f>
        <v>0</v>
      </c>
      <c r="AK64" s="14">
        <f>'A) Base RI'!AE64</f>
        <v>0</v>
      </c>
      <c r="AL64" s="14">
        <f>'A) Base RI'!AF64</f>
        <v>0</v>
      </c>
      <c r="AM64" s="14">
        <f>'A) Base RI'!AG64</f>
        <v>0</v>
      </c>
      <c r="AN64" s="14">
        <f>'A) Base RI'!AH64</f>
        <v>0</v>
      </c>
      <c r="AO64" s="14">
        <f>'A) Base RI'!AI64</f>
        <v>0</v>
      </c>
      <c r="AP64" s="14">
        <f>'A) Base RI'!AJ64</f>
        <v>0</v>
      </c>
      <c r="AQ64" s="14">
        <f>'A) Base RI'!AK64</f>
        <v>0</v>
      </c>
      <c r="AR64" s="14">
        <f>'A) Base RI'!AN64</f>
        <v>375</v>
      </c>
    </row>
    <row r="65" spans="1:44" x14ac:dyDescent="0.25">
      <c r="A65" s="12">
        <f>'A) Base RI'!A65</f>
        <v>5494</v>
      </c>
      <c r="B65" s="42" t="str">
        <f>'A) Base RI'!B65</f>
        <v>Pampigny</v>
      </c>
      <c r="C65" s="14">
        <f>'A) Base RI'!C65+'A) Base RI'!D65</f>
        <v>2286689.41</v>
      </c>
      <c r="D65" s="14">
        <f>'A) Base RI'!AO65</f>
        <v>-44589.77</v>
      </c>
      <c r="E65" s="41">
        <f>'A) Base RI'!AP65</f>
        <v>0</v>
      </c>
      <c r="F65" s="41">
        <f>'A) Base RI'!AQ65</f>
        <v>-119.89</v>
      </c>
      <c r="G65" s="4">
        <f t="shared" si="0"/>
        <v>2241979.75</v>
      </c>
      <c r="H65" s="14">
        <f>'A) Base RI'!E65</f>
        <v>0</v>
      </c>
      <c r="I65" s="14">
        <f>'A) Base RI'!F65</f>
        <v>0</v>
      </c>
      <c r="J65" s="14">
        <f>'A) Base RI'!G65+'A) Base RI'!H65</f>
        <v>21327.95</v>
      </c>
      <c r="K65" s="14">
        <f>'A) Base RI'!I65</f>
        <v>0</v>
      </c>
      <c r="L65" s="14">
        <f>'A) Base RI'!J65</f>
        <v>66522.87</v>
      </c>
      <c r="M65" s="14">
        <f>'A) Base RI'!K65</f>
        <v>1608</v>
      </c>
      <c r="N65" s="14">
        <f>'A) Base RI'!Q65</f>
        <v>24899.25</v>
      </c>
      <c r="O65" s="14">
        <f t="shared" si="1"/>
        <v>192319.0476190476</v>
      </c>
      <c r="P65" s="14">
        <f>'A) Base RI'!L65</f>
        <v>201935</v>
      </c>
      <c r="Q65" s="44">
        <f>'A) Base RI'!AR65</f>
        <v>1.05</v>
      </c>
      <c r="R65" s="4">
        <f t="shared" si="2"/>
        <v>2548656.8676190479</v>
      </c>
      <c r="S65" s="43">
        <f>'A) Base RI'!AM65</f>
        <v>75</v>
      </c>
      <c r="T65" s="4">
        <f t="shared" si="3"/>
        <v>2354729.8200000003</v>
      </c>
      <c r="U65" s="4">
        <f t="shared" si="4"/>
        <v>33982.091568253971</v>
      </c>
      <c r="V65" s="14">
        <f>'A) Base RI'!O65</f>
        <v>0</v>
      </c>
      <c r="W65" s="14">
        <f>'A) Base RI'!P65</f>
        <v>108103.55</v>
      </c>
      <c r="X65" s="14">
        <f>'A) Base RI'!R65</f>
        <v>49622.15</v>
      </c>
      <c r="Y65" s="4">
        <f t="shared" si="5"/>
        <v>157725.70000000001</v>
      </c>
      <c r="Z65" s="14">
        <f>'A) Base RI'!N65</f>
        <v>20551.3</v>
      </c>
      <c r="AA65" s="14">
        <f>'A) Base RI'!S65+'A) Base RI'!T65</f>
        <v>50</v>
      </c>
      <c r="AB65" s="14">
        <f>'A) Base RI'!U65</f>
        <v>5600</v>
      </c>
      <c r="AC65" s="14">
        <f>'A) Base RI'!V65</f>
        <v>0</v>
      </c>
      <c r="AD65" s="14">
        <f>'A) Base RI'!W65</f>
        <v>0</v>
      </c>
      <c r="AE65" s="14">
        <f>'A) Base RI'!Y65</f>
        <v>0</v>
      </c>
      <c r="AF65" s="14">
        <f>'A) Base RI'!Z65</f>
        <v>7060.56</v>
      </c>
      <c r="AG65" s="14">
        <f>'A) Base RI'!AA65</f>
        <v>147079.21</v>
      </c>
      <c r="AH65" s="14">
        <f>'A) Base RI'!AB65</f>
        <v>0</v>
      </c>
      <c r="AI65" s="14">
        <f>'A) Base RI'!AC65</f>
        <v>119422.18</v>
      </c>
      <c r="AJ65" s="14">
        <f>'A) Base RI'!AD65</f>
        <v>0</v>
      </c>
      <c r="AK65" s="14">
        <f>'A) Base RI'!AE65</f>
        <v>5646</v>
      </c>
      <c r="AL65" s="14">
        <f>'A) Base RI'!AF65</f>
        <v>0</v>
      </c>
      <c r="AM65" s="14">
        <f>'A) Base RI'!AG65</f>
        <v>0</v>
      </c>
      <c r="AN65" s="14">
        <f>'A) Base RI'!AH65</f>
        <v>0</v>
      </c>
      <c r="AO65" s="14">
        <f>'A) Base RI'!AI65</f>
        <v>0</v>
      </c>
      <c r="AP65" s="14">
        <f>'A) Base RI'!AJ65</f>
        <v>0</v>
      </c>
      <c r="AQ65" s="14">
        <f>'A) Base RI'!AK65</f>
        <v>0</v>
      </c>
      <c r="AR65" s="14">
        <f>'A) Base RI'!AN65</f>
        <v>1124</v>
      </c>
    </row>
    <row r="66" spans="1:44" x14ac:dyDescent="0.25">
      <c r="A66" s="12">
        <f>'A) Base RI'!A66</f>
        <v>5495</v>
      </c>
      <c r="B66" s="42" t="str">
        <f>'A) Base RI'!B66</f>
        <v>Penthalaz</v>
      </c>
      <c r="C66" s="14">
        <f>'A) Base RI'!C66+'A) Base RI'!D66</f>
        <v>6073940.0100000007</v>
      </c>
      <c r="D66" s="14">
        <f>'A) Base RI'!AO66</f>
        <v>-227948.38</v>
      </c>
      <c r="E66" s="41">
        <f>'A) Base RI'!AP66</f>
        <v>0</v>
      </c>
      <c r="F66" s="41">
        <f>'A) Base RI'!AQ66</f>
        <v>-210.08</v>
      </c>
      <c r="G66" s="4">
        <f t="shared" si="0"/>
        <v>5845781.5500000007</v>
      </c>
      <c r="H66" s="14">
        <f>'A) Base RI'!E66</f>
        <v>0</v>
      </c>
      <c r="I66" s="14">
        <f>'A) Base RI'!F66</f>
        <v>0</v>
      </c>
      <c r="J66" s="14">
        <f>'A) Base RI'!G66+'A) Base RI'!H66</f>
        <v>384803</v>
      </c>
      <c r="K66" s="14">
        <f>'A) Base RI'!I66</f>
        <v>37075.300000000003</v>
      </c>
      <c r="L66" s="14">
        <f>'A) Base RI'!J66</f>
        <v>256310.16</v>
      </c>
      <c r="M66" s="14">
        <f>'A) Base RI'!K66</f>
        <v>62894.5</v>
      </c>
      <c r="N66" s="14">
        <f>'A) Base RI'!Q66</f>
        <v>61929.27</v>
      </c>
      <c r="O66" s="14">
        <f t="shared" si="1"/>
        <v>467218</v>
      </c>
      <c r="P66" s="14">
        <f>'A) Base RI'!L66</f>
        <v>467218</v>
      </c>
      <c r="Q66" s="44">
        <f>'A) Base RI'!AR66</f>
        <v>1</v>
      </c>
      <c r="R66" s="4">
        <f t="shared" si="2"/>
        <v>7116011.7800000003</v>
      </c>
      <c r="S66" s="43">
        <f>'A) Base RI'!AM66</f>
        <v>74</v>
      </c>
      <c r="T66" s="4">
        <f t="shared" si="3"/>
        <v>6585899.2800000003</v>
      </c>
      <c r="U66" s="4">
        <f t="shared" si="4"/>
        <v>96162.321351351362</v>
      </c>
      <c r="V66" s="14">
        <f>'A) Base RI'!O66</f>
        <v>29810.1</v>
      </c>
      <c r="W66" s="14">
        <f>'A) Base RI'!P66</f>
        <v>119362.4</v>
      </c>
      <c r="X66" s="14">
        <f>'A) Base RI'!R66</f>
        <v>177639.5</v>
      </c>
      <c r="Y66" s="4">
        <f t="shared" si="5"/>
        <v>326812</v>
      </c>
      <c r="Z66" s="14">
        <f>'A) Base RI'!N66</f>
        <v>212709.05</v>
      </c>
      <c r="AA66" s="14">
        <f>'A) Base RI'!S66+'A) Base RI'!T66</f>
        <v>530</v>
      </c>
      <c r="AB66" s="14">
        <f>'A) Base RI'!U66</f>
        <v>11940</v>
      </c>
      <c r="AC66" s="14">
        <f>'A) Base RI'!V66</f>
        <v>0</v>
      </c>
      <c r="AD66" s="14">
        <f>'A) Base RI'!W66</f>
        <v>0</v>
      </c>
      <c r="AE66" s="14">
        <f>'A) Base RI'!Y66</f>
        <v>574440</v>
      </c>
      <c r="AF66" s="14">
        <f>'A) Base RI'!Z66</f>
        <v>0</v>
      </c>
      <c r="AG66" s="14">
        <f>'A) Base RI'!AA66</f>
        <v>84799</v>
      </c>
      <c r="AH66" s="14">
        <f>'A) Base RI'!AB66</f>
        <v>332173.2</v>
      </c>
      <c r="AI66" s="14">
        <f>'A) Base RI'!AC66</f>
        <v>245339.45</v>
      </c>
      <c r="AJ66" s="14">
        <f>'A) Base RI'!AD66</f>
        <v>574235.15</v>
      </c>
      <c r="AK66" s="14">
        <f>'A) Base RI'!AE66</f>
        <v>0</v>
      </c>
      <c r="AL66" s="14">
        <f>'A) Base RI'!AF66</f>
        <v>0</v>
      </c>
      <c r="AM66" s="14">
        <f>'A) Base RI'!AG66</f>
        <v>18664.5</v>
      </c>
      <c r="AN66" s="14">
        <f>'A) Base RI'!AH66</f>
        <v>115639.05</v>
      </c>
      <c r="AO66" s="14">
        <f>'A) Base RI'!AI66</f>
        <v>0</v>
      </c>
      <c r="AP66" s="14">
        <f>'A) Base RI'!AJ66</f>
        <v>0</v>
      </c>
      <c r="AQ66" s="14">
        <f>'A) Base RI'!AK66</f>
        <v>0</v>
      </c>
      <c r="AR66" s="14">
        <f>'A) Base RI'!AN66</f>
        <v>3241</v>
      </c>
    </row>
    <row r="67" spans="1:44" x14ac:dyDescent="0.25">
      <c r="A67" s="12">
        <f>'A) Base RI'!A67</f>
        <v>5496</v>
      </c>
      <c r="B67" s="42" t="str">
        <f>'A) Base RI'!B67</f>
        <v>Penthaz</v>
      </c>
      <c r="C67" s="14">
        <f>'A) Base RI'!C67+'A) Base RI'!D67</f>
        <v>3293007.62</v>
      </c>
      <c r="D67" s="14">
        <f>'A) Base RI'!AO67</f>
        <v>-55612.91</v>
      </c>
      <c r="E67" s="41">
        <f>'A) Base RI'!AP67</f>
        <v>0</v>
      </c>
      <c r="F67" s="41">
        <f>'A) Base RI'!AQ67</f>
        <v>-103.89</v>
      </c>
      <c r="G67" s="4">
        <f t="shared" si="0"/>
        <v>3237290.82</v>
      </c>
      <c r="H67" s="14">
        <f>'A) Base RI'!E67</f>
        <v>0</v>
      </c>
      <c r="I67" s="14">
        <f>'A) Base RI'!F67</f>
        <v>0</v>
      </c>
      <c r="J67" s="14">
        <f>'A) Base RI'!G67+'A) Base RI'!H67</f>
        <v>328948.90000000002</v>
      </c>
      <c r="K67" s="14">
        <f>'A) Base RI'!I67</f>
        <v>0</v>
      </c>
      <c r="L67" s="14">
        <f>'A) Base RI'!J67</f>
        <v>52392.89</v>
      </c>
      <c r="M67" s="14">
        <f>'A) Base RI'!K67</f>
        <v>14013.5</v>
      </c>
      <c r="N67" s="14">
        <f>'A) Base RI'!Q67</f>
        <v>746.66</v>
      </c>
      <c r="O67" s="14">
        <f t="shared" si="1"/>
        <v>286608.75</v>
      </c>
      <c r="P67" s="14">
        <f>'A) Base RI'!L67</f>
        <v>286608.75</v>
      </c>
      <c r="Q67" s="44">
        <f>'A) Base RI'!AR67</f>
        <v>1</v>
      </c>
      <c r="R67" s="4">
        <f t="shared" si="2"/>
        <v>3920001.52</v>
      </c>
      <c r="S67" s="43">
        <f>'A) Base RI'!AM67</f>
        <v>71</v>
      </c>
      <c r="T67" s="4">
        <f t="shared" si="3"/>
        <v>3619379.27</v>
      </c>
      <c r="U67" s="4">
        <f t="shared" si="4"/>
        <v>55211.289014084505</v>
      </c>
      <c r="V67" s="14">
        <f>'A) Base RI'!O67</f>
        <v>1162.2</v>
      </c>
      <c r="W67" s="14">
        <f>'A) Base RI'!P67</f>
        <v>66635.8</v>
      </c>
      <c r="X67" s="14">
        <f>'A) Base RI'!R67</f>
        <v>90069.8</v>
      </c>
      <c r="Y67" s="4">
        <f t="shared" si="5"/>
        <v>157867.79999999999</v>
      </c>
      <c r="Z67" s="14">
        <f>'A) Base RI'!N67</f>
        <v>91874.9</v>
      </c>
      <c r="AA67" s="14">
        <f>'A) Base RI'!S67+'A) Base RI'!T67</f>
        <v>75</v>
      </c>
      <c r="AB67" s="14">
        <f>'A) Base RI'!U67</f>
        <v>12550</v>
      </c>
      <c r="AC67" s="14">
        <f>'A) Base RI'!V67</f>
        <v>0</v>
      </c>
      <c r="AD67" s="14">
        <f>'A) Base RI'!W67</f>
        <v>0</v>
      </c>
      <c r="AE67" s="14">
        <f>'A) Base RI'!Y67</f>
        <v>32227.599999999999</v>
      </c>
      <c r="AF67" s="14">
        <f>'A) Base RI'!Z67</f>
        <v>0</v>
      </c>
      <c r="AG67" s="14">
        <f>'A) Base RI'!AA67</f>
        <v>0</v>
      </c>
      <c r="AH67" s="14">
        <f>'A) Base RI'!AB67</f>
        <v>178549.1</v>
      </c>
      <c r="AI67" s="14">
        <f>'A) Base RI'!AC67</f>
        <v>118795.2</v>
      </c>
      <c r="AJ67" s="14">
        <f>'A) Base RI'!AD67</f>
        <v>30543.599999999999</v>
      </c>
      <c r="AK67" s="14">
        <f>'A) Base RI'!AE67</f>
        <v>0</v>
      </c>
      <c r="AL67" s="14">
        <f>'A) Base RI'!AF67</f>
        <v>0</v>
      </c>
      <c r="AM67" s="14">
        <f>'A) Base RI'!AG67</f>
        <v>1354</v>
      </c>
      <c r="AN67" s="14">
        <f>'A) Base RI'!AH67</f>
        <v>47490.55</v>
      </c>
      <c r="AO67" s="14">
        <f>'A) Base RI'!AI67</f>
        <v>0</v>
      </c>
      <c r="AP67" s="14">
        <f>'A) Base RI'!AJ67</f>
        <v>0</v>
      </c>
      <c r="AQ67" s="14">
        <f>'A) Base RI'!AK67</f>
        <v>0</v>
      </c>
      <c r="AR67" s="14">
        <f>'A) Base RI'!AN67</f>
        <v>1653</v>
      </c>
    </row>
    <row r="68" spans="1:44" x14ac:dyDescent="0.25">
      <c r="A68" s="12">
        <f>'A) Base RI'!A68</f>
        <v>5497</v>
      </c>
      <c r="B68" s="42" t="str">
        <f>'A) Base RI'!B68</f>
        <v>Pompaples</v>
      </c>
      <c r="C68" s="14">
        <f>'A) Base RI'!C68+'A) Base RI'!D68</f>
        <v>1286811.9100000001</v>
      </c>
      <c r="D68" s="14">
        <f>'A) Base RI'!AO68</f>
        <v>-19151.88</v>
      </c>
      <c r="E68" s="41">
        <f>'A) Base RI'!AP68</f>
        <v>0</v>
      </c>
      <c r="F68" s="41">
        <f>'A) Base RI'!AQ68</f>
        <v>-17.260000000000002</v>
      </c>
      <c r="G68" s="4">
        <f t="shared" si="0"/>
        <v>1267642.7700000003</v>
      </c>
      <c r="H68" s="14">
        <f>'A) Base RI'!E68</f>
        <v>0</v>
      </c>
      <c r="I68" s="14">
        <f>'A) Base RI'!F68</f>
        <v>0</v>
      </c>
      <c r="J68" s="14">
        <f>'A) Base RI'!G68+'A) Base RI'!H68</f>
        <v>6851.1</v>
      </c>
      <c r="K68" s="14">
        <f>'A) Base RI'!I68</f>
        <v>0</v>
      </c>
      <c r="L68" s="14">
        <f>'A) Base RI'!J68</f>
        <v>73052.28</v>
      </c>
      <c r="M68" s="14">
        <f>'A) Base RI'!K68</f>
        <v>4836.5</v>
      </c>
      <c r="N68" s="14">
        <f>'A) Base RI'!Q68</f>
        <v>2770.66</v>
      </c>
      <c r="O68" s="14">
        <f t="shared" si="1"/>
        <v>111842.7</v>
      </c>
      <c r="P68" s="14">
        <f>'A) Base RI'!L68</f>
        <v>111842.7</v>
      </c>
      <c r="Q68" s="44">
        <f>'A) Base RI'!AR68</f>
        <v>1</v>
      </c>
      <c r="R68" s="4">
        <f t="shared" si="2"/>
        <v>1466996.0100000002</v>
      </c>
      <c r="S68" s="43">
        <f>'A) Base RI'!AM68</f>
        <v>66</v>
      </c>
      <c r="T68" s="4">
        <f t="shared" si="3"/>
        <v>1350316.8100000003</v>
      </c>
      <c r="U68" s="4">
        <f t="shared" si="4"/>
        <v>22227.212272727276</v>
      </c>
      <c r="V68" s="14">
        <f>'A) Base RI'!O68</f>
        <v>15536</v>
      </c>
      <c r="W68" s="14">
        <f>'A) Base RI'!P68</f>
        <v>34885.1</v>
      </c>
      <c r="X68" s="14">
        <f>'A) Base RI'!R68</f>
        <v>29457.9</v>
      </c>
      <c r="Y68" s="4">
        <f t="shared" si="5"/>
        <v>79879</v>
      </c>
      <c r="Z68" s="14">
        <f>'A) Base RI'!N68</f>
        <v>249012.55</v>
      </c>
      <c r="AA68" s="14">
        <f>'A) Base RI'!S68+'A) Base RI'!T68</f>
        <v>93.75</v>
      </c>
      <c r="AB68" s="14">
        <f>'A) Base RI'!U68</f>
        <v>2175</v>
      </c>
      <c r="AC68" s="14">
        <f>'A) Base RI'!V68</f>
        <v>0</v>
      </c>
      <c r="AD68" s="14">
        <f>'A) Base RI'!W68</f>
        <v>0</v>
      </c>
      <c r="AE68" s="14">
        <f>'A) Base RI'!Y68</f>
        <v>0</v>
      </c>
      <c r="AF68" s="14">
        <f>'A) Base RI'!Z68</f>
        <v>0</v>
      </c>
      <c r="AG68" s="14">
        <f>'A) Base RI'!AA68</f>
        <v>77590</v>
      </c>
      <c r="AH68" s="14">
        <f>'A) Base RI'!AB68</f>
        <v>0</v>
      </c>
      <c r="AI68" s="14">
        <f>'A) Base RI'!AC68</f>
        <v>94163.5</v>
      </c>
      <c r="AJ68" s="14">
        <f>'A) Base RI'!AD68</f>
        <v>0</v>
      </c>
      <c r="AK68" s="14">
        <f>'A) Base RI'!AE68</f>
        <v>0</v>
      </c>
      <c r="AL68" s="14">
        <f>'A) Base RI'!AF68</f>
        <v>0</v>
      </c>
      <c r="AM68" s="14">
        <f>'A) Base RI'!AG68</f>
        <v>0</v>
      </c>
      <c r="AN68" s="14">
        <f>'A) Base RI'!AH68</f>
        <v>32524.95</v>
      </c>
      <c r="AO68" s="14">
        <f>'A) Base RI'!AI68</f>
        <v>0</v>
      </c>
      <c r="AP68" s="14">
        <f>'A) Base RI'!AJ68</f>
        <v>0</v>
      </c>
      <c r="AQ68" s="14">
        <f>'A) Base RI'!AK68</f>
        <v>0</v>
      </c>
      <c r="AR68" s="14">
        <f>'A) Base RI'!AN68</f>
        <v>834</v>
      </c>
    </row>
    <row r="69" spans="1:44" x14ac:dyDescent="0.25">
      <c r="A69" s="12">
        <f>'A) Base RI'!A69</f>
        <v>5498</v>
      </c>
      <c r="B69" s="42" t="str">
        <f>'A) Base RI'!B69</f>
        <v>La Sarraz</v>
      </c>
      <c r="C69" s="14">
        <f>'A) Base RI'!C69+'A) Base RI'!D69</f>
        <v>3945149.72</v>
      </c>
      <c r="D69" s="14">
        <f>'A) Base RI'!AO69</f>
        <v>-45402.33</v>
      </c>
      <c r="E69" s="41">
        <f>'A) Base RI'!AP69</f>
        <v>0</v>
      </c>
      <c r="F69" s="41">
        <f>'A) Base RI'!AQ69</f>
        <v>-25.03</v>
      </c>
      <c r="G69" s="4">
        <f t="shared" si="0"/>
        <v>3899722.3600000003</v>
      </c>
      <c r="H69" s="14">
        <f>'A) Base RI'!E69</f>
        <v>0</v>
      </c>
      <c r="I69" s="14">
        <f>'A) Base RI'!F69</f>
        <v>0</v>
      </c>
      <c r="J69" s="14">
        <f>'A) Base RI'!G69+'A) Base RI'!H69</f>
        <v>128372.65</v>
      </c>
      <c r="K69" s="14">
        <f>'A) Base RI'!I69</f>
        <v>0</v>
      </c>
      <c r="L69" s="14">
        <f>'A) Base RI'!J69</f>
        <v>205230.45</v>
      </c>
      <c r="M69" s="14">
        <f>'A) Base RI'!K69</f>
        <v>18095</v>
      </c>
      <c r="N69" s="14">
        <f>'A) Base RI'!Q69</f>
        <v>4883.71</v>
      </c>
      <c r="O69" s="14">
        <f t="shared" si="1"/>
        <v>358360.15</v>
      </c>
      <c r="P69" s="14">
        <f>'A) Base RI'!L69</f>
        <v>358360.15</v>
      </c>
      <c r="Q69" s="44">
        <f>'A) Base RI'!AR69</f>
        <v>1</v>
      </c>
      <c r="R69" s="4">
        <f t="shared" si="2"/>
        <v>4614664.32</v>
      </c>
      <c r="S69" s="43">
        <f>'A) Base RI'!AM69</f>
        <v>64</v>
      </c>
      <c r="T69" s="4">
        <f t="shared" si="3"/>
        <v>4238209.17</v>
      </c>
      <c r="U69" s="4">
        <f t="shared" si="4"/>
        <v>72104.13</v>
      </c>
      <c r="V69" s="14">
        <f>'A) Base RI'!O69</f>
        <v>80341.899999999994</v>
      </c>
      <c r="W69" s="14">
        <f>'A) Base RI'!P69</f>
        <v>91284.4</v>
      </c>
      <c r="X69" s="14">
        <f>'A) Base RI'!R69</f>
        <v>70466.149999999994</v>
      </c>
      <c r="Y69" s="4">
        <f t="shared" si="5"/>
        <v>242092.44999999998</v>
      </c>
      <c r="Z69" s="14">
        <f>'A) Base RI'!N69</f>
        <v>66079.600000000006</v>
      </c>
      <c r="AA69" s="14">
        <f>'A) Base RI'!S69+'A) Base RI'!T69</f>
        <v>318.75</v>
      </c>
      <c r="AB69" s="14">
        <f>'A) Base RI'!U69</f>
        <v>15335</v>
      </c>
      <c r="AC69" s="14">
        <f>'A) Base RI'!V69</f>
        <v>0</v>
      </c>
      <c r="AD69" s="14">
        <f>'A) Base RI'!W69</f>
        <v>0</v>
      </c>
      <c r="AE69" s="14">
        <f>'A) Base RI'!Y69</f>
        <v>43282.5</v>
      </c>
      <c r="AF69" s="14">
        <f>'A) Base RI'!Z69</f>
        <v>0</v>
      </c>
      <c r="AG69" s="14">
        <f>'A) Base RI'!AA69</f>
        <v>213301.6</v>
      </c>
      <c r="AH69" s="14">
        <f>'A) Base RI'!AB69</f>
        <v>0</v>
      </c>
      <c r="AI69" s="14">
        <f>'A) Base RI'!AC69</f>
        <v>296319.90000000002</v>
      </c>
      <c r="AJ69" s="14">
        <f>'A) Base RI'!AD69</f>
        <v>0</v>
      </c>
      <c r="AK69" s="14">
        <f>'A) Base RI'!AE69</f>
        <v>0</v>
      </c>
      <c r="AL69" s="14">
        <f>'A) Base RI'!AF69</f>
        <v>0</v>
      </c>
      <c r="AM69" s="14">
        <f>'A) Base RI'!AG69</f>
        <v>0</v>
      </c>
      <c r="AN69" s="14">
        <f>'A) Base RI'!AH69</f>
        <v>0</v>
      </c>
      <c r="AO69" s="14">
        <f>'A) Base RI'!AI69</f>
        <v>0</v>
      </c>
      <c r="AP69" s="14">
        <f>'A) Base RI'!AJ69</f>
        <v>0</v>
      </c>
      <c r="AQ69" s="14">
        <f>'A) Base RI'!AK69</f>
        <v>0</v>
      </c>
      <c r="AR69" s="14">
        <f>'A) Base RI'!AN69</f>
        <v>2559</v>
      </c>
    </row>
    <row r="70" spans="1:44" x14ac:dyDescent="0.25">
      <c r="A70" s="12">
        <f>'A) Base RI'!A70</f>
        <v>5499</v>
      </c>
      <c r="B70" s="42" t="str">
        <f>'A) Base RI'!B70</f>
        <v>Senarclens</v>
      </c>
      <c r="C70" s="14">
        <f>'A) Base RI'!C70+'A) Base RI'!D70</f>
        <v>1362535.01</v>
      </c>
      <c r="D70" s="14">
        <f>'A) Base RI'!AO70</f>
        <v>-2009.76</v>
      </c>
      <c r="E70" s="41">
        <f>'A) Base RI'!AP70</f>
        <v>0</v>
      </c>
      <c r="F70" s="41">
        <f>'A) Base RI'!AQ70</f>
        <v>-65.010000000000005</v>
      </c>
      <c r="G70" s="4">
        <f t="shared" si="0"/>
        <v>1360460.24</v>
      </c>
      <c r="H70" s="14">
        <f>'A) Base RI'!E70</f>
        <v>0</v>
      </c>
      <c r="I70" s="14">
        <f>'A) Base RI'!F70</f>
        <v>0</v>
      </c>
      <c r="J70" s="14">
        <f>'A) Base RI'!G70+'A) Base RI'!H70</f>
        <v>23572.3</v>
      </c>
      <c r="K70" s="14">
        <f>'A) Base RI'!I70</f>
        <v>0</v>
      </c>
      <c r="L70" s="14">
        <f>'A) Base RI'!J70</f>
        <v>17401.21</v>
      </c>
      <c r="M70" s="14">
        <f>'A) Base RI'!K70</f>
        <v>0</v>
      </c>
      <c r="N70" s="14">
        <f>'A) Base RI'!Q70</f>
        <v>0</v>
      </c>
      <c r="O70" s="14">
        <f t="shared" si="1"/>
        <v>84858.4</v>
      </c>
      <c r="P70" s="14">
        <f>'A) Base RI'!L70</f>
        <v>84858.4</v>
      </c>
      <c r="Q70" s="44">
        <f>'A) Base RI'!AR70</f>
        <v>1</v>
      </c>
      <c r="R70" s="4">
        <f t="shared" si="2"/>
        <v>1486292.15</v>
      </c>
      <c r="S70" s="43">
        <f>'A) Base RI'!AM70</f>
        <v>68.5</v>
      </c>
      <c r="T70" s="4">
        <f t="shared" si="3"/>
        <v>1401433.75</v>
      </c>
      <c r="U70" s="4">
        <f t="shared" si="4"/>
        <v>21697.695620437953</v>
      </c>
      <c r="V70" s="14">
        <f>'A) Base RI'!O70</f>
        <v>6253.9</v>
      </c>
      <c r="W70" s="14">
        <f>'A) Base RI'!P70</f>
        <v>46970</v>
      </c>
      <c r="X70" s="14">
        <f>'A) Base RI'!R70</f>
        <v>57292.800000000003</v>
      </c>
      <c r="Y70" s="4">
        <f t="shared" si="5"/>
        <v>110516.70000000001</v>
      </c>
      <c r="Z70" s="14">
        <f>'A) Base RI'!N70</f>
        <v>15828.05</v>
      </c>
      <c r="AA70" s="14">
        <f>'A) Base RI'!S70+'A) Base RI'!T70</f>
        <v>25</v>
      </c>
      <c r="AB70" s="14">
        <f>'A) Base RI'!U70</f>
        <v>1250</v>
      </c>
      <c r="AC70" s="14">
        <f>'A) Base RI'!V70</f>
        <v>0</v>
      </c>
      <c r="AD70" s="14">
        <f>'A) Base RI'!W70</f>
        <v>0</v>
      </c>
      <c r="AE70" s="14">
        <f>'A) Base RI'!Y70</f>
        <v>20297.5</v>
      </c>
      <c r="AF70" s="14">
        <f>'A) Base RI'!Z70</f>
        <v>0</v>
      </c>
      <c r="AG70" s="14">
        <f>'A) Base RI'!AA70</f>
        <v>32580</v>
      </c>
      <c r="AH70" s="14">
        <f>'A) Base RI'!AB70</f>
        <v>0</v>
      </c>
      <c r="AI70" s="14">
        <f>'A) Base RI'!AC70</f>
        <v>32893</v>
      </c>
      <c r="AJ70" s="14">
        <f>'A) Base RI'!AD70</f>
        <v>20297.5</v>
      </c>
      <c r="AK70" s="14">
        <f>'A) Base RI'!AE70</f>
        <v>0</v>
      </c>
      <c r="AL70" s="14">
        <f>'A) Base RI'!AF70</f>
        <v>0</v>
      </c>
      <c r="AM70" s="14">
        <f>'A) Base RI'!AG70</f>
        <v>0</v>
      </c>
      <c r="AN70" s="14">
        <f>'A) Base RI'!AH70</f>
        <v>0</v>
      </c>
      <c r="AO70" s="14">
        <f>'A) Base RI'!AI70</f>
        <v>0</v>
      </c>
      <c r="AP70" s="14">
        <f>'A) Base RI'!AJ70</f>
        <v>0</v>
      </c>
      <c r="AQ70" s="14">
        <f>'A) Base RI'!AK70</f>
        <v>0</v>
      </c>
      <c r="AR70" s="14">
        <f>'A) Base RI'!AN70</f>
        <v>451</v>
      </c>
    </row>
    <row r="71" spans="1:44" x14ac:dyDescent="0.25">
      <c r="A71" s="12">
        <f>'A) Base RI'!A71</f>
        <v>5500</v>
      </c>
      <c r="B71" s="42" t="str">
        <f>'A) Base RI'!B71</f>
        <v>Sévery</v>
      </c>
      <c r="C71" s="14">
        <f>'A) Base RI'!C71+'A) Base RI'!D71</f>
        <v>479058.51</v>
      </c>
      <c r="D71" s="14">
        <f>'A) Base RI'!AO71</f>
        <v>-7181.36</v>
      </c>
      <c r="E71" s="41">
        <f>'A) Base RI'!AP71</f>
        <v>0</v>
      </c>
      <c r="F71" s="41">
        <f>'A) Base RI'!AQ71</f>
        <v>0</v>
      </c>
      <c r="G71" s="4">
        <f t="shared" si="0"/>
        <v>471877.15</v>
      </c>
      <c r="H71" s="14">
        <f>'A) Base RI'!E71</f>
        <v>0</v>
      </c>
      <c r="I71" s="14">
        <f>'A) Base RI'!F71</f>
        <v>0</v>
      </c>
      <c r="J71" s="14">
        <f>'A) Base RI'!G71+'A) Base RI'!H71</f>
        <v>6900.7999999999993</v>
      </c>
      <c r="K71" s="14">
        <f>'A) Base RI'!I71</f>
        <v>0</v>
      </c>
      <c r="L71" s="14">
        <f>'A) Base RI'!J71</f>
        <v>5605.97</v>
      </c>
      <c r="M71" s="14">
        <f>'A) Base RI'!K71</f>
        <v>324</v>
      </c>
      <c r="N71" s="14">
        <f>'A) Base RI'!Q71</f>
        <v>-9844.4500000000007</v>
      </c>
      <c r="O71" s="14">
        <f t="shared" si="1"/>
        <v>39440.125</v>
      </c>
      <c r="P71" s="14">
        <f>'A) Base RI'!L71</f>
        <v>47328.15</v>
      </c>
      <c r="Q71" s="44">
        <f>'A) Base RI'!AR71</f>
        <v>1.2</v>
      </c>
      <c r="R71" s="4">
        <f t="shared" si="2"/>
        <v>514303.59499999997</v>
      </c>
      <c r="S71" s="43">
        <f>'A) Base RI'!AM71</f>
        <v>76</v>
      </c>
      <c r="T71" s="4">
        <f t="shared" si="3"/>
        <v>474539.47</v>
      </c>
      <c r="U71" s="4">
        <f t="shared" si="4"/>
        <v>6767.1525657894736</v>
      </c>
      <c r="V71" s="14">
        <f>'A) Base RI'!O71</f>
        <v>0</v>
      </c>
      <c r="W71" s="14">
        <f>'A) Base RI'!P71</f>
        <v>25630</v>
      </c>
      <c r="X71" s="14">
        <f>'A) Base RI'!R71</f>
        <v>13182.4</v>
      </c>
      <c r="Y71" s="4">
        <f t="shared" si="5"/>
        <v>38812.400000000001</v>
      </c>
      <c r="Z71" s="14">
        <f>'A) Base RI'!N71</f>
        <v>5291.4</v>
      </c>
      <c r="AA71" s="14">
        <f>'A) Base RI'!S71+'A) Base RI'!T71</f>
        <v>0</v>
      </c>
      <c r="AB71" s="14">
        <f>'A) Base RI'!U71</f>
        <v>1400</v>
      </c>
      <c r="AC71" s="14">
        <f>'A) Base RI'!V71</f>
        <v>0</v>
      </c>
      <c r="AD71" s="14">
        <f>'A) Base RI'!W71</f>
        <v>0</v>
      </c>
      <c r="AE71" s="14">
        <f>'A) Base RI'!Y71</f>
        <v>0</v>
      </c>
      <c r="AF71" s="14">
        <f>'A) Base RI'!Z71</f>
        <v>0</v>
      </c>
      <c r="AG71" s="14">
        <f>'A) Base RI'!AA71</f>
        <v>29383.5</v>
      </c>
      <c r="AH71" s="14">
        <f>'A) Base RI'!AB71</f>
        <v>0</v>
      </c>
      <c r="AI71" s="14">
        <f>'A) Base RI'!AC71</f>
        <v>23613.599999999999</v>
      </c>
      <c r="AJ71" s="14">
        <f>'A) Base RI'!AD71</f>
        <v>0</v>
      </c>
      <c r="AK71" s="14">
        <f>'A) Base RI'!AE71</f>
        <v>0</v>
      </c>
      <c r="AL71" s="14">
        <f>'A) Base RI'!AF71</f>
        <v>0</v>
      </c>
      <c r="AM71" s="14">
        <f>'A) Base RI'!AG71</f>
        <v>0</v>
      </c>
      <c r="AN71" s="14">
        <f>'A) Base RI'!AH71</f>
        <v>0</v>
      </c>
      <c r="AO71" s="14">
        <f>'A) Base RI'!AI71</f>
        <v>0</v>
      </c>
      <c r="AP71" s="14">
        <f>'A) Base RI'!AJ71</f>
        <v>0</v>
      </c>
      <c r="AQ71" s="14">
        <f>'A) Base RI'!AK71</f>
        <v>0</v>
      </c>
      <c r="AR71" s="14">
        <f>'A) Base RI'!AN71</f>
        <v>231</v>
      </c>
    </row>
    <row r="72" spans="1:44" x14ac:dyDescent="0.25">
      <c r="A72" s="12">
        <f>'A) Base RI'!A72</f>
        <v>5501</v>
      </c>
      <c r="B72" s="42" t="str">
        <f>'A) Base RI'!B72</f>
        <v>Sullens</v>
      </c>
      <c r="C72" s="14">
        <f>'A) Base RI'!C72+'A) Base RI'!D72</f>
        <v>2250658.5</v>
      </c>
      <c r="D72" s="14">
        <f>'A) Base RI'!AO72</f>
        <v>-4391.01</v>
      </c>
      <c r="E72" s="41">
        <f>'A) Base RI'!AP72</f>
        <v>0</v>
      </c>
      <c r="F72" s="41">
        <f>'A) Base RI'!AQ72</f>
        <v>-1156.19</v>
      </c>
      <c r="G72" s="4">
        <f t="shared" ref="G72:G135" si="6">SUM(C72:F72)</f>
        <v>2245111.3000000003</v>
      </c>
      <c r="H72" s="14">
        <f>'A) Base RI'!E72</f>
        <v>0</v>
      </c>
      <c r="I72" s="14">
        <f>'A) Base RI'!F72</f>
        <v>0</v>
      </c>
      <c r="J72" s="14">
        <f>'A) Base RI'!G72+'A) Base RI'!H72</f>
        <v>21364.15</v>
      </c>
      <c r="K72" s="14">
        <f>'A) Base RI'!I72</f>
        <v>38905.75</v>
      </c>
      <c r="L72" s="14">
        <f>'A) Base RI'!J72</f>
        <v>19937.98</v>
      </c>
      <c r="M72" s="14">
        <f>'A) Base RI'!K72</f>
        <v>0</v>
      </c>
      <c r="N72" s="14">
        <f>'A) Base RI'!Q72</f>
        <v>8688.35</v>
      </c>
      <c r="O72" s="14">
        <f t="shared" ref="O72:O135" si="7">(P72/Q72)*1</f>
        <v>178142.1</v>
      </c>
      <c r="P72" s="14">
        <f>'A) Base RI'!L72</f>
        <v>178142.1</v>
      </c>
      <c r="Q72" s="44">
        <f>'A) Base RI'!AR72</f>
        <v>1</v>
      </c>
      <c r="R72" s="4">
        <f t="shared" ref="R72:R135" si="8">SUM(G72:O72)</f>
        <v>2512149.6300000004</v>
      </c>
      <c r="S72" s="43">
        <f>'A) Base RI'!AM72</f>
        <v>70</v>
      </c>
      <c r="T72" s="4">
        <f t="shared" ref="T72:T135" si="9">(G72+H72+J72+K72+L72+N72)</f>
        <v>2334007.5300000003</v>
      </c>
      <c r="U72" s="4">
        <f t="shared" ref="U72:U135" si="10">R72/S72</f>
        <v>35887.851857142865</v>
      </c>
      <c r="V72" s="14">
        <f>'A) Base RI'!O72</f>
        <v>0</v>
      </c>
      <c r="W72" s="14">
        <f>'A) Base RI'!P72</f>
        <v>91097.5</v>
      </c>
      <c r="X72" s="14">
        <f>'A) Base RI'!R72</f>
        <v>120132.3</v>
      </c>
      <c r="Y72" s="4">
        <f t="shared" ref="Y72:Y135" si="11">SUM(V72:X72)</f>
        <v>211229.8</v>
      </c>
      <c r="Z72" s="14">
        <f>'A) Base RI'!N72</f>
        <v>8687.9</v>
      </c>
      <c r="AA72" s="14">
        <f>'A) Base RI'!S72+'A) Base RI'!T72</f>
        <v>93.75</v>
      </c>
      <c r="AB72" s="14">
        <f>'A) Base RI'!U72</f>
        <v>3150</v>
      </c>
      <c r="AC72" s="14">
        <f>'A) Base RI'!V72</f>
        <v>0</v>
      </c>
      <c r="AD72" s="14">
        <f>'A) Base RI'!W72</f>
        <v>0</v>
      </c>
      <c r="AE72" s="14">
        <f>'A) Base RI'!Y72</f>
        <v>83995.8</v>
      </c>
      <c r="AF72" s="14">
        <f>'A) Base RI'!Z72</f>
        <v>15541</v>
      </c>
      <c r="AG72" s="14">
        <f>'A) Base RI'!AA72</f>
        <v>112521.60000000001</v>
      </c>
      <c r="AH72" s="14">
        <f>'A) Base RI'!AB72</f>
        <v>0</v>
      </c>
      <c r="AI72" s="14">
        <f>'A) Base RI'!AC72</f>
        <v>102438.3</v>
      </c>
      <c r="AJ72" s="14">
        <f>'A) Base RI'!AD72</f>
        <v>105444</v>
      </c>
      <c r="AK72" s="14">
        <f>'A) Base RI'!AE72</f>
        <v>19652.099999999999</v>
      </c>
      <c r="AL72" s="14">
        <f>'A) Base RI'!AF72</f>
        <v>0</v>
      </c>
      <c r="AM72" s="14">
        <f>'A) Base RI'!AG72</f>
        <v>0</v>
      </c>
      <c r="AN72" s="14">
        <f>'A) Base RI'!AH72</f>
        <v>0</v>
      </c>
      <c r="AO72" s="14">
        <f>'A) Base RI'!AI72</f>
        <v>0</v>
      </c>
      <c r="AP72" s="14">
        <f>'A) Base RI'!AJ72</f>
        <v>0</v>
      </c>
      <c r="AQ72" s="14">
        <f>'A) Base RI'!AK72</f>
        <v>0</v>
      </c>
      <c r="AR72" s="14">
        <f>'A) Base RI'!AN72</f>
        <v>925</v>
      </c>
    </row>
    <row r="73" spans="1:44" x14ac:dyDescent="0.25">
      <c r="A73" s="12">
        <f>'A) Base RI'!A73</f>
        <v>5503</v>
      </c>
      <c r="B73" s="42" t="str">
        <f>'A) Base RI'!B73</f>
        <v>Vufflens-la-Ville</v>
      </c>
      <c r="C73" s="14">
        <f>'A) Base RI'!C73+'A) Base RI'!D73</f>
        <v>3445234.98</v>
      </c>
      <c r="D73" s="14">
        <f>'A) Base RI'!AO73</f>
        <v>-99215.2</v>
      </c>
      <c r="E73" s="41">
        <f>'A) Base RI'!AP73</f>
        <v>0</v>
      </c>
      <c r="F73" s="41">
        <f>'A) Base RI'!AQ73</f>
        <v>-157.32</v>
      </c>
      <c r="G73" s="4">
        <f t="shared" si="6"/>
        <v>3345862.46</v>
      </c>
      <c r="H73" s="14">
        <f>'A) Base RI'!E73</f>
        <v>0</v>
      </c>
      <c r="I73" s="14">
        <f>'A) Base RI'!F73</f>
        <v>0</v>
      </c>
      <c r="J73" s="14">
        <f>'A) Base RI'!G73+'A) Base RI'!H73</f>
        <v>380787.80000000005</v>
      </c>
      <c r="K73" s="14">
        <f>'A) Base RI'!I73</f>
        <v>0</v>
      </c>
      <c r="L73" s="14">
        <f>'A) Base RI'!J73</f>
        <v>69844.820000000007</v>
      </c>
      <c r="M73" s="14">
        <f>'A) Base RI'!K73</f>
        <v>-7424</v>
      </c>
      <c r="N73" s="14">
        <f>'A) Base RI'!Q73</f>
        <v>13097.24</v>
      </c>
      <c r="O73" s="14">
        <f t="shared" si="7"/>
        <v>310254.58333333337</v>
      </c>
      <c r="P73" s="14">
        <f>'A) Base RI'!L73</f>
        <v>372305.5</v>
      </c>
      <c r="Q73" s="44">
        <f>'A) Base RI'!AR73</f>
        <v>1.2</v>
      </c>
      <c r="R73" s="4">
        <f t="shared" si="8"/>
        <v>4112422.9033333333</v>
      </c>
      <c r="S73" s="43">
        <f>'A) Base RI'!AM73</f>
        <v>67</v>
      </c>
      <c r="T73" s="4">
        <f t="shared" si="9"/>
        <v>3809592.32</v>
      </c>
      <c r="U73" s="4">
        <f t="shared" si="10"/>
        <v>61379.446318407958</v>
      </c>
      <c r="V73" s="14">
        <f>'A) Base RI'!O73</f>
        <v>312949.59999999998</v>
      </c>
      <c r="W73" s="14">
        <f>'A) Base RI'!P73</f>
        <v>261495.4</v>
      </c>
      <c r="X73" s="14">
        <f>'A) Base RI'!R73</f>
        <v>26346.3</v>
      </c>
      <c r="Y73" s="4">
        <f t="shared" si="11"/>
        <v>600791.30000000005</v>
      </c>
      <c r="Z73" s="14">
        <f>'A) Base RI'!N73</f>
        <v>56414.15</v>
      </c>
      <c r="AA73" s="14">
        <f>'A) Base RI'!S73+'A) Base RI'!T73</f>
        <v>0</v>
      </c>
      <c r="AB73" s="14">
        <f>'A) Base RI'!U73</f>
        <v>5680</v>
      </c>
      <c r="AC73" s="14">
        <f>'A) Base RI'!V73</f>
        <v>0</v>
      </c>
      <c r="AD73" s="14">
        <f>'A) Base RI'!W73</f>
        <v>0</v>
      </c>
      <c r="AE73" s="14">
        <f>'A) Base RI'!Y73</f>
        <v>52471.8</v>
      </c>
      <c r="AF73" s="14">
        <f>'A) Base RI'!Z73</f>
        <v>0</v>
      </c>
      <c r="AG73" s="14">
        <f>'A) Base RI'!AA73</f>
        <v>186079.2</v>
      </c>
      <c r="AH73" s="14">
        <f>'A) Base RI'!AB73</f>
        <v>0</v>
      </c>
      <c r="AI73" s="14">
        <f>'A) Base RI'!AC73</f>
        <v>79120</v>
      </c>
      <c r="AJ73" s="14">
        <f>'A) Base RI'!AD73</f>
        <v>166885.95000000001</v>
      </c>
      <c r="AK73" s="14">
        <f>'A) Base RI'!AE73</f>
        <v>0</v>
      </c>
      <c r="AL73" s="14">
        <f>'A) Base RI'!AF73</f>
        <v>0</v>
      </c>
      <c r="AM73" s="14">
        <f>'A) Base RI'!AG73</f>
        <v>0</v>
      </c>
      <c r="AN73" s="14">
        <f>'A) Base RI'!AH73</f>
        <v>0</v>
      </c>
      <c r="AO73" s="14">
        <f>'A) Base RI'!AI73</f>
        <v>0</v>
      </c>
      <c r="AP73" s="14">
        <f>'A) Base RI'!AJ73</f>
        <v>0</v>
      </c>
      <c r="AQ73" s="14">
        <f>'A) Base RI'!AK73</f>
        <v>0</v>
      </c>
      <c r="AR73" s="14">
        <f>'A) Base RI'!AN73</f>
        <v>1216</v>
      </c>
    </row>
    <row r="74" spans="1:44" x14ac:dyDescent="0.25">
      <c r="A74" s="12">
        <f>'A) Base RI'!A74</f>
        <v>5511</v>
      </c>
      <c r="B74" s="42" t="str">
        <f>'A) Base RI'!B74</f>
        <v>Assens</v>
      </c>
      <c r="C74" s="14">
        <f>'A) Base RI'!C74+'A) Base RI'!D74</f>
        <v>2169651.5699999998</v>
      </c>
      <c r="D74" s="14">
        <f>'A) Base RI'!AO74</f>
        <v>-35277.120000000003</v>
      </c>
      <c r="E74" s="41">
        <f>'A) Base RI'!AP74</f>
        <v>0</v>
      </c>
      <c r="F74" s="41">
        <f>'A) Base RI'!AQ74</f>
        <v>-103.19</v>
      </c>
      <c r="G74" s="4">
        <f t="shared" si="6"/>
        <v>2134271.2599999998</v>
      </c>
      <c r="H74" s="14">
        <f>'A) Base RI'!E74</f>
        <v>0</v>
      </c>
      <c r="I74" s="14">
        <f>'A) Base RI'!F74</f>
        <v>0</v>
      </c>
      <c r="J74" s="14">
        <f>'A) Base RI'!G74+'A) Base RI'!H74</f>
        <v>506347.85000000003</v>
      </c>
      <c r="K74" s="14">
        <f>'A) Base RI'!I74</f>
        <v>0</v>
      </c>
      <c r="L74" s="14">
        <f>'A) Base RI'!J74</f>
        <v>44336.11</v>
      </c>
      <c r="M74" s="14">
        <f>'A) Base RI'!K74</f>
        <v>546</v>
      </c>
      <c r="N74" s="14">
        <f>'A) Base RI'!Q74</f>
        <v>6084.91</v>
      </c>
      <c r="O74" s="14">
        <f t="shared" si="7"/>
        <v>207996.75</v>
      </c>
      <c r="P74" s="14">
        <f>'A) Base RI'!L74</f>
        <v>207996.75</v>
      </c>
      <c r="Q74" s="44">
        <f>'A) Base RI'!AR74</f>
        <v>1</v>
      </c>
      <c r="R74" s="4">
        <f t="shared" si="8"/>
        <v>2899582.88</v>
      </c>
      <c r="S74" s="43">
        <f>'A) Base RI'!AM74</f>
        <v>70</v>
      </c>
      <c r="T74" s="4">
        <f t="shared" si="9"/>
        <v>2691040.13</v>
      </c>
      <c r="U74" s="4">
        <f t="shared" si="10"/>
        <v>41422.612571428566</v>
      </c>
      <c r="V74" s="14">
        <f>'A) Base RI'!O74</f>
        <v>521.70000000000005</v>
      </c>
      <c r="W74" s="14">
        <f>'A) Base RI'!P74</f>
        <v>72270</v>
      </c>
      <c r="X74" s="14">
        <f>'A) Base RI'!R74</f>
        <v>74423.850000000006</v>
      </c>
      <c r="Y74" s="4">
        <f t="shared" si="11"/>
        <v>147215.54999999999</v>
      </c>
      <c r="Z74" s="14">
        <f>'A) Base RI'!N74</f>
        <v>9736.75</v>
      </c>
      <c r="AA74" s="14">
        <f>'A) Base RI'!S74+'A) Base RI'!T74</f>
        <v>1240</v>
      </c>
      <c r="AB74" s="14">
        <f>'A) Base RI'!U74</f>
        <v>10725</v>
      </c>
      <c r="AC74" s="14">
        <f>'A) Base RI'!V74</f>
        <v>0</v>
      </c>
      <c r="AD74" s="14">
        <f>'A) Base RI'!W74</f>
        <v>0</v>
      </c>
      <c r="AE74" s="14">
        <f>'A) Base RI'!Y74</f>
        <v>28204.2</v>
      </c>
      <c r="AF74" s="14">
        <f>'A) Base RI'!Z74</f>
        <v>0</v>
      </c>
      <c r="AG74" s="14">
        <f>'A) Base RI'!AA74</f>
        <v>255944.8</v>
      </c>
      <c r="AH74" s="14">
        <f>'A) Base RI'!AB74</f>
        <v>0</v>
      </c>
      <c r="AI74" s="14">
        <f>'A) Base RI'!AC74</f>
        <v>110233.05</v>
      </c>
      <c r="AJ74" s="14">
        <f>'A) Base RI'!AD74</f>
        <v>55323.3</v>
      </c>
      <c r="AK74" s="14">
        <f>'A) Base RI'!AE74</f>
        <v>0</v>
      </c>
      <c r="AL74" s="14">
        <f>'A) Base RI'!AF74</f>
        <v>0</v>
      </c>
      <c r="AM74" s="14">
        <f>'A) Base RI'!AG74</f>
        <v>0</v>
      </c>
      <c r="AN74" s="14">
        <f>'A) Base RI'!AH74</f>
        <v>23530.55</v>
      </c>
      <c r="AO74" s="14">
        <f>'A) Base RI'!AI74</f>
        <v>0</v>
      </c>
      <c r="AP74" s="14">
        <f>'A) Base RI'!AJ74</f>
        <v>0</v>
      </c>
      <c r="AQ74" s="14">
        <f>'A) Base RI'!AK74</f>
        <v>0</v>
      </c>
      <c r="AR74" s="14">
        <f>'A) Base RI'!AN74</f>
        <v>1031</v>
      </c>
    </row>
    <row r="75" spans="1:44" x14ac:dyDescent="0.25">
      <c r="A75" s="12">
        <f>'A) Base RI'!A75</f>
        <v>5512</v>
      </c>
      <c r="B75" s="42" t="str">
        <f>'A) Base RI'!B75</f>
        <v>Bercher</v>
      </c>
      <c r="C75" s="14">
        <f>'A) Base RI'!C75+'A) Base RI'!D75</f>
        <v>2280700.96</v>
      </c>
      <c r="D75" s="14">
        <f>'A) Base RI'!AO75</f>
        <v>-99396.7</v>
      </c>
      <c r="E75" s="41">
        <f>'A) Base RI'!AP75</f>
        <v>0</v>
      </c>
      <c r="F75" s="41">
        <f>'A) Base RI'!AQ75</f>
        <v>0</v>
      </c>
      <c r="G75" s="4">
        <f t="shared" si="6"/>
        <v>2181304.2599999998</v>
      </c>
      <c r="H75" s="14">
        <f>'A) Base RI'!E75</f>
        <v>0</v>
      </c>
      <c r="I75" s="14">
        <f>'A) Base RI'!F75</f>
        <v>0</v>
      </c>
      <c r="J75" s="14">
        <f>'A) Base RI'!G75+'A) Base RI'!H75</f>
        <v>77713.7</v>
      </c>
      <c r="K75" s="14">
        <f>'A) Base RI'!I75</f>
        <v>0</v>
      </c>
      <c r="L75" s="14">
        <f>'A) Base RI'!J75</f>
        <v>44343.91</v>
      </c>
      <c r="M75" s="14">
        <f>'A) Base RI'!K75</f>
        <v>6407.5</v>
      </c>
      <c r="N75" s="14">
        <f>'A) Base RI'!Q75</f>
        <v>5209.9799999999996</v>
      </c>
      <c r="O75" s="14">
        <f t="shared" si="7"/>
        <v>219276.79999999999</v>
      </c>
      <c r="P75" s="14">
        <f>'A) Base RI'!L75</f>
        <v>219276.79999999999</v>
      </c>
      <c r="Q75" s="44">
        <f>'A) Base RI'!AR75</f>
        <v>1</v>
      </c>
      <c r="R75" s="4">
        <f t="shared" si="8"/>
        <v>2534256.15</v>
      </c>
      <c r="S75" s="43">
        <f>'A) Base RI'!AM75</f>
        <v>79</v>
      </c>
      <c r="T75" s="4">
        <f t="shared" si="9"/>
        <v>2308571.85</v>
      </c>
      <c r="U75" s="4">
        <f t="shared" si="10"/>
        <v>32079.191772151898</v>
      </c>
      <c r="V75" s="14">
        <f>'A) Base RI'!O75</f>
        <v>99852.3</v>
      </c>
      <c r="W75" s="14">
        <f>'A) Base RI'!P75</f>
        <v>54182.65</v>
      </c>
      <c r="X75" s="14">
        <f>'A) Base RI'!R75</f>
        <v>-2990.2</v>
      </c>
      <c r="Y75" s="4">
        <f t="shared" si="11"/>
        <v>151044.75</v>
      </c>
      <c r="Z75" s="14">
        <f>'A) Base RI'!N75</f>
        <v>13337.05</v>
      </c>
      <c r="AA75" s="14">
        <f>'A) Base RI'!S75+'A) Base RI'!T75</f>
        <v>3075.2</v>
      </c>
      <c r="AB75" s="14">
        <f>'A) Base RI'!U75</f>
        <v>8850</v>
      </c>
      <c r="AC75" s="14">
        <f>'A) Base RI'!V75</f>
        <v>0</v>
      </c>
      <c r="AD75" s="14">
        <f>'A) Base RI'!W75</f>
        <v>0</v>
      </c>
      <c r="AE75" s="14">
        <f>'A) Base RI'!Y75</f>
        <v>0</v>
      </c>
      <c r="AF75" s="14">
        <f>'A) Base RI'!Z75</f>
        <v>0</v>
      </c>
      <c r="AG75" s="14">
        <f>'A) Base RI'!AA75</f>
        <v>248042.8</v>
      </c>
      <c r="AH75" s="14">
        <f>'A) Base RI'!AB75</f>
        <v>0</v>
      </c>
      <c r="AI75" s="14">
        <f>'A) Base RI'!AC75</f>
        <v>145144.29999999999</v>
      </c>
      <c r="AJ75" s="14">
        <f>'A) Base RI'!AD75</f>
        <v>0</v>
      </c>
      <c r="AK75" s="14">
        <f>'A) Base RI'!AE75</f>
        <v>0</v>
      </c>
      <c r="AL75" s="14">
        <f>'A) Base RI'!AF75</f>
        <v>0</v>
      </c>
      <c r="AM75" s="14">
        <f>'A) Base RI'!AG75</f>
        <v>0</v>
      </c>
      <c r="AN75" s="14">
        <f>'A) Base RI'!AH75</f>
        <v>0</v>
      </c>
      <c r="AO75" s="14">
        <f>'A) Base RI'!AI75</f>
        <v>0</v>
      </c>
      <c r="AP75" s="14">
        <f>'A) Base RI'!AJ75</f>
        <v>0</v>
      </c>
      <c r="AQ75" s="14">
        <f>'A) Base RI'!AK75</f>
        <v>0</v>
      </c>
      <c r="AR75" s="14">
        <f>'A) Base RI'!AN75</f>
        <v>1148</v>
      </c>
    </row>
    <row r="76" spans="1:44" x14ac:dyDescent="0.25">
      <c r="A76" s="12">
        <f>'A) Base RI'!A76</f>
        <v>5513</v>
      </c>
      <c r="B76" s="42" t="str">
        <f>'A) Base RI'!B76</f>
        <v>Bioley-Orjulaz</v>
      </c>
      <c r="C76" s="14">
        <f>'A) Base RI'!C76+'A) Base RI'!D76</f>
        <v>867355.74</v>
      </c>
      <c r="D76" s="14">
        <f>'A) Base RI'!AO76</f>
        <v>-9420.77</v>
      </c>
      <c r="E76" s="41">
        <f>'A) Base RI'!AP76</f>
        <v>0</v>
      </c>
      <c r="F76" s="41">
        <f>'A) Base RI'!AQ76</f>
        <v>-0.04</v>
      </c>
      <c r="G76" s="4">
        <f t="shared" si="6"/>
        <v>857934.92999999993</v>
      </c>
      <c r="H76" s="14">
        <f>'A) Base RI'!E76</f>
        <v>0</v>
      </c>
      <c r="I76" s="14">
        <f>'A) Base RI'!F76</f>
        <v>0</v>
      </c>
      <c r="J76" s="14">
        <f>'A) Base RI'!G76+'A) Base RI'!H76</f>
        <v>573745.15</v>
      </c>
      <c r="K76" s="14">
        <f>'A) Base RI'!I76</f>
        <v>0</v>
      </c>
      <c r="L76" s="14">
        <f>'A) Base RI'!J76</f>
        <v>53261.66</v>
      </c>
      <c r="M76" s="14">
        <f>'A) Base RI'!K76</f>
        <v>1908.5</v>
      </c>
      <c r="N76" s="14">
        <f>'A) Base RI'!Q76</f>
        <v>3392.88</v>
      </c>
      <c r="O76" s="14">
        <f t="shared" si="7"/>
        <v>95372</v>
      </c>
      <c r="P76" s="14">
        <f>'A) Base RI'!L76</f>
        <v>47686</v>
      </c>
      <c r="Q76" s="44">
        <f>'A) Base RI'!AR76</f>
        <v>0.5</v>
      </c>
      <c r="R76" s="4">
        <f t="shared" si="8"/>
        <v>1585615.1199999999</v>
      </c>
      <c r="S76" s="43">
        <f>'A) Base RI'!AM76</f>
        <v>66</v>
      </c>
      <c r="T76" s="4">
        <f t="shared" si="9"/>
        <v>1488334.6199999999</v>
      </c>
      <c r="U76" s="4">
        <f t="shared" si="10"/>
        <v>24024.471515151512</v>
      </c>
      <c r="V76" s="14">
        <f>'A) Base RI'!O76</f>
        <v>0</v>
      </c>
      <c r="W76" s="14">
        <f>'A) Base RI'!P76</f>
        <v>87007.15</v>
      </c>
      <c r="X76" s="14">
        <f>'A) Base RI'!R76</f>
        <v>41415.949999999997</v>
      </c>
      <c r="Y76" s="4">
        <f t="shared" si="11"/>
        <v>128423.09999999999</v>
      </c>
      <c r="Z76" s="14">
        <f>'A) Base RI'!N76</f>
        <v>33909.300000000003</v>
      </c>
      <c r="AA76" s="14">
        <f>'A) Base RI'!S76+'A) Base RI'!T76</f>
        <v>1352</v>
      </c>
      <c r="AB76" s="14">
        <f>'A) Base RI'!U76</f>
        <v>4162.5</v>
      </c>
      <c r="AC76" s="14">
        <f>'A) Base RI'!V76</f>
        <v>0</v>
      </c>
      <c r="AD76" s="14">
        <f>'A) Base RI'!W76</f>
        <v>0</v>
      </c>
      <c r="AE76" s="14">
        <f>'A) Base RI'!Y76</f>
        <v>35322.6</v>
      </c>
      <c r="AF76" s="14">
        <f>'A) Base RI'!Z76</f>
        <v>0</v>
      </c>
      <c r="AG76" s="14">
        <f>'A) Base RI'!AA76</f>
        <v>77311</v>
      </c>
      <c r="AH76" s="14">
        <f>'A) Base RI'!AB76</f>
        <v>0</v>
      </c>
      <c r="AI76" s="14">
        <f>'A) Base RI'!AC76</f>
        <v>35098.25</v>
      </c>
      <c r="AJ76" s="14">
        <f>'A) Base RI'!AD76</f>
        <v>29801.9</v>
      </c>
      <c r="AK76" s="14">
        <f>'A) Base RI'!AE76</f>
        <v>0</v>
      </c>
      <c r="AL76" s="14">
        <f>'A) Base RI'!AF76</f>
        <v>0</v>
      </c>
      <c r="AM76" s="14">
        <f>'A) Base RI'!AG76</f>
        <v>0</v>
      </c>
      <c r="AN76" s="14">
        <f>'A) Base RI'!AH76</f>
        <v>0</v>
      </c>
      <c r="AO76" s="14">
        <f>'A) Base RI'!AI76</f>
        <v>0</v>
      </c>
      <c r="AP76" s="14">
        <f>'A) Base RI'!AJ76</f>
        <v>0</v>
      </c>
      <c r="AQ76" s="14">
        <f>'A) Base RI'!AK76</f>
        <v>0</v>
      </c>
      <c r="AR76" s="14">
        <f>'A) Base RI'!AN76</f>
        <v>471</v>
      </c>
    </row>
    <row r="77" spans="1:44" x14ac:dyDescent="0.25">
      <c r="A77" s="12">
        <f>'A) Base RI'!A77</f>
        <v>5514</v>
      </c>
      <c r="B77" s="42" t="str">
        <f>'A) Base RI'!B77</f>
        <v>Bottens</v>
      </c>
      <c r="C77" s="14">
        <f>'A) Base RI'!C77+'A) Base RI'!D77</f>
        <v>2275214.5</v>
      </c>
      <c r="D77" s="14">
        <f>'A) Base RI'!AO77</f>
        <v>-15505.55</v>
      </c>
      <c r="E77" s="41">
        <f>'A) Base RI'!AP77</f>
        <v>0</v>
      </c>
      <c r="F77" s="41">
        <f>'A) Base RI'!AQ77</f>
        <v>-182.66</v>
      </c>
      <c r="G77" s="4">
        <f t="shared" si="6"/>
        <v>2259526.29</v>
      </c>
      <c r="H77" s="14">
        <f>'A) Base RI'!E77</f>
        <v>0</v>
      </c>
      <c r="I77" s="14">
        <f>'A) Base RI'!F77</f>
        <v>0</v>
      </c>
      <c r="J77" s="14">
        <f>'A) Base RI'!G77+'A) Base RI'!H77</f>
        <v>36876.5</v>
      </c>
      <c r="K77" s="14">
        <f>'A) Base RI'!I77</f>
        <v>34926.15</v>
      </c>
      <c r="L77" s="14">
        <f>'A) Base RI'!J77</f>
        <v>94068.75</v>
      </c>
      <c r="M77" s="14">
        <f>'A) Base RI'!K77</f>
        <v>5310</v>
      </c>
      <c r="N77" s="14">
        <f>'A) Base RI'!Q77</f>
        <v>14463.76</v>
      </c>
      <c r="O77" s="14">
        <f t="shared" si="7"/>
        <v>200749.5</v>
      </c>
      <c r="P77" s="14">
        <f>'A) Base RI'!L77</f>
        <v>140524.65</v>
      </c>
      <c r="Q77" s="44">
        <f>'A) Base RI'!AR77</f>
        <v>0.7</v>
      </c>
      <c r="R77" s="4">
        <f t="shared" si="8"/>
        <v>2645920.9499999997</v>
      </c>
      <c r="S77" s="43">
        <f>'A) Base RI'!AM77</f>
        <v>69</v>
      </c>
      <c r="T77" s="4">
        <f t="shared" si="9"/>
        <v>2439861.4499999997</v>
      </c>
      <c r="U77" s="4">
        <f t="shared" si="10"/>
        <v>38346.680434782604</v>
      </c>
      <c r="V77" s="14">
        <f>'A) Base RI'!O77</f>
        <v>143775.29999999999</v>
      </c>
      <c r="W77" s="14">
        <f>'A) Base RI'!P77</f>
        <v>78589.55</v>
      </c>
      <c r="X77" s="14">
        <f>'A) Base RI'!R77</f>
        <v>73168.45</v>
      </c>
      <c r="Y77" s="4">
        <f t="shared" si="11"/>
        <v>295533.3</v>
      </c>
      <c r="Z77" s="14">
        <f>'A) Base RI'!N77</f>
        <v>10310.85</v>
      </c>
      <c r="AA77" s="14">
        <f>'A) Base RI'!S77+'A) Base RI'!T77</f>
        <v>0</v>
      </c>
      <c r="AB77" s="14">
        <f>'A) Base RI'!U77</f>
        <v>8800</v>
      </c>
      <c r="AC77" s="14">
        <f>'A) Base RI'!V77</f>
        <v>0</v>
      </c>
      <c r="AD77" s="14">
        <f>'A) Base RI'!W77</f>
        <v>0</v>
      </c>
      <c r="AE77" s="14">
        <f>'A) Base RI'!Y77</f>
        <v>0</v>
      </c>
      <c r="AF77" s="14">
        <f>'A) Base RI'!Z77</f>
        <v>0</v>
      </c>
      <c r="AG77" s="14">
        <f>'A) Base RI'!AA77</f>
        <v>249284.39</v>
      </c>
      <c r="AH77" s="14">
        <f>'A) Base RI'!AB77</f>
        <v>0</v>
      </c>
      <c r="AI77" s="14">
        <f>'A) Base RI'!AC77</f>
        <v>100465.25</v>
      </c>
      <c r="AJ77" s="14">
        <f>'A) Base RI'!AD77</f>
        <v>951.2</v>
      </c>
      <c r="AK77" s="14">
        <f>'A) Base RI'!AE77</f>
        <v>0</v>
      </c>
      <c r="AL77" s="14">
        <f>'A) Base RI'!AF77</f>
        <v>0</v>
      </c>
      <c r="AM77" s="14">
        <f>'A) Base RI'!AG77</f>
        <v>0</v>
      </c>
      <c r="AN77" s="14">
        <f>'A) Base RI'!AH77</f>
        <v>22196.1</v>
      </c>
      <c r="AO77" s="14">
        <f>'A) Base RI'!AI77</f>
        <v>0</v>
      </c>
      <c r="AP77" s="14">
        <f>'A) Base RI'!AJ77</f>
        <v>0</v>
      </c>
      <c r="AQ77" s="14">
        <f>'A) Base RI'!AK77</f>
        <v>0</v>
      </c>
      <c r="AR77" s="14">
        <f>'A) Base RI'!AN77</f>
        <v>1220</v>
      </c>
    </row>
    <row r="78" spans="1:44" x14ac:dyDescent="0.25">
      <c r="A78" s="12">
        <f>'A) Base RI'!A78</f>
        <v>5515</v>
      </c>
      <c r="B78" s="42" t="str">
        <f>'A) Base RI'!B78</f>
        <v>Bretigny-sur-Morrens</v>
      </c>
      <c r="C78" s="14">
        <f>'A) Base RI'!C78+'A) Base RI'!D78</f>
        <v>1659953.4300000002</v>
      </c>
      <c r="D78" s="14">
        <f>'A) Base RI'!AO78</f>
        <v>-29915.96</v>
      </c>
      <c r="E78" s="41">
        <f>'A) Base RI'!AP78</f>
        <v>0</v>
      </c>
      <c r="F78" s="41">
        <f>'A) Base RI'!AQ78</f>
        <v>-1.1599999999999999</v>
      </c>
      <c r="G78" s="4">
        <f t="shared" si="6"/>
        <v>1630036.3100000003</v>
      </c>
      <c r="H78" s="14">
        <f>'A) Base RI'!E78</f>
        <v>0</v>
      </c>
      <c r="I78" s="14">
        <f>'A) Base RI'!F78</f>
        <v>0</v>
      </c>
      <c r="J78" s="14">
        <f>'A) Base RI'!G78+'A) Base RI'!H78</f>
        <v>12279.2</v>
      </c>
      <c r="K78" s="14">
        <f>'A) Base RI'!I78</f>
        <v>0</v>
      </c>
      <c r="L78" s="14">
        <f>'A) Base RI'!J78</f>
        <v>-720.07</v>
      </c>
      <c r="M78" s="14">
        <f>'A) Base RI'!K78</f>
        <v>2895</v>
      </c>
      <c r="N78" s="14">
        <f>'A) Base RI'!Q78</f>
        <v>0</v>
      </c>
      <c r="O78" s="14">
        <f t="shared" si="7"/>
        <v>132719.85</v>
      </c>
      <c r="P78" s="14">
        <f>'A) Base RI'!L78</f>
        <v>132719.85</v>
      </c>
      <c r="Q78" s="44">
        <f>'A) Base RI'!AR78</f>
        <v>1</v>
      </c>
      <c r="R78" s="4">
        <f t="shared" si="8"/>
        <v>1777210.2900000003</v>
      </c>
      <c r="S78" s="43">
        <f>'A) Base RI'!AM78</f>
        <v>73</v>
      </c>
      <c r="T78" s="4">
        <f t="shared" si="9"/>
        <v>1641595.4400000002</v>
      </c>
      <c r="U78" s="4">
        <f t="shared" si="10"/>
        <v>24345.34643835617</v>
      </c>
      <c r="V78" s="14">
        <f>'A) Base RI'!O78</f>
        <v>0</v>
      </c>
      <c r="W78" s="14">
        <f>'A) Base RI'!P78</f>
        <v>63431.5</v>
      </c>
      <c r="X78" s="14">
        <f>'A) Base RI'!R78</f>
        <v>60106.3</v>
      </c>
      <c r="Y78" s="4">
        <f t="shared" si="11"/>
        <v>123537.8</v>
      </c>
      <c r="Z78" s="14">
        <f>'A) Base RI'!N78</f>
        <v>13053.7</v>
      </c>
      <c r="AA78" s="14">
        <f>'A) Base RI'!S78+'A) Base RI'!T78</f>
        <v>712</v>
      </c>
      <c r="AB78" s="14">
        <f>'A) Base RI'!U78</f>
        <v>5220</v>
      </c>
      <c r="AC78" s="14">
        <f>'A) Base RI'!V78</f>
        <v>0</v>
      </c>
      <c r="AD78" s="14">
        <f>'A) Base RI'!W78</f>
        <v>0</v>
      </c>
      <c r="AE78" s="14">
        <f>'A) Base RI'!Y78</f>
        <v>103075.2</v>
      </c>
      <c r="AF78" s="14">
        <f>'A) Base RI'!Z78</f>
        <v>0</v>
      </c>
      <c r="AG78" s="14">
        <f>'A) Base RI'!AA78</f>
        <v>206228.45</v>
      </c>
      <c r="AH78" s="14">
        <f>'A) Base RI'!AB78</f>
        <v>0</v>
      </c>
      <c r="AI78" s="14">
        <f>'A) Base RI'!AC78</f>
        <v>74645</v>
      </c>
      <c r="AJ78" s="14">
        <f>'A) Base RI'!AD78</f>
        <v>27730.35</v>
      </c>
      <c r="AK78" s="14">
        <f>'A) Base RI'!AE78</f>
        <v>0</v>
      </c>
      <c r="AL78" s="14">
        <f>'A) Base RI'!AF78</f>
        <v>0</v>
      </c>
      <c r="AM78" s="14">
        <f>'A) Base RI'!AG78</f>
        <v>0</v>
      </c>
      <c r="AN78" s="14">
        <f>'A) Base RI'!AH78</f>
        <v>0</v>
      </c>
      <c r="AO78" s="14">
        <f>'A) Base RI'!AI78</f>
        <v>0</v>
      </c>
      <c r="AP78" s="14">
        <f>'A) Base RI'!AJ78</f>
        <v>0</v>
      </c>
      <c r="AQ78" s="14">
        <f>'A) Base RI'!AK78</f>
        <v>0</v>
      </c>
      <c r="AR78" s="14">
        <f>'A) Base RI'!AN78</f>
        <v>797</v>
      </c>
    </row>
    <row r="79" spans="1:44" x14ac:dyDescent="0.25">
      <c r="A79" s="12">
        <f>'A) Base RI'!A79</f>
        <v>5516</v>
      </c>
      <c r="B79" s="42" t="str">
        <f>'A) Base RI'!B79</f>
        <v>Cugy</v>
      </c>
      <c r="C79" s="14">
        <f>'A) Base RI'!C79+'A) Base RI'!D79</f>
        <v>6068687.7400000002</v>
      </c>
      <c r="D79" s="14">
        <f>'A) Base RI'!AO79</f>
        <v>-101970.17</v>
      </c>
      <c r="E79" s="41">
        <f>'A) Base RI'!AP79</f>
        <v>0</v>
      </c>
      <c r="F79" s="41">
        <f>'A) Base RI'!AQ79</f>
        <v>-1702.72</v>
      </c>
      <c r="G79" s="4">
        <f t="shared" si="6"/>
        <v>5965014.8500000006</v>
      </c>
      <c r="H79" s="14">
        <f>'A) Base RI'!E79</f>
        <v>0</v>
      </c>
      <c r="I79" s="14">
        <f>'A) Base RI'!F79</f>
        <v>0</v>
      </c>
      <c r="J79" s="14">
        <f>'A) Base RI'!G79+'A) Base RI'!H79</f>
        <v>310524.90000000002</v>
      </c>
      <c r="K79" s="14">
        <f>'A) Base RI'!I79</f>
        <v>-1045.04</v>
      </c>
      <c r="L79" s="14">
        <f>'A) Base RI'!J79</f>
        <v>153035.09</v>
      </c>
      <c r="M79" s="14">
        <f>'A) Base RI'!K79</f>
        <v>31318.5</v>
      </c>
      <c r="N79" s="14">
        <f>'A) Base RI'!Q79</f>
        <v>38974.71</v>
      </c>
      <c r="O79" s="14">
        <f t="shared" si="7"/>
        <v>532833.85</v>
      </c>
      <c r="P79" s="14">
        <f>'A) Base RI'!L79</f>
        <v>532833.85</v>
      </c>
      <c r="Q79" s="44">
        <f>'A) Base RI'!AR79</f>
        <v>1</v>
      </c>
      <c r="R79" s="4">
        <f t="shared" si="8"/>
        <v>7030656.8600000003</v>
      </c>
      <c r="S79" s="43">
        <f>'A) Base RI'!AM79</f>
        <v>67</v>
      </c>
      <c r="T79" s="4">
        <f t="shared" si="9"/>
        <v>6466504.5100000007</v>
      </c>
      <c r="U79" s="4">
        <f t="shared" si="10"/>
        <v>104935.17701492537</v>
      </c>
      <c r="V79" s="14">
        <f>'A) Base RI'!O79</f>
        <v>242792.2</v>
      </c>
      <c r="W79" s="14">
        <f>'A) Base RI'!P79</f>
        <v>162609.29999999999</v>
      </c>
      <c r="X79" s="14">
        <f>'A) Base RI'!R79</f>
        <v>177644</v>
      </c>
      <c r="Y79" s="4">
        <f t="shared" si="11"/>
        <v>583045.5</v>
      </c>
      <c r="Z79" s="14">
        <f>'A) Base RI'!N79</f>
        <v>101673.55</v>
      </c>
      <c r="AA79" s="14">
        <f>'A) Base RI'!S79+'A) Base RI'!T79</f>
        <v>387.5</v>
      </c>
      <c r="AB79" s="14">
        <f>'A) Base RI'!U79</f>
        <v>14100</v>
      </c>
      <c r="AC79" s="14">
        <f>'A) Base RI'!V79</f>
        <v>0</v>
      </c>
      <c r="AD79" s="14">
        <f>'A) Base RI'!W79</f>
        <v>0</v>
      </c>
      <c r="AE79" s="14">
        <f>'A) Base RI'!Y79</f>
        <v>51970.5</v>
      </c>
      <c r="AF79" s="14">
        <f>'A) Base RI'!Z79</f>
        <v>0</v>
      </c>
      <c r="AG79" s="14">
        <f>'A) Base RI'!AA79</f>
        <v>520320.95</v>
      </c>
      <c r="AH79" s="14">
        <f>'A) Base RI'!AB79</f>
        <v>0</v>
      </c>
      <c r="AI79" s="14">
        <f>'A) Base RI'!AC79</f>
        <v>272608.45</v>
      </c>
      <c r="AJ79" s="14">
        <f>'A) Base RI'!AD79</f>
        <v>37203.4</v>
      </c>
      <c r="AK79" s="14">
        <f>'A) Base RI'!AE79</f>
        <v>0</v>
      </c>
      <c r="AL79" s="14">
        <f>'A) Base RI'!AF79</f>
        <v>0</v>
      </c>
      <c r="AM79" s="14">
        <f>'A) Base RI'!AG79</f>
        <v>0</v>
      </c>
      <c r="AN79" s="14">
        <f>'A) Base RI'!AH79</f>
        <v>73688.7</v>
      </c>
      <c r="AO79" s="14">
        <f>'A) Base RI'!AI79</f>
        <v>0</v>
      </c>
      <c r="AP79" s="14">
        <f>'A) Base RI'!AJ79</f>
        <v>0</v>
      </c>
      <c r="AQ79" s="14">
        <f>'A) Base RI'!AK79</f>
        <v>0</v>
      </c>
      <c r="AR79" s="14">
        <f>'A) Base RI'!AN79</f>
        <v>2755</v>
      </c>
    </row>
    <row r="80" spans="1:44" x14ac:dyDescent="0.25">
      <c r="A80" s="12">
        <f>'A) Base RI'!A80</f>
        <v>5518</v>
      </c>
      <c r="B80" s="42" t="str">
        <f>'A) Base RI'!B80</f>
        <v>Echallens</v>
      </c>
      <c r="C80" s="14">
        <f>'A) Base RI'!C80+'A) Base RI'!D80</f>
        <v>10918067.18</v>
      </c>
      <c r="D80" s="14">
        <f>'A) Base RI'!AO80</f>
        <v>-259839.31</v>
      </c>
      <c r="E80" s="41">
        <f>'A) Base RI'!AP80</f>
        <v>0</v>
      </c>
      <c r="F80" s="41">
        <f>'A) Base RI'!AQ80</f>
        <v>-108.48</v>
      </c>
      <c r="G80" s="4">
        <f t="shared" si="6"/>
        <v>10658119.389999999</v>
      </c>
      <c r="H80" s="14">
        <f>'A) Base RI'!E80</f>
        <v>0</v>
      </c>
      <c r="I80" s="14">
        <f>'A) Base RI'!F80</f>
        <v>0</v>
      </c>
      <c r="J80" s="14">
        <f>'A) Base RI'!G80+'A) Base RI'!H80</f>
        <v>1469098.5999999999</v>
      </c>
      <c r="K80" s="14">
        <f>'A) Base RI'!I80</f>
        <v>0</v>
      </c>
      <c r="L80" s="14">
        <f>'A) Base RI'!J80</f>
        <v>236025.66</v>
      </c>
      <c r="M80" s="14">
        <f>'A) Base RI'!K80</f>
        <v>47213</v>
      </c>
      <c r="N80" s="14">
        <f>'A) Base RI'!Q80</f>
        <v>101191.52</v>
      </c>
      <c r="O80" s="14">
        <f t="shared" si="7"/>
        <v>913665.9</v>
      </c>
      <c r="P80" s="14">
        <f>'A) Base RI'!L80</f>
        <v>913665.9</v>
      </c>
      <c r="Q80" s="44">
        <f>'A) Base RI'!AR80</f>
        <v>1</v>
      </c>
      <c r="R80" s="4">
        <f t="shared" si="8"/>
        <v>13425314.069999998</v>
      </c>
      <c r="S80" s="43">
        <f>'A) Base RI'!AM80</f>
        <v>74</v>
      </c>
      <c r="T80" s="4">
        <f t="shared" si="9"/>
        <v>12464435.169999998</v>
      </c>
      <c r="U80" s="4">
        <f t="shared" si="10"/>
        <v>181423.1631081081</v>
      </c>
      <c r="V80" s="14">
        <f>'A) Base RI'!O80</f>
        <v>65342.7</v>
      </c>
      <c r="W80" s="14">
        <f>'A) Base RI'!P80</f>
        <v>418221.4</v>
      </c>
      <c r="X80" s="14">
        <f>'A) Base RI'!R80</f>
        <v>96603.65</v>
      </c>
      <c r="Y80" s="4">
        <f t="shared" si="11"/>
        <v>580167.75</v>
      </c>
      <c r="Z80" s="14">
        <f>'A) Base RI'!N80</f>
        <v>189303.95</v>
      </c>
      <c r="AA80" s="14">
        <f>'A) Base RI'!S80+'A) Base RI'!T80</f>
        <v>4383.25</v>
      </c>
      <c r="AB80" s="14">
        <f>'A) Base RI'!U80</f>
        <v>18900</v>
      </c>
      <c r="AC80" s="14">
        <f>'A) Base RI'!V80</f>
        <v>0</v>
      </c>
      <c r="AD80" s="14">
        <f>'A) Base RI'!W80</f>
        <v>1324.4</v>
      </c>
      <c r="AE80" s="14">
        <f>'A) Base RI'!Y80</f>
        <v>100151.75</v>
      </c>
      <c r="AF80" s="14">
        <f>'A) Base RI'!Z80</f>
        <v>0</v>
      </c>
      <c r="AG80" s="14">
        <f>'A) Base RI'!AA80</f>
        <v>980746.2</v>
      </c>
      <c r="AH80" s="14">
        <f>'A) Base RI'!AB80</f>
        <v>0</v>
      </c>
      <c r="AI80" s="14">
        <f>'A) Base RI'!AC80</f>
        <v>331453.40000000002</v>
      </c>
      <c r="AJ80" s="14">
        <f>'A) Base RI'!AD80</f>
        <v>48428.4</v>
      </c>
      <c r="AK80" s="14">
        <f>'A) Base RI'!AE80</f>
        <v>0</v>
      </c>
      <c r="AL80" s="14">
        <f>'A) Base RI'!AF80</f>
        <v>0</v>
      </c>
      <c r="AM80" s="14">
        <f>'A) Base RI'!AG80</f>
        <v>0</v>
      </c>
      <c r="AN80" s="14">
        <f>'A) Base RI'!AH80</f>
        <v>0</v>
      </c>
      <c r="AO80" s="14">
        <f>'A) Base RI'!AI80</f>
        <v>0</v>
      </c>
      <c r="AP80" s="14">
        <f>'A) Base RI'!AJ80</f>
        <v>0</v>
      </c>
      <c r="AQ80" s="14">
        <f>'A) Base RI'!AK80</f>
        <v>0</v>
      </c>
      <c r="AR80" s="14">
        <f>'A) Base RI'!AN80</f>
        <v>5606</v>
      </c>
    </row>
    <row r="81" spans="1:44" x14ac:dyDescent="0.25">
      <c r="A81" s="12">
        <f>'A) Base RI'!A81</f>
        <v>5520</v>
      </c>
      <c r="B81" s="42" t="str">
        <f>'A) Base RI'!B81</f>
        <v>Essertines-sur-Yverdon</v>
      </c>
      <c r="C81" s="14">
        <f>'A) Base RI'!C81+'A) Base RI'!D81</f>
        <v>1853191.4300000002</v>
      </c>
      <c r="D81" s="14">
        <f>'A) Base RI'!AO81</f>
        <v>-38914.35</v>
      </c>
      <c r="E81" s="41">
        <f>'A) Base RI'!AP81</f>
        <v>0</v>
      </c>
      <c r="F81" s="41">
        <f>'A) Base RI'!AQ81</f>
        <v>-43.65</v>
      </c>
      <c r="G81" s="4">
        <f t="shared" si="6"/>
        <v>1814233.4300000002</v>
      </c>
      <c r="H81" s="14">
        <f>'A) Base RI'!E81</f>
        <v>0</v>
      </c>
      <c r="I81" s="14">
        <f>'A) Base RI'!F81</f>
        <v>0</v>
      </c>
      <c r="J81" s="14">
        <f>'A) Base RI'!G81+'A) Base RI'!H81</f>
        <v>52884.65</v>
      </c>
      <c r="K81" s="14">
        <f>'A) Base RI'!I81</f>
        <v>0</v>
      </c>
      <c r="L81" s="14">
        <f>'A) Base RI'!J81</f>
        <v>11431.8</v>
      </c>
      <c r="M81" s="14">
        <f>'A) Base RI'!K81</f>
        <v>1478</v>
      </c>
      <c r="N81" s="14">
        <f>'A) Base RI'!Q81</f>
        <v>1445.03</v>
      </c>
      <c r="O81" s="14">
        <f t="shared" si="7"/>
        <v>164102.39999999999</v>
      </c>
      <c r="P81" s="14">
        <f>'A) Base RI'!L81</f>
        <v>164102.39999999999</v>
      </c>
      <c r="Q81" s="44">
        <f>'A) Base RI'!AR81</f>
        <v>1</v>
      </c>
      <c r="R81" s="4">
        <f t="shared" si="8"/>
        <v>2045575.31</v>
      </c>
      <c r="S81" s="43">
        <f>'A) Base RI'!AM81</f>
        <v>73</v>
      </c>
      <c r="T81" s="4">
        <f t="shared" si="9"/>
        <v>1879994.9100000001</v>
      </c>
      <c r="U81" s="4">
        <f t="shared" si="10"/>
        <v>28021.579589041095</v>
      </c>
      <c r="V81" s="14">
        <f>'A) Base RI'!O81</f>
        <v>3712.8</v>
      </c>
      <c r="W81" s="14">
        <f>'A) Base RI'!P81</f>
        <v>52706.85</v>
      </c>
      <c r="X81" s="14">
        <f>'A) Base RI'!R81</f>
        <v>27426.55</v>
      </c>
      <c r="Y81" s="4">
        <f t="shared" si="11"/>
        <v>83846.2</v>
      </c>
      <c r="Z81" s="14">
        <f>'A) Base RI'!N81</f>
        <v>8440.5</v>
      </c>
      <c r="AA81" s="14">
        <f>'A) Base RI'!S81+'A) Base RI'!T81</f>
        <v>986.5</v>
      </c>
      <c r="AB81" s="14">
        <f>'A) Base RI'!U81</f>
        <v>6850</v>
      </c>
      <c r="AC81" s="14">
        <f>'A) Base RI'!V81</f>
        <v>0</v>
      </c>
      <c r="AD81" s="14">
        <f>'A) Base RI'!W81</f>
        <v>0</v>
      </c>
      <c r="AE81" s="14">
        <f>'A) Base RI'!Y81</f>
        <v>34916.65</v>
      </c>
      <c r="AF81" s="14">
        <f>'A) Base RI'!Z81</f>
        <v>61890</v>
      </c>
      <c r="AG81" s="14">
        <f>'A) Base RI'!AA81</f>
        <v>89293.45</v>
      </c>
      <c r="AH81" s="14">
        <f>'A) Base RI'!AB81</f>
        <v>0</v>
      </c>
      <c r="AI81" s="14">
        <f>'A) Base RI'!AC81</f>
        <v>36485.35</v>
      </c>
      <c r="AJ81" s="14">
        <f>'A) Base RI'!AD81</f>
        <v>52382.45</v>
      </c>
      <c r="AK81" s="14">
        <f>'A) Base RI'!AE81</f>
        <v>29528.9</v>
      </c>
      <c r="AL81" s="14">
        <f>'A) Base RI'!AF81</f>
        <v>0</v>
      </c>
      <c r="AM81" s="14">
        <f>'A) Base RI'!AG81</f>
        <v>0</v>
      </c>
      <c r="AN81" s="14">
        <f>'A) Base RI'!AH81</f>
        <v>0</v>
      </c>
      <c r="AO81" s="14">
        <f>'A) Base RI'!AI81</f>
        <v>0</v>
      </c>
      <c r="AP81" s="14">
        <f>'A) Base RI'!AJ81</f>
        <v>0</v>
      </c>
      <c r="AQ81" s="14">
        <f>'A) Base RI'!AK81</f>
        <v>0</v>
      </c>
      <c r="AR81" s="14">
        <f>'A) Base RI'!AN81</f>
        <v>945</v>
      </c>
    </row>
    <row r="82" spans="1:44" x14ac:dyDescent="0.25">
      <c r="A82" s="12">
        <f>'A) Base RI'!A82</f>
        <v>5521</v>
      </c>
      <c r="B82" s="42" t="str">
        <f>'A) Base RI'!B82</f>
        <v>Etagnières</v>
      </c>
      <c r="C82" s="14">
        <f>'A) Base RI'!C82+'A) Base RI'!D82</f>
        <v>2348649.7800000003</v>
      </c>
      <c r="D82" s="14">
        <f>'A) Base RI'!AO82</f>
        <v>-22847.43</v>
      </c>
      <c r="E82" s="41">
        <f>'A) Base RI'!AP82</f>
        <v>0</v>
      </c>
      <c r="F82" s="41">
        <f>'A) Base RI'!AQ82</f>
        <v>-15.9</v>
      </c>
      <c r="G82" s="4">
        <f t="shared" si="6"/>
        <v>2325786.4500000002</v>
      </c>
      <c r="H82" s="14">
        <f>'A) Base RI'!E82</f>
        <v>0</v>
      </c>
      <c r="I82" s="14">
        <f>'A) Base RI'!F82</f>
        <v>0</v>
      </c>
      <c r="J82" s="14">
        <f>'A) Base RI'!G82+'A) Base RI'!H82</f>
        <v>322143.8</v>
      </c>
      <c r="K82" s="14">
        <f>'A) Base RI'!I82</f>
        <v>0</v>
      </c>
      <c r="L82" s="14">
        <f>'A) Base RI'!J82</f>
        <v>79493.789999999994</v>
      </c>
      <c r="M82" s="14">
        <f>'A) Base RI'!K82</f>
        <v>-8434</v>
      </c>
      <c r="N82" s="14">
        <f>'A) Base RI'!Q82</f>
        <v>17952.599999999999</v>
      </c>
      <c r="O82" s="14">
        <f t="shared" si="7"/>
        <v>221948.1</v>
      </c>
      <c r="P82" s="14">
        <f>'A) Base RI'!L82</f>
        <v>221948.1</v>
      </c>
      <c r="Q82" s="44">
        <f>'A) Base RI'!AR82</f>
        <v>1</v>
      </c>
      <c r="R82" s="4">
        <f t="shared" si="8"/>
        <v>2958890.74</v>
      </c>
      <c r="S82" s="43">
        <f>'A) Base RI'!AM82</f>
        <v>73</v>
      </c>
      <c r="T82" s="4">
        <f t="shared" si="9"/>
        <v>2745376.64</v>
      </c>
      <c r="U82" s="4">
        <f t="shared" si="10"/>
        <v>40532.749863013705</v>
      </c>
      <c r="V82" s="14">
        <f>'A) Base RI'!O82</f>
        <v>0</v>
      </c>
      <c r="W82" s="14">
        <f>'A) Base RI'!P82</f>
        <v>41483.5</v>
      </c>
      <c r="X82" s="14">
        <f>'A) Base RI'!R82</f>
        <v>5113.95</v>
      </c>
      <c r="Y82" s="4">
        <f t="shared" si="11"/>
        <v>46597.45</v>
      </c>
      <c r="Z82" s="14">
        <f>'A) Base RI'!N82</f>
        <v>60233.95</v>
      </c>
      <c r="AA82" s="14">
        <f>'A) Base RI'!S82+'A) Base RI'!T82</f>
        <v>62.5</v>
      </c>
      <c r="AB82" s="14">
        <f>'A) Base RI'!U82</f>
        <v>4700</v>
      </c>
      <c r="AC82" s="14">
        <f>'A) Base RI'!V82</f>
        <v>0</v>
      </c>
      <c r="AD82" s="14">
        <f>'A) Base RI'!W82</f>
        <v>0</v>
      </c>
      <c r="AE82" s="14">
        <f>'A) Base RI'!Y82</f>
        <v>60327.6</v>
      </c>
      <c r="AF82" s="14">
        <f>'A) Base RI'!Z82</f>
        <v>922</v>
      </c>
      <c r="AG82" s="14">
        <f>'A) Base RI'!AA82</f>
        <v>315456.78000000003</v>
      </c>
      <c r="AH82" s="14">
        <f>'A) Base RI'!AB82</f>
        <v>0</v>
      </c>
      <c r="AI82" s="14">
        <f>'A) Base RI'!AC82</f>
        <v>166182.18</v>
      </c>
      <c r="AJ82" s="14">
        <f>'A) Base RI'!AD82</f>
        <v>0</v>
      </c>
      <c r="AK82" s="14">
        <f>'A) Base RI'!AE82</f>
        <v>0</v>
      </c>
      <c r="AL82" s="14">
        <f>'A) Base RI'!AF82</f>
        <v>0</v>
      </c>
      <c r="AM82" s="14">
        <f>'A) Base RI'!AG82</f>
        <v>0</v>
      </c>
      <c r="AN82" s="14">
        <f>'A) Base RI'!AH82</f>
        <v>28283.9</v>
      </c>
      <c r="AO82" s="14">
        <f>'A) Base RI'!AI82</f>
        <v>0</v>
      </c>
      <c r="AP82" s="14">
        <f>'A) Base RI'!AJ82</f>
        <v>0</v>
      </c>
      <c r="AQ82" s="14">
        <f>'A) Base RI'!AK82</f>
        <v>0</v>
      </c>
      <c r="AR82" s="14">
        <f>'A) Base RI'!AN82</f>
        <v>1146</v>
      </c>
    </row>
    <row r="83" spans="1:44" x14ac:dyDescent="0.25">
      <c r="A83" s="12">
        <f>'A) Base RI'!A83</f>
        <v>5522</v>
      </c>
      <c r="B83" s="42" t="str">
        <f>'A) Base RI'!B83</f>
        <v>Fey</v>
      </c>
      <c r="C83" s="14">
        <f>'A) Base RI'!C83+'A) Base RI'!D83</f>
        <v>1207136.29</v>
      </c>
      <c r="D83" s="14">
        <f>'A) Base RI'!AO83</f>
        <v>-44334.29</v>
      </c>
      <c r="E83" s="41">
        <f>'A) Base RI'!AP83</f>
        <v>0</v>
      </c>
      <c r="F83" s="41">
        <f>'A) Base RI'!AQ83</f>
        <v>-8.4600000000000009</v>
      </c>
      <c r="G83" s="4">
        <f t="shared" si="6"/>
        <v>1162793.54</v>
      </c>
      <c r="H83" s="14">
        <f>'A) Base RI'!E83</f>
        <v>0</v>
      </c>
      <c r="I83" s="14">
        <f>'A) Base RI'!F83</f>
        <v>0</v>
      </c>
      <c r="J83" s="14">
        <f>'A) Base RI'!G83+'A) Base RI'!H83</f>
        <v>42200.799999999996</v>
      </c>
      <c r="K83" s="14">
        <f>'A) Base RI'!I83</f>
        <v>0</v>
      </c>
      <c r="L83" s="14">
        <f>'A) Base RI'!J83</f>
        <v>25734.65</v>
      </c>
      <c r="M83" s="14">
        <f>'A) Base RI'!K83</f>
        <v>916</v>
      </c>
      <c r="N83" s="14">
        <f>'A) Base RI'!Q83</f>
        <v>26498.74</v>
      </c>
      <c r="O83" s="14">
        <f t="shared" si="7"/>
        <v>108244.7</v>
      </c>
      <c r="P83" s="14">
        <f>'A) Base RI'!L83</f>
        <v>108244.7</v>
      </c>
      <c r="Q83" s="44">
        <f>'A) Base RI'!AR83</f>
        <v>1</v>
      </c>
      <c r="R83" s="4">
        <f t="shared" si="8"/>
        <v>1366388.43</v>
      </c>
      <c r="S83" s="43">
        <f>'A) Base RI'!AM83</f>
        <v>75</v>
      </c>
      <c r="T83" s="4">
        <f t="shared" si="9"/>
        <v>1257227.73</v>
      </c>
      <c r="U83" s="4">
        <f t="shared" si="10"/>
        <v>18218.5124</v>
      </c>
      <c r="V83" s="14">
        <f>'A) Base RI'!O83</f>
        <v>1134.5</v>
      </c>
      <c r="W83" s="14">
        <f>'A) Base RI'!P83</f>
        <v>54952.55</v>
      </c>
      <c r="X83" s="14">
        <f>'A) Base RI'!R83</f>
        <v>12615.65</v>
      </c>
      <c r="Y83" s="4">
        <f t="shared" si="11"/>
        <v>68702.7</v>
      </c>
      <c r="Z83" s="14">
        <f>'A) Base RI'!N83</f>
        <v>7678.25</v>
      </c>
      <c r="AA83" s="14">
        <f>'A) Base RI'!S83+'A) Base RI'!T83</f>
        <v>1112.5</v>
      </c>
      <c r="AB83" s="14">
        <f>'A) Base RI'!U83</f>
        <v>3150</v>
      </c>
      <c r="AC83" s="14">
        <f>'A) Base RI'!V83</f>
        <v>0</v>
      </c>
      <c r="AD83" s="14">
        <f>'A) Base RI'!W83</f>
        <v>0</v>
      </c>
      <c r="AE83" s="14">
        <f>'A) Base RI'!Y83</f>
        <v>34000</v>
      </c>
      <c r="AF83" s="14">
        <f>'A) Base RI'!Z83</f>
        <v>0</v>
      </c>
      <c r="AG83" s="14">
        <f>'A) Base RI'!AA83</f>
        <v>63090</v>
      </c>
      <c r="AH83" s="14">
        <f>'A) Base RI'!AB83</f>
        <v>0</v>
      </c>
      <c r="AI83" s="14">
        <f>'A) Base RI'!AC83</f>
        <v>0</v>
      </c>
      <c r="AJ83" s="14">
        <f>'A) Base RI'!AD83</f>
        <v>3250</v>
      </c>
      <c r="AK83" s="14">
        <f>'A) Base RI'!AE83</f>
        <v>0</v>
      </c>
      <c r="AL83" s="14">
        <f>'A) Base RI'!AF83</f>
        <v>0</v>
      </c>
      <c r="AM83" s="14">
        <f>'A) Base RI'!AG83</f>
        <v>0</v>
      </c>
      <c r="AN83" s="14">
        <f>'A) Base RI'!AH83</f>
        <v>0</v>
      </c>
      <c r="AO83" s="14">
        <f>'A) Base RI'!AI83</f>
        <v>0</v>
      </c>
      <c r="AP83" s="14">
        <f>'A) Base RI'!AJ83</f>
        <v>0</v>
      </c>
      <c r="AQ83" s="14">
        <f>'A) Base RI'!AK83</f>
        <v>0</v>
      </c>
      <c r="AR83" s="14">
        <f>'A) Base RI'!AN83</f>
        <v>635</v>
      </c>
    </row>
    <row r="84" spans="1:44" x14ac:dyDescent="0.25">
      <c r="A84" s="12">
        <f>'A) Base RI'!A84</f>
        <v>5523</v>
      </c>
      <c r="B84" s="42" t="str">
        <f>'A) Base RI'!B84</f>
        <v>Froideville</v>
      </c>
      <c r="C84" s="14">
        <f>'A) Base RI'!C84+'A) Base RI'!D84</f>
        <v>5257551.75</v>
      </c>
      <c r="D84" s="14">
        <f>'A) Base RI'!AO84</f>
        <v>-78959.55</v>
      </c>
      <c r="E84" s="41">
        <f>'A) Base RI'!AP84</f>
        <v>0</v>
      </c>
      <c r="F84" s="41">
        <f>'A) Base RI'!AQ84</f>
        <v>-56.97</v>
      </c>
      <c r="G84" s="4">
        <f t="shared" si="6"/>
        <v>5178535.2300000004</v>
      </c>
      <c r="H84" s="14">
        <f>'A) Base RI'!E84</f>
        <v>0</v>
      </c>
      <c r="I84" s="14">
        <f>'A) Base RI'!F84</f>
        <v>12930</v>
      </c>
      <c r="J84" s="14">
        <f>'A) Base RI'!G84+'A) Base RI'!H84</f>
        <v>118780.70000000001</v>
      </c>
      <c r="K84" s="14">
        <f>'A) Base RI'!I84</f>
        <v>30937.4</v>
      </c>
      <c r="L84" s="14">
        <f>'A) Base RI'!J84</f>
        <v>122783.6</v>
      </c>
      <c r="M84" s="14">
        <f>'A) Base RI'!K84</f>
        <v>13603</v>
      </c>
      <c r="N84" s="14">
        <f>'A) Base RI'!Q84</f>
        <v>5089.3</v>
      </c>
      <c r="O84" s="14">
        <f t="shared" si="7"/>
        <v>431634.75999999995</v>
      </c>
      <c r="P84" s="14">
        <f>'A) Base RI'!L84</f>
        <v>539543.44999999995</v>
      </c>
      <c r="Q84" s="44">
        <f>'A) Base RI'!AR84</f>
        <v>1.25</v>
      </c>
      <c r="R84" s="4">
        <f t="shared" si="8"/>
        <v>5914293.9900000002</v>
      </c>
      <c r="S84" s="43">
        <f>'A) Base RI'!AM84</f>
        <v>76</v>
      </c>
      <c r="T84" s="4">
        <f t="shared" si="9"/>
        <v>5456126.2300000004</v>
      </c>
      <c r="U84" s="4">
        <f t="shared" si="10"/>
        <v>77819.657763157898</v>
      </c>
      <c r="V84" s="14">
        <f>'A) Base RI'!O84</f>
        <v>181250</v>
      </c>
      <c r="W84" s="14">
        <f>'A) Base RI'!P84</f>
        <v>189912.2</v>
      </c>
      <c r="X84" s="14">
        <f>'A) Base RI'!R84</f>
        <v>152997.35</v>
      </c>
      <c r="Y84" s="4">
        <f t="shared" si="11"/>
        <v>524159.55000000005</v>
      </c>
      <c r="Z84" s="14">
        <f>'A) Base RI'!N84</f>
        <v>0</v>
      </c>
      <c r="AA84" s="14">
        <f>'A) Base RI'!S84+'A) Base RI'!T84</f>
        <v>2854</v>
      </c>
      <c r="AB84" s="14">
        <f>'A) Base RI'!U84</f>
        <v>12075</v>
      </c>
      <c r="AC84" s="14">
        <f>'A) Base RI'!V84</f>
        <v>0</v>
      </c>
      <c r="AD84" s="14">
        <f>'A) Base RI'!W84</f>
        <v>0</v>
      </c>
      <c r="AE84" s="14">
        <f>'A) Base RI'!Y84</f>
        <v>230406.9</v>
      </c>
      <c r="AF84" s="14">
        <f>'A) Base RI'!Z84</f>
        <v>17704.599999999999</v>
      </c>
      <c r="AG84" s="14">
        <f>'A) Base RI'!AA84</f>
        <v>481347.4</v>
      </c>
      <c r="AH84" s="14">
        <f>'A) Base RI'!AB84</f>
        <v>0</v>
      </c>
      <c r="AI84" s="14">
        <f>'A) Base RI'!AC84</f>
        <v>141649.70000000001</v>
      </c>
      <c r="AJ84" s="14">
        <f>'A) Base RI'!AD84</f>
        <v>198215.85</v>
      </c>
      <c r="AK84" s="14">
        <f>'A) Base RI'!AE84</f>
        <v>12053.7</v>
      </c>
      <c r="AL84" s="14">
        <f>'A) Base RI'!AF84</f>
        <v>0</v>
      </c>
      <c r="AM84" s="14">
        <f>'A) Base RI'!AG84</f>
        <v>0</v>
      </c>
      <c r="AN84" s="14">
        <f>'A) Base RI'!AH84</f>
        <v>51181.5</v>
      </c>
      <c r="AO84" s="14">
        <f>'A) Base RI'!AI84</f>
        <v>0</v>
      </c>
      <c r="AP84" s="14">
        <f>'A) Base RI'!AJ84</f>
        <v>0</v>
      </c>
      <c r="AQ84" s="14">
        <f>'A) Base RI'!AK84</f>
        <v>0</v>
      </c>
      <c r="AR84" s="14">
        <f>'A) Base RI'!AN84</f>
        <v>2422</v>
      </c>
    </row>
    <row r="85" spans="1:44" x14ac:dyDescent="0.25">
      <c r="A85" s="12">
        <f>'A) Base RI'!A85</f>
        <v>5527</v>
      </c>
      <c r="B85" s="42" t="str">
        <f>'A) Base RI'!B85</f>
        <v>Morrens</v>
      </c>
      <c r="C85" s="14">
        <f>'A) Base RI'!C85+'A) Base RI'!D85</f>
        <v>2443667.96</v>
      </c>
      <c r="D85" s="14">
        <f>'A) Base RI'!AO85</f>
        <v>-31069.54</v>
      </c>
      <c r="E85" s="41">
        <f>'A) Base RI'!AP85</f>
        <v>-2553.4</v>
      </c>
      <c r="F85" s="41">
        <f>'A) Base RI'!AQ85</f>
        <v>-34.68</v>
      </c>
      <c r="G85" s="4">
        <f t="shared" si="6"/>
        <v>2410010.34</v>
      </c>
      <c r="H85" s="14">
        <f>'A) Base RI'!E85</f>
        <v>0</v>
      </c>
      <c r="I85" s="14">
        <f>'A) Base RI'!F85</f>
        <v>0</v>
      </c>
      <c r="J85" s="14">
        <f>'A) Base RI'!G85+'A) Base RI'!H85</f>
        <v>9499.0499999999993</v>
      </c>
      <c r="K85" s="14">
        <f>'A) Base RI'!I85</f>
        <v>0</v>
      </c>
      <c r="L85" s="14">
        <f>'A) Base RI'!J85</f>
        <v>9721.7099999999991</v>
      </c>
      <c r="M85" s="14">
        <f>'A) Base RI'!K85</f>
        <v>1350</v>
      </c>
      <c r="N85" s="14">
        <f>'A) Base RI'!Q85</f>
        <v>3713.58</v>
      </c>
      <c r="O85" s="14">
        <f t="shared" si="7"/>
        <v>192611.4</v>
      </c>
      <c r="P85" s="14">
        <f>'A) Base RI'!L85</f>
        <v>192611.4</v>
      </c>
      <c r="Q85" s="44">
        <f>'A) Base RI'!AR85</f>
        <v>1</v>
      </c>
      <c r="R85" s="4">
        <f t="shared" si="8"/>
        <v>2626906.0799999996</v>
      </c>
      <c r="S85" s="43">
        <f>'A) Base RI'!AM85</f>
        <v>71</v>
      </c>
      <c r="T85" s="4">
        <f t="shared" si="9"/>
        <v>2432944.6799999997</v>
      </c>
      <c r="U85" s="4">
        <f t="shared" si="10"/>
        <v>36998.677183098589</v>
      </c>
      <c r="V85" s="14">
        <f>'A) Base RI'!O85</f>
        <v>1751.8</v>
      </c>
      <c r="W85" s="14">
        <f>'A) Base RI'!P85</f>
        <v>127739.4</v>
      </c>
      <c r="X85" s="14">
        <f>'A) Base RI'!R85</f>
        <v>117865.05</v>
      </c>
      <c r="Y85" s="4">
        <f t="shared" si="11"/>
        <v>247356.25</v>
      </c>
      <c r="Z85" s="14">
        <f>'A) Base RI'!N85</f>
        <v>13054.25</v>
      </c>
      <c r="AA85" s="14">
        <f>'A) Base RI'!S85+'A) Base RI'!T85</f>
        <v>825</v>
      </c>
      <c r="AB85" s="14">
        <f>'A) Base RI'!U85</f>
        <v>10450</v>
      </c>
      <c r="AC85" s="14">
        <f>'A) Base RI'!V85</f>
        <v>0</v>
      </c>
      <c r="AD85" s="14">
        <f>'A) Base RI'!W85</f>
        <v>0</v>
      </c>
      <c r="AE85" s="14">
        <f>'A) Base RI'!Y85</f>
        <v>52801.1</v>
      </c>
      <c r="AF85" s="14">
        <f>'A) Base RI'!Z85</f>
        <v>0</v>
      </c>
      <c r="AG85" s="14">
        <f>'A) Base RI'!AA85</f>
        <v>105170.86</v>
      </c>
      <c r="AH85" s="14">
        <f>'A) Base RI'!AB85</f>
        <v>0</v>
      </c>
      <c r="AI85" s="14">
        <f>'A) Base RI'!AC85</f>
        <v>70431.25</v>
      </c>
      <c r="AJ85" s="14">
        <f>'A) Base RI'!AD85</f>
        <v>59914.55</v>
      </c>
      <c r="AK85" s="14">
        <f>'A) Base RI'!AE85</f>
        <v>0</v>
      </c>
      <c r="AL85" s="14">
        <f>'A) Base RI'!AF85</f>
        <v>0</v>
      </c>
      <c r="AM85" s="14">
        <f>'A) Base RI'!AG85</f>
        <v>0</v>
      </c>
      <c r="AN85" s="14">
        <f>'A) Base RI'!AH85</f>
        <v>28301.1</v>
      </c>
      <c r="AO85" s="14">
        <f>'A) Base RI'!AI85</f>
        <v>0</v>
      </c>
      <c r="AP85" s="14">
        <f>'A) Base RI'!AJ85</f>
        <v>0</v>
      </c>
      <c r="AQ85" s="14">
        <f>'A) Base RI'!AK85</f>
        <v>0</v>
      </c>
      <c r="AR85" s="14">
        <f>'A) Base RI'!AN85</f>
        <v>1055</v>
      </c>
    </row>
    <row r="86" spans="1:44" x14ac:dyDescent="0.25">
      <c r="A86" s="12">
        <f>'A) Base RI'!A86</f>
        <v>5529</v>
      </c>
      <c r="B86" s="42" t="str">
        <f>'A) Base RI'!B86</f>
        <v>Oulens-sous-Echallens</v>
      </c>
      <c r="C86" s="14">
        <f>'A) Base RI'!C86+'A) Base RI'!D86</f>
        <v>1058865.53</v>
      </c>
      <c r="D86" s="14">
        <f>'A) Base RI'!AO86</f>
        <v>-13464.81</v>
      </c>
      <c r="E86" s="41">
        <f>'A) Base RI'!AP86</f>
        <v>0</v>
      </c>
      <c r="F86" s="41">
        <f>'A) Base RI'!AQ86</f>
        <v>-5.93</v>
      </c>
      <c r="G86" s="4">
        <f t="shared" si="6"/>
        <v>1045394.7899999999</v>
      </c>
      <c r="H86" s="14">
        <f>'A) Base RI'!E86</f>
        <v>0</v>
      </c>
      <c r="I86" s="14">
        <f>'A) Base RI'!F86</f>
        <v>0</v>
      </c>
      <c r="J86" s="14">
        <f>'A) Base RI'!G86+'A) Base RI'!H86</f>
        <v>24454</v>
      </c>
      <c r="K86" s="14">
        <f>'A) Base RI'!I86</f>
        <v>0</v>
      </c>
      <c r="L86" s="14">
        <f>'A) Base RI'!J86</f>
        <v>22972.560000000001</v>
      </c>
      <c r="M86" s="14">
        <f>'A) Base RI'!K86</f>
        <v>2535</v>
      </c>
      <c r="N86" s="14">
        <f>'A) Base RI'!Q86</f>
        <v>0</v>
      </c>
      <c r="O86" s="14">
        <f t="shared" si="7"/>
        <v>99640.4</v>
      </c>
      <c r="P86" s="14">
        <f>'A) Base RI'!L86</f>
        <v>99640.4</v>
      </c>
      <c r="Q86" s="44">
        <f>'A) Base RI'!AR86</f>
        <v>1</v>
      </c>
      <c r="R86" s="4">
        <f t="shared" si="8"/>
        <v>1194996.75</v>
      </c>
      <c r="S86" s="43">
        <f>'A) Base RI'!AM86</f>
        <v>71</v>
      </c>
      <c r="T86" s="4">
        <f t="shared" si="9"/>
        <v>1092821.3500000001</v>
      </c>
      <c r="U86" s="4">
        <f t="shared" si="10"/>
        <v>16830.940140845072</v>
      </c>
      <c r="V86" s="14">
        <f>'A) Base RI'!O86</f>
        <v>44318.7</v>
      </c>
      <c r="W86" s="14">
        <f>'A) Base RI'!P86</f>
        <v>66057.350000000006</v>
      </c>
      <c r="X86" s="14">
        <f>'A) Base RI'!R86</f>
        <v>56320.7</v>
      </c>
      <c r="Y86" s="4">
        <f t="shared" si="11"/>
        <v>166696.75</v>
      </c>
      <c r="Z86" s="14">
        <f>'A) Base RI'!N86</f>
        <v>611.79999999999995</v>
      </c>
      <c r="AA86" s="14">
        <f>'A) Base RI'!S86+'A) Base RI'!T86</f>
        <v>1016.5</v>
      </c>
      <c r="AB86" s="14">
        <f>'A) Base RI'!U86</f>
        <v>2600</v>
      </c>
      <c r="AC86" s="14">
        <f>'A) Base RI'!V86</f>
        <v>0</v>
      </c>
      <c r="AD86" s="14">
        <f>'A) Base RI'!W86</f>
        <v>0</v>
      </c>
      <c r="AE86" s="14">
        <f>'A) Base RI'!Y86</f>
        <v>0</v>
      </c>
      <c r="AF86" s="14">
        <f>'A) Base RI'!Z86</f>
        <v>0</v>
      </c>
      <c r="AG86" s="14">
        <f>'A) Base RI'!AA86</f>
        <v>22391.5</v>
      </c>
      <c r="AH86" s="14">
        <f>'A) Base RI'!AB86</f>
        <v>0</v>
      </c>
      <c r="AI86" s="14">
        <f>'A) Base RI'!AC86</f>
        <v>39147.85</v>
      </c>
      <c r="AJ86" s="14">
        <f>'A) Base RI'!AD86</f>
        <v>0</v>
      </c>
      <c r="AK86" s="14">
        <f>'A) Base RI'!AE86</f>
        <v>0</v>
      </c>
      <c r="AL86" s="14">
        <f>'A) Base RI'!AF86</f>
        <v>0</v>
      </c>
      <c r="AM86" s="14">
        <f>'A) Base RI'!AG86</f>
        <v>0</v>
      </c>
      <c r="AN86" s="14">
        <f>'A) Base RI'!AH86</f>
        <v>0</v>
      </c>
      <c r="AO86" s="14">
        <f>'A) Base RI'!AI86</f>
        <v>0</v>
      </c>
      <c r="AP86" s="14">
        <f>'A) Base RI'!AJ86</f>
        <v>0</v>
      </c>
      <c r="AQ86" s="14">
        <f>'A) Base RI'!AK86</f>
        <v>0</v>
      </c>
      <c r="AR86" s="14">
        <f>'A) Base RI'!AN86</f>
        <v>532</v>
      </c>
    </row>
    <row r="87" spans="1:44" x14ac:dyDescent="0.25">
      <c r="A87" s="12">
        <f>'A) Base RI'!A87</f>
        <v>5530</v>
      </c>
      <c r="B87" s="42" t="str">
        <f>'A) Base RI'!B87</f>
        <v>Pailly</v>
      </c>
      <c r="C87" s="14">
        <f>'A) Base RI'!C87+'A) Base RI'!D87</f>
        <v>1070215.67</v>
      </c>
      <c r="D87" s="14">
        <f>'A) Base RI'!AO87</f>
        <v>-6663.55</v>
      </c>
      <c r="E87" s="41">
        <f>'A) Base RI'!AP87</f>
        <v>0</v>
      </c>
      <c r="F87" s="41">
        <f>'A) Base RI'!AQ87</f>
        <v>-0.32</v>
      </c>
      <c r="G87" s="4">
        <f t="shared" si="6"/>
        <v>1063551.7999999998</v>
      </c>
      <c r="H87" s="14">
        <f>'A) Base RI'!E87</f>
        <v>0</v>
      </c>
      <c r="I87" s="14">
        <f>'A) Base RI'!F87</f>
        <v>0</v>
      </c>
      <c r="J87" s="14">
        <f>'A) Base RI'!G87+'A) Base RI'!H87</f>
        <v>10531.6</v>
      </c>
      <c r="K87" s="14">
        <f>'A) Base RI'!I87</f>
        <v>0</v>
      </c>
      <c r="L87" s="14">
        <f>'A) Base RI'!J87</f>
        <v>28641.72</v>
      </c>
      <c r="M87" s="14">
        <f>'A) Base RI'!K87</f>
        <v>37.5</v>
      </c>
      <c r="N87" s="14">
        <f>'A) Base RI'!Q87</f>
        <v>48366.05</v>
      </c>
      <c r="O87" s="14">
        <f t="shared" si="7"/>
        <v>87950.333333333328</v>
      </c>
      <c r="P87" s="14">
        <f>'A) Base RI'!L87</f>
        <v>105540.4</v>
      </c>
      <c r="Q87" s="44">
        <f>'A) Base RI'!AR87</f>
        <v>1.2</v>
      </c>
      <c r="R87" s="4">
        <f t="shared" si="8"/>
        <v>1239079.0033333332</v>
      </c>
      <c r="S87" s="43">
        <f>'A) Base RI'!AM87</f>
        <v>77.5</v>
      </c>
      <c r="T87" s="4">
        <f t="shared" si="9"/>
        <v>1151091.17</v>
      </c>
      <c r="U87" s="4">
        <f t="shared" si="10"/>
        <v>15988.116172043008</v>
      </c>
      <c r="V87" s="14">
        <f>'A) Base RI'!O87</f>
        <v>15914.2</v>
      </c>
      <c r="W87" s="14">
        <f>'A) Base RI'!P87</f>
        <v>11340.35</v>
      </c>
      <c r="X87" s="14">
        <f>'A) Base RI'!R87</f>
        <v>20555.150000000001</v>
      </c>
      <c r="Y87" s="4">
        <f t="shared" si="11"/>
        <v>47809.700000000004</v>
      </c>
      <c r="Z87" s="14">
        <f>'A) Base RI'!N87</f>
        <v>3638.2</v>
      </c>
      <c r="AA87" s="14">
        <f>'A) Base RI'!S87+'A) Base RI'!T87</f>
        <v>0</v>
      </c>
      <c r="AB87" s="14">
        <f>'A) Base RI'!U87</f>
        <v>2430</v>
      </c>
      <c r="AC87" s="14">
        <f>'A) Base RI'!V87</f>
        <v>0</v>
      </c>
      <c r="AD87" s="14">
        <f>'A) Base RI'!W87</f>
        <v>0</v>
      </c>
      <c r="AE87" s="14">
        <f>'A) Base RI'!Y87</f>
        <v>7631.9</v>
      </c>
      <c r="AF87" s="14">
        <f>'A) Base RI'!Z87</f>
        <v>0</v>
      </c>
      <c r="AG87" s="14">
        <f>'A) Base RI'!AA87</f>
        <v>158254.20000000001</v>
      </c>
      <c r="AH87" s="14">
        <f>'A) Base RI'!AB87</f>
        <v>0</v>
      </c>
      <c r="AI87" s="14">
        <f>'A) Base RI'!AC87</f>
        <v>39669.9</v>
      </c>
      <c r="AJ87" s="14">
        <f>'A) Base RI'!AD87</f>
        <v>3170.95</v>
      </c>
      <c r="AK87" s="14">
        <f>'A) Base RI'!AE87</f>
        <v>0</v>
      </c>
      <c r="AL87" s="14">
        <f>'A) Base RI'!AF87</f>
        <v>0</v>
      </c>
      <c r="AM87" s="14">
        <f>'A) Base RI'!AG87</f>
        <v>0</v>
      </c>
      <c r="AN87" s="14">
        <f>'A) Base RI'!AH87</f>
        <v>0</v>
      </c>
      <c r="AO87" s="14">
        <f>'A) Base RI'!AI87</f>
        <v>0</v>
      </c>
      <c r="AP87" s="14">
        <f>'A) Base RI'!AJ87</f>
        <v>0</v>
      </c>
      <c r="AQ87" s="14">
        <f>'A) Base RI'!AK87</f>
        <v>0</v>
      </c>
      <c r="AR87" s="14">
        <f>'A) Base RI'!AN87</f>
        <v>533</v>
      </c>
    </row>
    <row r="88" spans="1:44" x14ac:dyDescent="0.25">
      <c r="A88" s="12">
        <f>'A) Base RI'!A88</f>
        <v>5531</v>
      </c>
      <c r="B88" s="42" t="str">
        <f>'A) Base RI'!B88</f>
        <v>Penthéréaz</v>
      </c>
      <c r="C88" s="14">
        <f>'A) Base RI'!C88+'A) Base RI'!D88</f>
        <v>843304.04</v>
      </c>
      <c r="D88" s="14">
        <f>'A) Base RI'!AO88</f>
        <v>-16664.34</v>
      </c>
      <c r="E88" s="41">
        <f>'A) Base RI'!AP88</f>
        <v>0</v>
      </c>
      <c r="F88" s="41">
        <f>'A) Base RI'!AQ88</f>
        <v>-83.01</v>
      </c>
      <c r="G88" s="4">
        <f t="shared" si="6"/>
        <v>826556.69000000006</v>
      </c>
      <c r="H88" s="14">
        <f>'A) Base RI'!E88</f>
        <v>0</v>
      </c>
      <c r="I88" s="14">
        <f>'A) Base RI'!F88</f>
        <v>0</v>
      </c>
      <c r="J88" s="14">
        <f>'A) Base RI'!G88+'A) Base RI'!H88</f>
        <v>7048.7000000000007</v>
      </c>
      <c r="K88" s="14">
        <f>'A) Base RI'!I88</f>
        <v>0</v>
      </c>
      <c r="L88" s="14">
        <f>'A) Base RI'!J88</f>
        <v>5118.12</v>
      </c>
      <c r="M88" s="14">
        <f>'A) Base RI'!K88</f>
        <v>844</v>
      </c>
      <c r="N88" s="14">
        <f>'A) Base RI'!Q88</f>
        <v>0</v>
      </c>
      <c r="O88" s="14">
        <f t="shared" si="7"/>
        <v>67470.850000000006</v>
      </c>
      <c r="P88" s="14">
        <f>'A) Base RI'!L88</f>
        <v>67470.850000000006</v>
      </c>
      <c r="Q88" s="44">
        <f>'A) Base RI'!AR88</f>
        <v>1</v>
      </c>
      <c r="R88" s="4">
        <f t="shared" si="8"/>
        <v>907038.36</v>
      </c>
      <c r="S88" s="43">
        <f>'A) Base RI'!AM88</f>
        <v>78</v>
      </c>
      <c r="T88" s="4">
        <f t="shared" si="9"/>
        <v>838723.51</v>
      </c>
      <c r="U88" s="4">
        <f t="shared" si="10"/>
        <v>11628.696923076923</v>
      </c>
      <c r="V88" s="14">
        <f>'A) Base RI'!O88</f>
        <v>0</v>
      </c>
      <c r="W88" s="14">
        <f>'A) Base RI'!P88</f>
        <v>29139</v>
      </c>
      <c r="X88" s="14">
        <f>'A) Base RI'!R88</f>
        <v>11219.6</v>
      </c>
      <c r="Y88" s="4">
        <f t="shared" si="11"/>
        <v>40358.6</v>
      </c>
      <c r="Z88" s="14">
        <f>'A) Base RI'!N88</f>
        <v>47848.7</v>
      </c>
      <c r="AA88" s="14">
        <f>'A) Base RI'!S88+'A) Base RI'!T88</f>
        <v>0</v>
      </c>
      <c r="AB88" s="14">
        <f>'A) Base RI'!U88</f>
        <v>3750</v>
      </c>
      <c r="AC88" s="14">
        <f>'A) Base RI'!V88</f>
        <v>0</v>
      </c>
      <c r="AD88" s="14">
        <f>'A) Base RI'!W88</f>
        <v>0</v>
      </c>
      <c r="AE88" s="14">
        <f>'A) Base RI'!Y88</f>
        <v>0</v>
      </c>
      <c r="AF88" s="14">
        <f>'A) Base RI'!Z88</f>
        <v>0</v>
      </c>
      <c r="AG88" s="14">
        <f>'A) Base RI'!AA88</f>
        <v>84659.5</v>
      </c>
      <c r="AH88" s="14">
        <f>'A) Base RI'!AB88</f>
        <v>0</v>
      </c>
      <c r="AI88" s="14">
        <f>'A) Base RI'!AC88</f>
        <v>27027.5</v>
      </c>
      <c r="AJ88" s="14">
        <f>'A) Base RI'!AD88</f>
        <v>2073.9499999999998</v>
      </c>
      <c r="AK88" s="14">
        <f>'A) Base RI'!AE88</f>
        <v>0</v>
      </c>
      <c r="AL88" s="14">
        <f>'A) Base RI'!AF88</f>
        <v>0</v>
      </c>
      <c r="AM88" s="14">
        <f>'A) Base RI'!AG88</f>
        <v>0</v>
      </c>
      <c r="AN88" s="14">
        <f>'A) Base RI'!AH88</f>
        <v>0</v>
      </c>
      <c r="AO88" s="14">
        <f>'A) Base RI'!AI88</f>
        <v>0</v>
      </c>
      <c r="AP88" s="14">
        <f>'A) Base RI'!AJ88</f>
        <v>0</v>
      </c>
      <c r="AQ88" s="14">
        <f>'A) Base RI'!AK88</f>
        <v>0</v>
      </c>
      <c r="AR88" s="14">
        <f>'A) Base RI'!AN88</f>
        <v>389</v>
      </c>
    </row>
    <row r="89" spans="1:44" x14ac:dyDescent="0.25">
      <c r="A89" s="12">
        <f>'A) Base RI'!A89</f>
        <v>5533</v>
      </c>
      <c r="B89" s="42" t="str">
        <f>'A) Base RI'!B89</f>
        <v>Poliez-Pittet</v>
      </c>
      <c r="C89" s="14">
        <f>'A) Base RI'!C89+'A) Base RI'!D89</f>
        <v>1265731.1399999999</v>
      </c>
      <c r="D89" s="14">
        <f>'A) Base RI'!AO89</f>
        <v>-12492.22</v>
      </c>
      <c r="E89" s="41">
        <f>'A) Base RI'!AP89</f>
        <v>0</v>
      </c>
      <c r="F89" s="41">
        <f>'A) Base RI'!AQ89</f>
        <v>-7.84</v>
      </c>
      <c r="G89" s="4">
        <f t="shared" si="6"/>
        <v>1253231.0799999998</v>
      </c>
      <c r="H89" s="14">
        <f>'A) Base RI'!E89</f>
        <v>0</v>
      </c>
      <c r="I89" s="14">
        <f>'A) Base RI'!F89</f>
        <v>0</v>
      </c>
      <c r="J89" s="14">
        <f>'A) Base RI'!G89+'A) Base RI'!H89</f>
        <v>64381.1</v>
      </c>
      <c r="K89" s="14">
        <f>'A) Base RI'!I89</f>
        <v>0</v>
      </c>
      <c r="L89" s="14">
        <f>'A) Base RI'!J89</f>
        <v>63360.47</v>
      </c>
      <c r="M89" s="14">
        <f>'A) Base RI'!K89</f>
        <v>4242.5</v>
      </c>
      <c r="N89" s="14">
        <f>'A) Base RI'!Q89</f>
        <v>2037.7</v>
      </c>
      <c r="O89" s="14">
        <f t="shared" si="7"/>
        <v>124118.16666666666</v>
      </c>
      <c r="P89" s="14">
        <f>'A) Base RI'!L89</f>
        <v>74470.899999999994</v>
      </c>
      <c r="Q89" s="44">
        <f>'A) Base RI'!AR89</f>
        <v>0.6</v>
      </c>
      <c r="R89" s="4">
        <f t="shared" si="8"/>
        <v>1511371.0166666666</v>
      </c>
      <c r="S89" s="43">
        <f>'A) Base RI'!AM89</f>
        <v>71</v>
      </c>
      <c r="T89" s="4">
        <f t="shared" si="9"/>
        <v>1383010.3499999999</v>
      </c>
      <c r="U89" s="4">
        <f t="shared" si="10"/>
        <v>21286.915727699528</v>
      </c>
      <c r="V89" s="14">
        <f>'A) Base RI'!O89</f>
        <v>0</v>
      </c>
      <c r="W89" s="14">
        <f>'A) Base RI'!P89</f>
        <v>51860.25</v>
      </c>
      <c r="X89" s="14">
        <f>'A) Base RI'!R89</f>
        <v>26308.15</v>
      </c>
      <c r="Y89" s="4">
        <f t="shared" si="11"/>
        <v>78168.399999999994</v>
      </c>
      <c r="Z89" s="14">
        <f>'A) Base RI'!N89</f>
        <v>5273.9</v>
      </c>
      <c r="AA89" s="14">
        <f>'A) Base RI'!S89+'A) Base RI'!T89</f>
        <v>1271.0999999999999</v>
      </c>
      <c r="AB89" s="14">
        <f>'A) Base RI'!U89</f>
        <v>4866.6499999999996</v>
      </c>
      <c r="AC89" s="14">
        <f>'A) Base RI'!V89</f>
        <v>200</v>
      </c>
      <c r="AD89" s="14">
        <f>'A) Base RI'!W89</f>
        <v>0</v>
      </c>
      <c r="AE89" s="14">
        <f>'A) Base RI'!Y89</f>
        <v>19523.650000000001</v>
      </c>
      <c r="AF89" s="14">
        <f>'A) Base RI'!Z89</f>
        <v>0</v>
      </c>
      <c r="AG89" s="14">
        <f>'A) Base RI'!AA89</f>
        <v>102483</v>
      </c>
      <c r="AH89" s="14">
        <f>'A) Base RI'!AB89</f>
        <v>0</v>
      </c>
      <c r="AI89" s="14">
        <f>'A) Base RI'!AC89</f>
        <v>36272.5</v>
      </c>
      <c r="AJ89" s="14">
        <f>'A) Base RI'!AD89</f>
        <v>20166.150000000001</v>
      </c>
      <c r="AK89" s="14">
        <f>'A) Base RI'!AE89</f>
        <v>0</v>
      </c>
      <c r="AL89" s="14">
        <f>'A) Base RI'!AF89</f>
        <v>0</v>
      </c>
      <c r="AM89" s="14">
        <f>'A) Base RI'!AG89</f>
        <v>0</v>
      </c>
      <c r="AN89" s="14">
        <f>'A) Base RI'!AH89</f>
        <v>0</v>
      </c>
      <c r="AO89" s="14">
        <f>'A) Base RI'!AI89</f>
        <v>0</v>
      </c>
      <c r="AP89" s="14">
        <f>'A) Base RI'!AJ89</f>
        <v>0</v>
      </c>
      <c r="AQ89" s="14">
        <f>'A) Base RI'!AK89</f>
        <v>0</v>
      </c>
      <c r="AR89" s="14">
        <f>'A) Base RI'!AN89</f>
        <v>815</v>
      </c>
    </row>
    <row r="90" spans="1:44" x14ac:dyDescent="0.25">
      <c r="A90" s="12">
        <f>'A) Base RI'!A90</f>
        <v>5534</v>
      </c>
      <c r="B90" s="42" t="str">
        <f>'A) Base RI'!B90</f>
        <v>Rueyres</v>
      </c>
      <c r="C90" s="14">
        <f>'A) Base RI'!C90+'A) Base RI'!D90</f>
        <v>445943.95999999996</v>
      </c>
      <c r="D90" s="14">
        <f>'A) Base RI'!AO90</f>
        <v>-5636</v>
      </c>
      <c r="E90" s="41">
        <f>'A) Base RI'!AP90</f>
        <v>0</v>
      </c>
      <c r="F90" s="41">
        <f>'A) Base RI'!AQ90</f>
        <v>-6.33</v>
      </c>
      <c r="G90" s="4">
        <f t="shared" si="6"/>
        <v>440301.62999999995</v>
      </c>
      <c r="H90" s="14">
        <f>'A) Base RI'!E90</f>
        <v>0</v>
      </c>
      <c r="I90" s="14">
        <f>'A) Base RI'!F90</f>
        <v>0</v>
      </c>
      <c r="J90" s="14">
        <f>'A) Base RI'!G90+'A) Base RI'!H90</f>
        <v>72822.5</v>
      </c>
      <c r="K90" s="14">
        <f>'A) Base RI'!I90</f>
        <v>0</v>
      </c>
      <c r="L90" s="14">
        <f>'A) Base RI'!J90</f>
        <v>11734.95</v>
      </c>
      <c r="M90" s="14">
        <f>'A) Base RI'!K90</f>
        <v>1598.5</v>
      </c>
      <c r="N90" s="14">
        <f>'A) Base RI'!Q90</f>
        <v>0</v>
      </c>
      <c r="O90" s="14">
        <f t="shared" si="7"/>
        <v>66532.399999999994</v>
      </c>
      <c r="P90" s="14">
        <f>'A) Base RI'!L90</f>
        <v>66532.399999999994</v>
      </c>
      <c r="Q90" s="44">
        <f>'A) Base RI'!AR90</f>
        <v>1</v>
      </c>
      <c r="R90" s="4">
        <f t="shared" si="8"/>
        <v>592989.98</v>
      </c>
      <c r="S90" s="43">
        <f>'A) Base RI'!AM90</f>
        <v>73</v>
      </c>
      <c r="T90" s="4">
        <f t="shared" si="9"/>
        <v>524859.07999999996</v>
      </c>
      <c r="U90" s="4">
        <f t="shared" si="10"/>
        <v>8123.1504109589041</v>
      </c>
      <c r="V90" s="14">
        <f>'A) Base RI'!O90</f>
        <v>89050.2</v>
      </c>
      <c r="W90" s="14">
        <f>'A) Base RI'!P90</f>
        <v>30.8</v>
      </c>
      <c r="X90" s="14">
        <f>'A) Base RI'!R90</f>
        <v>0</v>
      </c>
      <c r="Y90" s="4">
        <f t="shared" si="11"/>
        <v>89081</v>
      </c>
      <c r="Z90" s="14">
        <f>'A) Base RI'!N90</f>
        <v>24554.6</v>
      </c>
      <c r="AA90" s="14">
        <f>'A) Base RI'!S90+'A) Base RI'!T90</f>
        <v>0</v>
      </c>
      <c r="AB90" s="14">
        <f>'A) Base RI'!U90</f>
        <v>691.7</v>
      </c>
      <c r="AC90" s="14">
        <f>'A) Base RI'!V90</f>
        <v>256</v>
      </c>
      <c r="AD90" s="14">
        <f>'A) Base RI'!W90</f>
        <v>0</v>
      </c>
      <c r="AE90" s="14">
        <f>'A) Base RI'!Y90</f>
        <v>0</v>
      </c>
      <c r="AF90" s="14">
        <f>'A) Base RI'!Z90</f>
        <v>0</v>
      </c>
      <c r="AG90" s="14">
        <f>'A) Base RI'!AA90</f>
        <v>12654.9</v>
      </c>
      <c r="AH90" s="14">
        <f>'A) Base RI'!AB90</f>
        <v>0</v>
      </c>
      <c r="AI90" s="14">
        <f>'A) Base RI'!AC90</f>
        <v>11521.65</v>
      </c>
      <c r="AJ90" s="14">
        <f>'A) Base RI'!AD90</f>
        <v>0</v>
      </c>
      <c r="AK90" s="14">
        <f>'A) Base RI'!AE90</f>
        <v>0</v>
      </c>
      <c r="AL90" s="14">
        <f>'A) Base RI'!AF90</f>
        <v>0</v>
      </c>
      <c r="AM90" s="14">
        <f>'A) Base RI'!AG90</f>
        <v>0</v>
      </c>
      <c r="AN90" s="14">
        <f>'A) Base RI'!AH90</f>
        <v>0</v>
      </c>
      <c r="AO90" s="14">
        <f>'A) Base RI'!AI90</f>
        <v>0</v>
      </c>
      <c r="AP90" s="14">
        <f>'A) Base RI'!AJ90</f>
        <v>0</v>
      </c>
      <c r="AQ90" s="14">
        <f>'A) Base RI'!AK90</f>
        <v>0</v>
      </c>
      <c r="AR90" s="14">
        <f>'A) Base RI'!AN90</f>
        <v>265</v>
      </c>
    </row>
    <row r="91" spans="1:44" x14ac:dyDescent="0.25">
      <c r="A91" s="12">
        <f>'A) Base RI'!A91</f>
        <v>5535</v>
      </c>
      <c r="B91" s="42" t="str">
        <f>'A) Base RI'!B91</f>
        <v>Saint-Barthélemy</v>
      </c>
      <c r="C91" s="14">
        <f>'A) Base RI'!C91+'A) Base RI'!D91</f>
        <v>1458849.76</v>
      </c>
      <c r="D91" s="14">
        <f>'A) Base RI'!AO91</f>
        <v>-20405.38</v>
      </c>
      <c r="E91" s="41">
        <f>'A) Base RI'!AP91</f>
        <v>0</v>
      </c>
      <c r="F91" s="41">
        <f>'A) Base RI'!AQ91</f>
        <v>-2.87</v>
      </c>
      <c r="G91" s="4">
        <f t="shared" si="6"/>
        <v>1438441.51</v>
      </c>
      <c r="H91" s="14">
        <f>'A) Base RI'!E91</f>
        <v>0</v>
      </c>
      <c r="I91" s="14">
        <f>'A) Base RI'!F91</f>
        <v>0</v>
      </c>
      <c r="J91" s="14">
        <f>'A) Base RI'!G91+'A) Base RI'!H91</f>
        <v>28080</v>
      </c>
      <c r="K91" s="14">
        <f>'A) Base RI'!I91</f>
        <v>0</v>
      </c>
      <c r="L91" s="14">
        <f>'A) Base RI'!J91</f>
        <v>26060.87</v>
      </c>
      <c r="M91" s="14">
        <f>'A) Base RI'!K91</f>
        <v>1149</v>
      </c>
      <c r="N91" s="14">
        <f>'A) Base RI'!Q91</f>
        <v>2026.4</v>
      </c>
      <c r="O91" s="14">
        <f t="shared" si="7"/>
        <v>128200.7</v>
      </c>
      <c r="P91" s="14">
        <f>'A) Base RI'!L91</f>
        <v>128200.7</v>
      </c>
      <c r="Q91" s="44">
        <f>'A) Base RI'!AR91</f>
        <v>1</v>
      </c>
      <c r="R91" s="4">
        <f t="shared" si="8"/>
        <v>1623958.48</v>
      </c>
      <c r="S91" s="43">
        <f>'A) Base RI'!AM91</f>
        <v>75</v>
      </c>
      <c r="T91" s="4">
        <f t="shared" si="9"/>
        <v>1494608.78</v>
      </c>
      <c r="U91" s="4">
        <f t="shared" si="10"/>
        <v>21652.779733333333</v>
      </c>
      <c r="V91" s="14">
        <f>'A) Base RI'!O91</f>
        <v>0</v>
      </c>
      <c r="W91" s="14">
        <f>'A) Base RI'!P91</f>
        <v>29535</v>
      </c>
      <c r="X91" s="14">
        <f>'A) Base RI'!R91</f>
        <v>-14836.8</v>
      </c>
      <c r="Y91" s="4">
        <f t="shared" si="11"/>
        <v>14698.2</v>
      </c>
      <c r="Z91" s="14">
        <f>'A) Base RI'!N91</f>
        <v>24150.85</v>
      </c>
      <c r="AA91" s="14">
        <f>'A) Base RI'!S91+'A) Base RI'!T91</f>
        <v>842.5</v>
      </c>
      <c r="AB91" s="14">
        <f>'A) Base RI'!U91</f>
        <v>6450</v>
      </c>
      <c r="AC91" s="14">
        <f>'A) Base RI'!V91</f>
        <v>0</v>
      </c>
      <c r="AD91" s="14">
        <f>'A) Base RI'!W91</f>
        <v>0</v>
      </c>
      <c r="AE91" s="14">
        <f>'A) Base RI'!Y91</f>
        <v>12000</v>
      </c>
      <c r="AF91" s="14">
        <f>'A) Base RI'!Z91</f>
        <v>0</v>
      </c>
      <c r="AG91" s="14">
        <f>'A) Base RI'!AA91</f>
        <v>88124</v>
      </c>
      <c r="AH91" s="14">
        <f>'A) Base RI'!AB91</f>
        <v>0</v>
      </c>
      <c r="AI91" s="14">
        <f>'A) Base RI'!AC91</f>
        <v>42283.8</v>
      </c>
      <c r="AJ91" s="14">
        <f>'A) Base RI'!AD91</f>
        <v>3200</v>
      </c>
      <c r="AK91" s="14">
        <f>'A) Base RI'!AE91</f>
        <v>0</v>
      </c>
      <c r="AL91" s="14">
        <f>'A) Base RI'!AF91</f>
        <v>0</v>
      </c>
      <c r="AM91" s="14">
        <f>'A) Base RI'!AG91</f>
        <v>0</v>
      </c>
      <c r="AN91" s="14">
        <f>'A) Base RI'!AH91</f>
        <v>0</v>
      </c>
      <c r="AO91" s="14">
        <f>'A) Base RI'!AI91</f>
        <v>0</v>
      </c>
      <c r="AP91" s="14">
        <f>'A) Base RI'!AJ91</f>
        <v>0</v>
      </c>
      <c r="AQ91" s="14">
        <f>'A) Base RI'!AK91</f>
        <v>0</v>
      </c>
      <c r="AR91" s="14">
        <f>'A) Base RI'!AN91</f>
        <v>782</v>
      </c>
    </row>
    <row r="92" spans="1:44" x14ac:dyDescent="0.25">
      <c r="A92" s="12">
        <f>'A) Base RI'!A92</f>
        <v>5537</v>
      </c>
      <c r="B92" s="42" t="str">
        <f>'A) Base RI'!B92</f>
        <v>Villars-le-Terroir</v>
      </c>
      <c r="C92" s="14">
        <f>'A) Base RI'!C92+'A) Base RI'!D92</f>
        <v>1863564.44</v>
      </c>
      <c r="D92" s="14">
        <f>'A) Base RI'!AO92</f>
        <v>-5302.52</v>
      </c>
      <c r="E92" s="41">
        <f>'A) Base RI'!AP92</f>
        <v>0</v>
      </c>
      <c r="F92" s="41">
        <f>'A) Base RI'!AQ92</f>
        <v>-57.83</v>
      </c>
      <c r="G92" s="4">
        <f t="shared" si="6"/>
        <v>1858204.0899999999</v>
      </c>
      <c r="H92" s="14">
        <f>'A) Base RI'!E92</f>
        <v>0</v>
      </c>
      <c r="I92" s="14">
        <f>'A) Base RI'!F92</f>
        <v>5354.75</v>
      </c>
      <c r="J92" s="14">
        <f>'A) Base RI'!G92+'A) Base RI'!H92</f>
        <v>11497.25</v>
      </c>
      <c r="K92" s="14">
        <f>'A) Base RI'!I92</f>
        <v>0</v>
      </c>
      <c r="L92" s="14">
        <f>'A) Base RI'!J92</f>
        <v>7165.56</v>
      </c>
      <c r="M92" s="14">
        <f>'A) Base RI'!K92</f>
        <v>739.5</v>
      </c>
      <c r="N92" s="14">
        <f>'A) Base RI'!Q92</f>
        <v>1397.55</v>
      </c>
      <c r="O92" s="14">
        <f t="shared" si="7"/>
        <v>172907.5</v>
      </c>
      <c r="P92" s="14">
        <f>'A) Base RI'!L92</f>
        <v>138326</v>
      </c>
      <c r="Q92" s="44">
        <f>'A) Base RI'!AR92</f>
        <v>0.8</v>
      </c>
      <c r="R92" s="4">
        <f t="shared" si="8"/>
        <v>2057266.2</v>
      </c>
      <c r="S92" s="43">
        <f>'A) Base RI'!AM92</f>
        <v>73</v>
      </c>
      <c r="T92" s="4">
        <f t="shared" si="9"/>
        <v>1878264.45</v>
      </c>
      <c r="U92" s="4">
        <f t="shared" si="10"/>
        <v>28181.728767123288</v>
      </c>
      <c r="V92" s="14">
        <f>'A) Base RI'!O92</f>
        <v>15160.6</v>
      </c>
      <c r="W92" s="14">
        <f>'A) Base RI'!P92</f>
        <v>32420</v>
      </c>
      <c r="X92" s="14">
        <f>'A) Base RI'!R92</f>
        <v>65797.2</v>
      </c>
      <c r="Y92" s="4">
        <f t="shared" si="11"/>
        <v>113377.79999999999</v>
      </c>
      <c r="Z92" s="14">
        <f>'A) Base RI'!N92</f>
        <v>0</v>
      </c>
      <c r="AA92" s="14">
        <f>'A) Base RI'!S92+'A) Base RI'!T92</f>
        <v>1125</v>
      </c>
      <c r="AB92" s="14">
        <f>'A) Base RI'!U92</f>
        <v>4400</v>
      </c>
      <c r="AC92" s="14">
        <f>'A) Base RI'!V92</f>
        <v>495</v>
      </c>
      <c r="AD92" s="14">
        <f>'A) Base RI'!W92</f>
        <v>0</v>
      </c>
      <c r="AE92" s="14">
        <f>'A) Base RI'!Y92</f>
        <v>23142.65</v>
      </c>
      <c r="AF92" s="14">
        <f>'A) Base RI'!Z92</f>
        <v>0</v>
      </c>
      <c r="AG92" s="14">
        <f>'A) Base RI'!AA92</f>
        <v>193629.05</v>
      </c>
      <c r="AH92" s="14">
        <f>'A) Base RI'!AB92</f>
        <v>0</v>
      </c>
      <c r="AI92" s="14">
        <f>'A) Base RI'!AC92</f>
        <v>107834.57</v>
      </c>
      <c r="AJ92" s="14">
        <f>'A) Base RI'!AD92</f>
        <v>23939.93</v>
      </c>
      <c r="AK92" s="14">
        <f>'A) Base RI'!AE92</f>
        <v>0</v>
      </c>
      <c r="AL92" s="14">
        <f>'A) Base RI'!AF92</f>
        <v>0</v>
      </c>
      <c r="AM92" s="14">
        <f>'A) Base RI'!AG92</f>
        <v>0</v>
      </c>
      <c r="AN92" s="14">
        <f>'A) Base RI'!AH92</f>
        <v>0</v>
      </c>
      <c r="AO92" s="14">
        <f>'A) Base RI'!AI92</f>
        <v>0</v>
      </c>
      <c r="AP92" s="14">
        <f>'A) Base RI'!AJ92</f>
        <v>0</v>
      </c>
      <c r="AQ92" s="14">
        <f>'A) Base RI'!AK92</f>
        <v>0</v>
      </c>
      <c r="AR92" s="14">
        <f>'A) Base RI'!AN92</f>
        <v>1033</v>
      </c>
    </row>
    <row r="93" spans="1:44" x14ac:dyDescent="0.25">
      <c r="A93" s="12">
        <f>'A) Base RI'!A93</f>
        <v>5539</v>
      </c>
      <c r="B93" s="42" t="str">
        <f>'A) Base RI'!B93</f>
        <v>Vuarrens</v>
      </c>
      <c r="C93" s="14">
        <f>'A) Base RI'!C93+'A) Base RI'!D93</f>
        <v>1518378.05</v>
      </c>
      <c r="D93" s="14">
        <f>'A) Base RI'!AO93</f>
        <v>-27148.42</v>
      </c>
      <c r="E93" s="41">
        <f>'A) Base RI'!AP93</f>
        <v>0</v>
      </c>
      <c r="F93" s="41">
        <f>'A) Base RI'!AQ93</f>
        <v>-34.090000000000003</v>
      </c>
      <c r="G93" s="4">
        <f t="shared" si="6"/>
        <v>1491195.54</v>
      </c>
      <c r="H93" s="14">
        <f>'A) Base RI'!E93</f>
        <v>0</v>
      </c>
      <c r="I93" s="14">
        <f>'A) Base RI'!F93</f>
        <v>0</v>
      </c>
      <c r="J93" s="14">
        <f>'A) Base RI'!G93+'A) Base RI'!H93</f>
        <v>54990.950000000004</v>
      </c>
      <c r="K93" s="14">
        <f>'A) Base RI'!I93</f>
        <v>0</v>
      </c>
      <c r="L93" s="14">
        <f>'A) Base RI'!J93</f>
        <v>5927.78</v>
      </c>
      <c r="M93" s="14">
        <f>'A) Base RI'!K93</f>
        <v>1503</v>
      </c>
      <c r="N93" s="14">
        <f>'A) Base RI'!Q93</f>
        <v>-4652.3</v>
      </c>
      <c r="O93" s="14">
        <f t="shared" si="7"/>
        <v>157747.99999999997</v>
      </c>
      <c r="P93" s="14">
        <f>'A) Base RI'!L93</f>
        <v>126198.39999999999</v>
      </c>
      <c r="Q93" s="44">
        <f>'A) Base RI'!AR93</f>
        <v>0.8</v>
      </c>
      <c r="R93" s="4">
        <f t="shared" si="8"/>
        <v>1706712.97</v>
      </c>
      <c r="S93" s="43">
        <f>'A) Base RI'!AM93</f>
        <v>75</v>
      </c>
      <c r="T93" s="4">
        <f t="shared" si="9"/>
        <v>1547461.97</v>
      </c>
      <c r="U93" s="4">
        <f t="shared" si="10"/>
        <v>22756.172933333331</v>
      </c>
      <c r="V93" s="14">
        <f>'A) Base RI'!O93</f>
        <v>0</v>
      </c>
      <c r="W93" s="14">
        <f>'A) Base RI'!P93</f>
        <v>42858.2</v>
      </c>
      <c r="X93" s="14">
        <f>'A) Base RI'!R93</f>
        <v>54661.45</v>
      </c>
      <c r="Y93" s="4">
        <f t="shared" si="11"/>
        <v>97519.65</v>
      </c>
      <c r="Z93" s="14">
        <f>'A) Base RI'!N93</f>
        <v>25545.599999999999</v>
      </c>
      <c r="AA93" s="14">
        <f>'A) Base RI'!S93+'A) Base RI'!T93</f>
        <v>125</v>
      </c>
      <c r="AB93" s="14">
        <f>'A) Base RI'!U93</f>
        <v>5975</v>
      </c>
      <c r="AC93" s="14">
        <f>'A) Base RI'!V93</f>
        <v>0</v>
      </c>
      <c r="AD93" s="14">
        <f>'A) Base RI'!W93</f>
        <v>0</v>
      </c>
      <c r="AE93" s="14">
        <f>'A) Base RI'!Y93</f>
        <v>47125.35</v>
      </c>
      <c r="AF93" s="14">
        <f>'A) Base RI'!Z93</f>
        <v>0</v>
      </c>
      <c r="AG93" s="14">
        <f>'A) Base RI'!AA93</f>
        <v>293539.90000000002</v>
      </c>
      <c r="AH93" s="14">
        <f>'A) Base RI'!AB93</f>
        <v>0</v>
      </c>
      <c r="AI93" s="14">
        <f>'A) Base RI'!AC93</f>
        <v>57410</v>
      </c>
      <c r="AJ93" s="14">
        <f>'A) Base RI'!AD93</f>
        <v>29532</v>
      </c>
      <c r="AK93" s="14">
        <f>'A) Base RI'!AE93</f>
        <v>0</v>
      </c>
      <c r="AL93" s="14">
        <f>'A) Base RI'!AF93</f>
        <v>0</v>
      </c>
      <c r="AM93" s="14">
        <f>'A) Base RI'!AG93</f>
        <v>0</v>
      </c>
      <c r="AN93" s="14">
        <f>'A) Base RI'!AH93</f>
        <v>20008</v>
      </c>
      <c r="AO93" s="14">
        <f>'A) Base RI'!AI93</f>
        <v>0</v>
      </c>
      <c r="AP93" s="14">
        <f>'A) Base RI'!AJ93</f>
        <v>0</v>
      </c>
      <c r="AQ93" s="14">
        <f>'A) Base RI'!AK93</f>
        <v>0</v>
      </c>
      <c r="AR93" s="14">
        <f>'A) Base RI'!AN93</f>
        <v>935</v>
      </c>
    </row>
    <row r="94" spans="1:44" x14ac:dyDescent="0.25">
      <c r="A94" s="12">
        <f>'A) Base RI'!A94</f>
        <v>5540</v>
      </c>
      <c r="B94" s="42" t="str">
        <f>'A) Base RI'!B94</f>
        <v>Montilliez</v>
      </c>
      <c r="C94" s="14">
        <f>'A) Base RI'!C94+'A) Base RI'!D94</f>
        <v>3071713.7199999997</v>
      </c>
      <c r="D94" s="14">
        <f>'A) Base RI'!AO94</f>
        <v>-80490.399999999994</v>
      </c>
      <c r="E94" s="41">
        <f>'A) Base RI'!AP94</f>
        <v>-8946.2999999999993</v>
      </c>
      <c r="F94" s="41">
        <f>'A) Base RI'!AQ94</f>
        <v>-75.56</v>
      </c>
      <c r="G94" s="4">
        <f t="shared" si="6"/>
        <v>2982201.46</v>
      </c>
      <c r="H94" s="14">
        <f>'A) Base RI'!E94</f>
        <v>0</v>
      </c>
      <c r="I94" s="14">
        <f>'A) Base RI'!F94</f>
        <v>0</v>
      </c>
      <c r="J94" s="14">
        <f>'A) Base RI'!G94+'A) Base RI'!H94</f>
        <v>124270.15000000001</v>
      </c>
      <c r="K94" s="14">
        <f>'A) Base RI'!I94</f>
        <v>0</v>
      </c>
      <c r="L94" s="14">
        <f>'A) Base RI'!J94</f>
        <v>62616.4</v>
      </c>
      <c r="M94" s="14">
        <f>'A) Base RI'!K94</f>
        <v>4388.5</v>
      </c>
      <c r="N94" s="14">
        <f>'A) Base RI'!Q94</f>
        <v>34786.92</v>
      </c>
      <c r="O94" s="14">
        <f t="shared" si="7"/>
        <v>284482.1875</v>
      </c>
      <c r="P94" s="14">
        <f>'A) Base RI'!L94</f>
        <v>227585.75</v>
      </c>
      <c r="Q94" s="44">
        <f>'A) Base RI'!AR94</f>
        <v>0.8</v>
      </c>
      <c r="R94" s="4">
        <f t="shared" si="8"/>
        <v>3492745.6174999997</v>
      </c>
      <c r="S94" s="43">
        <f>'A) Base RI'!AM94</f>
        <v>74</v>
      </c>
      <c r="T94" s="4">
        <f t="shared" si="9"/>
        <v>3203874.9299999997</v>
      </c>
      <c r="U94" s="4">
        <f t="shared" si="10"/>
        <v>47199.265101351346</v>
      </c>
      <c r="V94" s="14">
        <f>'A) Base RI'!O94</f>
        <v>66326.600000000006</v>
      </c>
      <c r="W94" s="14">
        <f>'A) Base RI'!P94</f>
        <v>82952.2</v>
      </c>
      <c r="X94" s="14">
        <f>'A) Base RI'!R94</f>
        <v>55756</v>
      </c>
      <c r="Y94" s="4">
        <f t="shared" si="11"/>
        <v>205034.8</v>
      </c>
      <c r="Z94" s="14">
        <f>'A) Base RI'!N94</f>
        <v>5316.15</v>
      </c>
      <c r="AA94" s="14">
        <f>'A) Base RI'!S94+'A) Base RI'!T94</f>
        <v>1225</v>
      </c>
      <c r="AB94" s="14">
        <f>'A) Base RI'!U94</f>
        <v>11300</v>
      </c>
      <c r="AC94" s="14">
        <f>'A) Base RI'!V94</f>
        <v>0</v>
      </c>
      <c r="AD94" s="14">
        <f>'A) Base RI'!W94</f>
        <v>0</v>
      </c>
      <c r="AE94" s="14">
        <f>'A) Base RI'!Y94</f>
        <v>5200</v>
      </c>
      <c r="AF94" s="14">
        <f>'A) Base RI'!Z94</f>
        <v>0</v>
      </c>
      <c r="AG94" s="14">
        <f>'A) Base RI'!AA94</f>
        <v>146402.6</v>
      </c>
      <c r="AH94" s="14">
        <f>'A) Base RI'!AB94</f>
        <v>0</v>
      </c>
      <c r="AI94" s="14">
        <f>'A) Base RI'!AC94</f>
        <v>112199.4</v>
      </c>
      <c r="AJ94" s="14">
        <f>'A) Base RI'!AD94</f>
        <v>3724.95</v>
      </c>
      <c r="AK94" s="14">
        <f>'A) Base RI'!AE94</f>
        <v>0</v>
      </c>
      <c r="AL94" s="14">
        <f>'A) Base RI'!AF94</f>
        <v>0</v>
      </c>
      <c r="AM94" s="14">
        <f>'A) Base RI'!AG94</f>
        <v>0</v>
      </c>
      <c r="AN94" s="14">
        <f>'A) Base RI'!AH94</f>
        <v>0</v>
      </c>
      <c r="AO94" s="14">
        <f>'A) Base RI'!AI94</f>
        <v>0</v>
      </c>
      <c r="AP94" s="14">
        <f>'A) Base RI'!AJ94</f>
        <v>0</v>
      </c>
      <c r="AQ94" s="14">
        <f>'A) Base RI'!AK94</f>
        <v>0</v>
      </c>
      <c r="AR94" s="14">
        <f>'A) Base RI'!AN94</f>
        <v>1656</v>
      </c>
    </row>
    <row r="95" spans="1:44" x14ac:dyDescent="0.25">
      <c r="A95" s="12">
        <f>'A) Base RI'!A95</f>
        <v>5541</v>
      </c>
      <c r="B95" s="42" t="str">
        <f>'A) Base RI'!B95</f>
        <v>Goumoëns</v>
      </c>
      <c r="C95" s="14">
        <f>'A) Base RI'!C95+'A) Base RI'!D95</f>
        <v>2431292.7400000002</v>
      </c>
      <c r="D95" s="14">
        <f>'A) Base RI'!AO95</f>
        <v>-44804.53</v>
      </c>
      <c r="E95" s="41">
        <f>'A) Base RI'!AP95</f>
        <v>-20802.150000000001</v>
      </c>
      <c r="F95" s="41">
        <f>'A) Base RI'!AQ95</f>
        <v>-1.18</v>
      </c>
      <c r="G95" s="4">
        <f t="shared" si="6"/>
        <v>2365684.8800000004</v>
      </c>
      <c r="H95" s="14">
        <f>'A) Base RI'!E95</f>
        <v>0</v>
      </c>
      <c r="I95" s="14">
        <f>'A) Base RI'!F95</f>
        <v>0</v>
      </c>
      <c r="J95" s="14">
        <f>'A) Base RI'!G95+'A) Base RI'!H95</f>
        <v>174694.05</v>
      </c>
      <c r="K95" s="14">
        <f>'A) Base RI'!I95</f>
        <v>0</v>
      </c>
      <c r="L95" s="14">
        <f>'A) Base RI'!J95</f>
        <v>35728.639999999999</v>
      </c>
      <c r="M95" s="14">
        <f>'A) Base RI'!K95</f>
        <v>1571.5</v>
      </c>
      <c r="N95" s="14">
        <f>'A) Base RI'!Q95</f>
        <v>196.74</v>
      </c>
      <c r="O95" s="14">
        <f t="shared" si="7"/>
        <v>163916.35</v>
      </c>
      <c r="P95" s="14">
        <f>'A) Base RI'!L95</f>
        <v>163916.35</v>
      </c>
      <c r="Q95" s="44">
        <f>'A) Base RI'!AR95</f>
        <v>1</v>
      </c>
      <c r="R95" s="4">
        <f t="shared" si="8"/>
        <v>2741792.1600000006</v>
      </c>
      <c r="S95" s="43">
        <f>'A) Base RI'!AM95</f>
        <v>77</v>
      </c>
      <c r="T95" s="4">
        <f t="shared" si="9"/>
        <v>2576304.3100000005</v>
      </c>
      <c r="U95" s="4">
        <f t="shared" si="10"/>
        <v>35607.690389610398</v>
      </c>
      <c r="V95" s="14">
        <f>'A) Base RI'!O95</f>
        <v>13085.2</v>
      </c>
      <c r="W95" s="14">
        <f>'A) Base RI'!P95</f>
        <v>76253.75</v>
      </c>
      <c r="X95" s="14">
        <f>'A) Base RI'!R95</f>
        <v>32912.85</v>
      </c>
      <c r="Y95" s="4">
        <f t="shared" si="11"/>
        <v>122251.79999999999</v>
      </c>
      <c r="Z95" s="14">
        <f>'A) Base RI'!N95</f>
        <v>11381.55</v>
      </c>
      <c r="AA95" s="14">
        <f>'A) Base RI'!S95+'A) Base RI'!T95</f>
        <v>0</v>
      </c>
      <c r="AB95" s="14">
        <f>'A) Base RI'!U95</f>
        <v>7050</v>
      </c>
      <c r="AC95" s="14">
        <f>'A) Base RI'!V95</f>
        <v>0</v>
      </c>
      <c r="AD95" s="14">
        <f>'A) Base RI'!W95</f>
        <v>0</v>
      </c>
      <c r="AE95" s="14">
        <f>'A) Base RI'!Y95</f>
        <v>19145</v>
      </c>
      <c r="AF95" s="14">
        <f>'A) Base RI'!Z95</f>
        <v>0</v>
      </c>
      <c r="AG95" s="14">
        <f>'A) Base RI'!AA95</f>
        <v>57253.95</v>
      </c>
      <c r="AH95" s="14">
        <f>'A) Base RI'!AB95</f>
        <v>0</v>
      </c>
      <c r="AI95" s="14">
        <f>'A) Base RI'!AC95</f>
        <v>70552.5</v>
      </c>
      <c r="AJ95" s="14">
        <f>'A) Base RI'!AD95</f>
        <v>15029.7</v>
      </c>
      <c r="AK95" s="14">
        <f>'A) Base RI'!AE95</f>
        <v>0</v>
      </c>
      <c r="AL95" s="14">
        <f>'A) Base RI'!AF95</f>
        <v>0</v>
      </c>
      <c r="AM95" s="14">
        <f>'A) Base RI'!AG95</f>
        <v>0</v>
      </c>
      <c r="AN95" s="14">
        <f>'A) Base RI'!AH95</f>
        <v>0</v>
      </c>
      <c r="AO95" s="14">
        <f>'A) Base RI'!AI95</f>
        <v>0</v>
      </c>
      <c r="AP95" s="14">
        <f>'A) Base RI'!AJ95</f>
        <v>0</v>
      </c>
      <c r="AQ95" s="14">
        <f>'A) Base RI'!AK95</f>
        <v>0</v>
      </c>
      <c r="AR95" s="14">
        <f>'A) Base RI'!AN95</f>
        <v>1055</v>
      </c>
    </row>
    <row r="96" spans="1:44" x14ac:dyDescent="0.25">
      <c r="A96" s="12">
        <f>'A) Base RI'!A96</f>
        <v>5551</v>
      </c>
      <c r="B96" s="42" t="str">
        <f>'A) Base RI'!B96</f>
        <v>Bonvillars</v>
      </c>
      <c r="C96" s="14">
        <f>'A) Base RI'!C96+'A) Base RI'!D96</f>
        <v>759215.59000000008</v>
      </c>
      <c r="D96" s="14">
        <f>'A) Base RI'!AO96</f>
        <v>-1577.41</v>
      </c>
      <c r="E96" s="41">
        <f>'A) Base RI'!AP96</f>
        <v>0</v>
      </c>
      <c r="F96" s="41">
        <f>'A) Base RI'!AQ96</f>
        <v>-525.79</v>
      </c>
      <c r="G96" s="4">
        <f t="shared" si="6"/>
        <v>757112.39</v>
      </c>
      <c r="H96" s="14">
        <f>'A) Base RI'!E96</f>
        <v>0</v>
      </c>
      <c r="I96" s="14">
        <f>'A) Base RI'!F96</f>
        <v>0</v>
      </c>
      <c r="J96" s="14">
        <f>'A) Base RI'!G96+'A) Base RI'!H96</f>
        <v>9861.7000000000007</v>
      </c>
      <c r="K96" s="14">
        <f>'A) Base RI'!I96</f>
        <v>0</v>
      </c>
      <c r="L96" s="14">
        <f>'A) Base RI'!J96</f>
        <v>19070.64</v>
      </c>
      <c r="M96" s="14">
        <f>'A) Base RI'!K96</f>
        <v>4464.8999999999996</v>
      </c>
      <c r="N96" s="14">
        <f>'A) Base RI'!Q96</f>
        <v>0</v>
      </c>
      <c r="O96" s="14">
        <f t="shared" si="7"/>
        <v>88854.071428571435</v>
      </c>
      <c r="P96" s="14">
        <f>'A) Base RI'!L96</f>
        <v>62197.85</v>
      </c>
      <c r="Q96" s="44">
        <f>'A) Base RI'!AR96</f>
        <v>0.7</v>
      </c>
      <c r="R96" s="4">
        <f t="shared" si="8"/>
        <v>879363.70142857148</v>
      </c>
      <c r="S96" s="43">
        <f>'A) Base RI'!AM96</f>
        <v>55</v>
      </c>
      <c r="T96" s="4">
        <f t="shared" si="9"/>
        <v>786044.73</v>
      </c>
      <c r="U96" s="4">
        <f t="shared" si="10"/>
        <v>15988.430935064936</v>
      </c>
      <c r="V96" s="14">
        <f>'A) Base RI'!O96</f>
        <v>5715</v>
      </c>
      <c r="W96" s="14">
        <f>'A) Base RI'!P96</f>
        <v>11699.75</v>
      </c>
      <c r="X96" s="14">
        <f>'A) Base RI'!R96</f>
        <v>19773.900000000001</v>
      </c>
      <c r="Y96" s="4">
        <f t="shared" si="11"/>
        <v>37188.65</v>
      </c>
      <c r="Z96" s="14">
        <f>'A) Base RI'!N96</f>
        <v>7693.2</v>
      </c>
      <c r="AA96" s="14">
        <f>'A) Base RI'!S96+'A) Base RI'!T96</f>
        <v>0</v>
      </c>
      <c r="AB96" s="14">
        <f>'A) Base RI'!U96</f>
        <v>1675</v>
      </c>
      <c r="AC96" s="14">
        <f>'A) Base RI'!V96</f>
        <v>0</v>
      </c>
      <c r="AD96" s="14">
        <f>'A) Base RI'!W96</f>
        <v>0</v>
      </c>
      <c r="AE96" s="14">
        <f>'A) Base RI'!Y96</f>
        <v>0</v>
      </c>
      <c r="AF96" s="14">
        <f>'A) Base RI'!Z96</f>
        <v>1872</v>
      </c>
      <c r="AG96" s="14">
        <f>'A) Base RI'!AA96</f>
        <v>76092.3</v>
      </c>
      <c r="AH96" s="14">
        <f>'A) Base RI'!AB96</f>
        <v>0</v>
      </c>
      <c r="AI96" s="14">
        <f>'A) Base RI'!AC96</f>
        <v>25122.9</v>
      </c>
      <c r="AJ96" s="14">
        <f>'A) Base RI'!AD96</f>
        <v>19380</v>
      </c>
      <c r="AK96" s="14">
        <f>'A) Base RI'!AE96</f>
        <v>0</v>
      </c>
      <c r="AL96" s="14">
        <f>'A) Base RI'!AF96</f>
        <v>0</v>
      </c>
      <c r="AM96" s="14">
        <f>'A) Base RI'!AG96</f>
        <v>1960</v>
      </c>
      <c r="AN96" s="14">
        <f>'A) Base RI'!AH96</f>
        <v>0</v>
      </c>
      <c r="AO96" s="14">
        <f>'A) Base RI'!AI96</f>
        <v>0</v>
      </c>
      <c r="AP96" s="14">
        <f>'A) Base RI'!AJ96</f>
        <v>0</v>
      </c>
      <c r="AQ96" s="14">
        <f>'A) Base RI'!AK96</f>
        <v>0</v>
      </c>
      <c r="AR96" s="14">
        <f>'A) Base RI'!AN96</f>
        <v>506</v>
      </c>
    </row>
    <row r="97" spans="1:44" x14ac:dyDescent="0.25">
      <c r="A97" s="12">
        <f>'A) Base RI'!A97</f>
        <v>5552</v>
      </c>
      <c r="B97" s="42" t="str">
        <f>'A) Base RI'!B97</f>
        <v>Bullet</v>
      </c>
      <c r="C97" s="14">
        <f>'A) Base RI'!C97+'A) Base RI'!D97</f>
        <v>969287.67</v>
      </c>
      <c r="D97" s="14">
        <f>'A) Base RI'!AO97</f>
        <v>-6461.98</v>
      </c>
      <c r="E97" s="41">
        <f>'A) Base RI'!AP97</f>
        <v>0</v>
      </c>
      <c r="F97" s="41">
        <f>'A) Base RI'!AQ97</f>
        <v>-7.75</v>
      </c>
      <c r="G97" s="4">
        <f t="shared" si="6"/>
        <v>962817.94000000006</v>
      </c>
      <c r="H97" s="14">
        <f>'A) Base RI'!E97</f>
        <v>0</v>
      </c>
      <c r="I97" s="14">
        <f>'A) Base RI'!F97</f>
        <v>0</v>
      </c>
      <c r="J97" s="14">
        <f>'A) Base RI'!G97+'A) Base RI'!H97</f>
        <v>2385.15</v>
      </c>
      <c r="K97" s="14">
        <f>'A) Base RI'!I97</f>
        <v>18371.55</v>
      </c>
      <c r="L97" s="14">
        <f>'A) Base RI'!J97</f>
        <v>-3517.36</v>
      </c>
      <c r="M97" s="14">
        <f>'A) Base RI'!K97</f>
        <v>1477</v>
      </c>
      <c r="N97" s="14">
        <f>'A) Base RI'!Q97</f>
        <v>0</v>
      </c>
      <c r="O97" s="14">
        <f t="shared" si="7"/>
        <v>105258.25</v>
      </c>
      <c r="P97" s="14">
        <f>'A) Base RI'!L97</f>
        <v>105258.25</v>
      </c>
      <c r="Q97" s="44">
        <f>'A) Base RI'!AR97</f>
        <v>1</v>
      </c>
      <c r="R97" s="4">
        <f t="shared" si="8"/>
        <v>1086792.5300000003</v>
      </c>
      <c r="S97" s="43">
        <f>'A) Base RI'!AM97</f>
        <v>70</v>
      </c>
      <c r="T97" s="4">
        <f t="shared" si="9"/>
        <v>980057.28000000014</v>
      </c>
      <c r="U97" s="4">
        <f t="shared" si="10"/>
        <v>15525.607571428574</v>
      </c>
      <c r="V97" s="14">
        <f>'A) Base RI'!O97</f>
        <v>128546.6</v>
      </c>
      <c r="W97" s="14">
        <f>'A) Base RI'!P97</f>
        <v>33532.699999999997</v>
      </c>
      <c r="X97" s="14">
        <f>'A) Base RI'!R97</f>
        <v>37771.15</v>
      </c>
      <c r="Y97" s="4">
        <f t="shared" si="11"/>
        <v>199850.44999999998</v>
      </c>
      <c r="Z97" s="14">
        <f>'A) Base RI'!N97</f>
        <v>49622.3</v>
      </c>
      <c r="AA97" s="14">
        <f>'A) Base RI'!S97+'A) Base RI'!T97</f>
        <v>1580</v>
      </c>
      <c r="AB97" s="14">
        <f>'A) Base RI'!U97</f>
        <v>5650</v>
      </c>
      <c r="AC97" s="14">
        <f>'A) Base RI'!V97</f>
        <v>0</v>
      </c>
      <c r="AD97" s="14">
        <f>'A) Base RI'!W97</f>
        <v>0</v>
      </c>
      <c r="AE97" s="14">
        <f>'A) Base RI'!Y97</f>
        <v>4500</v>
      </c>
      <c r="AF97" s="14">
        <f>'A) Base RI'!Z97</f>
        <v>0</v>
      </c>
      <c r="AG97" s="14">
        <f>'A) Base RI'!AA97</f>
        <v>109061</v>
      </c>
      <c r="AH97" s="14">
        <f>'A) Base RI'!AB97</f>
        <v>0</v>
      </c>
      <c r="AI97" s="14">
        <f>'A) Base RI'!AC97</f>
        <v>73352.45</v>
      </c>
      <c r="AJ97" s="14">
        <f>'A) Base RI'!AD97</f>
        <v>4390.25</v>
      </c>
      <c r="AK97" s="14">
        <f>'A) Base RI'!AE97</f>
        <v>0</v>
      </c>
      <c r="AL97" s="14">
        <f>'A) Base RI'!AF97</f>
        <v>0</v>
      </c>
      <c r="AM97" s="14">
        <f>'A) Base RI'!AG97</f>
        <v>61479.83</v>
      </c>
      <c r="AN97" s="14">
        <f>'A) Base RI'!AH97</f>
        <v>21411.45</v>
      </c>
      <c r="AO97" s="14">
        <f>'A) Base RI'!AI97</f>
        <v>0</v>
      </c>
      <c r="AP97" s="14">
        <f>'A) Base RI'!AJ97</f>
        <v>0</v>
      </c>
      <c r="AQ97" s="14">
        <f>'A) Base RI'!AK97</f>
        <v>0</v>
      </c>
      <c r="AR97" s="14">
        <f>'A) Base RI'!AN97</f>
        <v>606</v>
      </c>
    </row>
    <row r="98" spans="1:44" x14ac:dyDescent="0.25">
      <c r="A98" s="12">
        <f>'A) Base RI'!A98</f>
        <v>5553</v>
      </c>
      <c r="B98" s="42" t="str">
        <f>'A) Base RI'!B98</f>
        <v>Champagne</v>
      </c>
      <c r="C98" s="14">
        <f>'A) Base RI'!C98+'A) Base RI'!D98</f>
        <v>2483667.84</v>
      </c>
      <c r="D98" s="14">
        <f>'A) Base RI'!AO98</f>
        <v>-13846.22</v>
      </c>
      <c r="E98" s="41">
        <f>'A) Base RI'!AP98</f>
        <v>0</v>
      </c>
      <c r="F98" s="41">
        <f>'A) Base RI'!AQ98</f>
        <v>-801.77</v>
      </c>
      <c r="G98" s="4">
        <f t="shared" si="6"/>
        <v>2469019.8499999996</v>
      </c>
      <c r="H98" s="14">
        <f>'A) Base RI'!E98</f>
        <v>0</v>
      </c>
      <c r="I98" s="14">
        <f>'A) Base RI'!F98</f>
        <v>0</v>
      </c>
      <c r="J98" s="14">
        <f>'A) Base RI'!G98+'A) Base RI'!H98</f>
        <v>-32283</v>
      </c>
      <c r="K98" s="14">
        <f>'A) Base RI'!I98</f>
        <v>0</v>
      </c>
      <c r="L98" s="14">
        <f>'A) Base RI'!J98</f>
        <v>105556.78</v>
      </c>
      <c r="M98" s="14">
        <f>'A) Base RI'!K98</f>
        <v>13468.5</v>
      </c>
      <c r="N98" s="14">
        <f>'A) Base RI'!Q98</f>
        <v>0</v>
      </c>
      <c r="O98" s="14">
        <f t="shared" si="7"/>
        <v>180303.2</v>
      </c>
      <c r="P98" s="14">
        <f>'A) Base RI'!L98</f>
        <v>180303.2</v>
      </c>
      <c r="Q98" s="44">
        <f>'A) Base RI'!AR98</f>
        <v>1</v>
      </c>
      <c r="R98" s="4">
        <f t="shared" si="8"/>
        <v>2736065.3299999996</v>
      </c>
      <c r="S98" s="43">
        <f>'A) Base RI'!AM98</f>
        <v>63</v>
      </c>
      <c r="T98" s="4">
        <f t="shared" si="9"/>
        <v>2542293.6299999994</v>
      </c>
      <c r="U98" s="4">
        <f t="shared" si="10"/>
        <v>43429.608412698406</v>
      </c>
      <c r="V98" s="14">
        <f>'A) Base RI'!O98</f>
        <v>102500</v>
      </c>
      <c r="W98" s="14">
        <f>'A) Base RI'!P98</f>
        <v>81584.850000000006</v>
      </c>
      <c r="X98" s="14">
        <f>'A) Base RI'!R98</f>
        <v>51351.15</v>
      </c>
      <c r="Y98" s="4">
        <f t="shared" si="11"/>
        <v>235436</v>
      </c>
      <c r="Z98" s="14">
        <f>'A) Base RI'!N98</f>
        <v>111459.85</v>
      </c>
      <c r="AA98" s="14">
        <f>'A) Base RI'!S98+'A) Base RI'!T98</f>
        <v>62.5</v>
      </c>
      <c r="AB98" s="14">
        <f>'A) Base RI'!U98</f>
        <v>4750</v>
      </c>
      <c r="AC98" s="14">
        <f>'A) Base RI'!V98</f>
        <v>948</v>
      </c>
      <c r="AD98" s="14">
        <f>'A) Base RI'!W98</f>
        <v>0</v>
      </c>
      <c r="AE98" s="14">
        <f>'A) Base RI'!Y98</f>
        <v>124001</v>
      </c>
      <c r="AF98" s="14">
        <f>'A) Base RI'!Z98</f>
        <v>0</v>
      </c>
      <c r="AG98" s="14">
        <f>'A) Base RI'!AA98</f>
        <v>51535.5</v>
      </c>
      <c r="AH98" s="14">
        <f>'A) Base RI'!AB98</f>
        <v>0</v>
      </c>
      <c r="AI98" s="14">
        <f>'A) Base RI'!AC98</f>
        <v>47182.400000000001</v>
      </c>
      <c r="AJ98" s="14">
        <f>'A) Base RI'!AD98</f>
        <v>143304</v>
      </c>
      <c r="AK98" s="14">
        <f>'A) Base RI'!AE98</f>
        <v>0</v>
      </c>
      <c r="AL98" s="14">
        <f>'A) Base RI'!AF98</f>
        <v>0</v>
      </c>
      <c r="AM98" s="14">
        <f>'A) Base RI'!AG98</f>
        <v>0</v>
      </c>
      <c r="AN98" s="14">
        <f>'A) Base RI'!AH98</f>
        <v>0</v>
      </c>
      <c r="AO98" s="14">
        <f>'A) Base RI'!AI98</f>
        <v>0</v>
      </c>
      <c r="AP98" s="14">
        <f>'A) Base RI'!AJ98</f>
        <v>0</v>
      </c>
      <c r="AQ98" s="14">
        <f>'A) Base RI'!AK98</f>
        <v>0</v>
      </c>
      <c r="AR98" s="14">
        <f>'A) Base RI'!AN98</f>
        <v>1048</v>
      </c>
    </row>
    <row r="99" spans="1:44" x14ac:dyDescent="0.25">
      <c r="A99" s="12">
        <f>'A) Base RI'!A99</f>
        <v>5554</v>
      </c>
      <c r="B99" s="42" t="str">
        <f>'A) Base RI'!B99</f>
        <v>Concise</v>
      </c>
      <c r="C99" s="14">
        <f>'A) Base RI'!C99+'A) Base RI'!D99</f>
        <v>2027850.29</v>
      </c>
      <c r="D99" s="14">
        <f>'A) Base RI'!AO99</f>
        <v>-12247.26</v>
      </c>
      <c r="E99" s="41">
        <f>'A) Base RI'!AP99</f>
        <v>0</v>
      </c>
      <c r="F99" s="41">
        <f>'A) Base RI'!AQ99</f>
        <v>-1502.05</v>
      </c>
      <c r="G99" s="4">
        <f t="shared" si="6"/>
        <v>2014100.98</v>
      </c>
      <c r="H99" s="14">
        <f>'A) Base RI'!E99</f>
        <v>0</v>
      </c>
      <c r="I99" s="14">
        <f>'A) Base RI'!F99</f>
        <v>0</v>
      </c>
      <c r="J99" s="14">
        <f>'A) Base RI'!G99+'A) Base RI'!H99</f>
        <v>41791.199999999997</v>
      </c>
      <c r="K99" s="14">
        <f>'A) Base RI'!I99</f>
        <v>0</v>
      </c>
      <c r="L99" s="14">
        <f>'A) Base RI'!J99</f>
        <v>248.77</v>
      </c>
      <c r="M99" s="14">
        <f>'A) Base RI'!K99</f>
        <v>6209.5</v>
      </c>
      <c r="N99" s="14">
        <f>'A) Base RI'!Q99</f>
        <v>9731.92</v>
      </c>
      <c r="O99" s="14">
        <f t="shared" si="7"/>
        <v>154750.20000000001</v>
      </c>
      <c r="P99" s="14">
        <f>'A) Base RI'!L99</f>
        <v>154750.20000000001</v>
      </c>
      <c r="Q99" s="44">
        <f>'A) Base RI'!AR99</f>
        <v>1</v>
      </c>
      <c r="R99" s="4">
        <f t="shared" si="8"/>
        <v>2226832.5699999998</v>
      </c>
      <c r="S99" s="43">
        <f>'A) Base RI'!AM99</f>
        <v>75</v>
      </c>
      <c r="T99" s="4">
        <f t="shared" si="9"/>
        <v>2065872.8699999999</v>
      </c>
      <c r="U99" s="4">
        <f t="shared" si="10"/>
        <v>29691.100933333331</v>
      </c>
      <c r="V99" s="14">
        <f>'A) Base RI'!O99</f>
        <v>53138.8</v>
      </c>
      <c r="W99" s="14">
        <f>'A) Base RI'!P99</f>
        <v>164108.79999999999</v>
      </c>
      <c r="X99" s="14">
        <f>'A) Base RI'!R99</f>
        <v>65468.5</v>
      </c>
      <c r="Y99" s="4">
        <f t="shared" si="11"/>
        <v>282716.09999999998</v>
      </c>
      <c r="Z99" s="14">
        <f>'A) Base RI'!N99</f>
        <v>0</v>
      </c>
      <c r="AA99" s="14">
        <f>'A) Base RI'!S99+'A) Base RI'!T99</f>
        <v>0</v>
      </c>
      <c r="AB99" s="14">
        <f>'A) Base RI'!U99</f>
        <v>6150</v>
      </c>
      <c r="AC99" s="14">
        <f>'A) Base RI'!V99</f>
        <v>0</v>
      </c>
      <c r="AD99" s="14">
        <f>'A) Base RI'!W99</f>
        <v>0</v>
      </c>
      <c r="AE99" s="14">
        <f>'A) Base RI'!Y99</f>
        <v>0</v>
      </c>
      <c r="AF99" s="14">
        <f>'A) Base RI'!Z99</f>
        <v>0</v>
      </c>
      <c r="AG99" s="14">
        <f>'A) Base RI'!AA99</f>
        <v>108768</v>
      </c>
      <c r="AH99" s="14">
        <f>'A) Base RI'!AB99</f>
        <v>0</v>
      </c>
      <c r="AI99" s="14">
        <f>'A) Base RI'!AC99</f>
        <v>52118.2</v>
      </c>
      <c r="AJ99" s="14">
        <f>'A) Base RI'!AD99</f>
        <v>0</v>
      </c>
      <c r="AK99" s="14">
        <f>'A) Base RI'!AE99</f>
        <v>0</v>
      </c>
      <c r="AL99" s="14">
        <f>'A) Base RI'!AF99</f>
        <v>0</v>
      </c>
      <c r="AM99" s="14">
        <f>'A) Base RI'!AG99</f>
        <v>18908.8</v>
      </c>
      <c r="AN99" s="14">
        <f>'A) Base RI'!AH99</f>
        <v>28605.35</v>
      </c>
      <c r="AO99" s="14">
        <f>'A) Base RI'!AI99</f>
        <v>0</v>
      </c>
      <c r="AP99" s="14">
        <f>'A) Base RI'!AJ99</f>
        <v>0</v>
      </c>
      <c r="AQ99" s="14">
        <f>'A) Base RI'!AK99</f>
        <v>0</v>
      </c>
      <c r="AR99" s="14">
        <f>'A) Base RI'!AN99</f>
        <v>954</v>
      </c>
    </row>
    <row r="100" spans="1:44" x14ac:dyDescent="0.25">
      <c r="A100" s="12">
        <f>'A) Base RI'!A100</f>
        <v>5555</v>
      </c>
      <c r="B100" s="42" t="str">
        <f>'A) Base RI'!B100</f>
        <v>Corcelles-près-Concise</v>
      </c>
      <c r="C100" s="14">
        <f>'A) Base RI'!C100+'A) Base RI'!D100</f>
        <v>615129.77</v>
      </c>
      <c r="D100" s="14">
        <f>'A) Base RI'!AO100</f>
        <v>-1747.62</v>
      </c>
      <c r="E100" s="41">
        <f>'A) Base RI'!AP100</f>
        <v>0</v>
      </c>
      <c r="F100" s="41">
        <f>'A) Base RI'!AQ100</f>
        <v>-14.8</v>
      </c>
      <c r="G100" s="4">
        <f t="shared" si="6"/>
        <v>613367.35</v>
      </c>
      <c r="H100" s="14">
        <f>'A) Base RI'!E100</f>
        <v>0</v>
      </c>
      <c r="I100" s="14">
        <f>'A) Base RI'!F100</f>
        <v>0</v>
      </c>
      <c r="J100" s="14">
        <f>'A) Base RI'!G100+'A) Base RI'!H100</f>
        <v>3830.3500000000004</v>
      </c>
      <c r="K100" s="14">
        <f>'A) Base RI'!I100</f>
        <v>0</v>
      </c>
      <c r="L100" s="14">
        <f>'A) Base RI'!J100</f>
        <v>10669.61</v>
      </c>
      <c r="M100" s="14">
        <f>'A) Base RI'!K100</f>
        <v>1474.8</v>
      </c>
      <c r="N100" s="14">
        <f>'A) Base RI'!Q100</f>
        <v>555.95000000000005</v>
      </c>
      <c r="O100" s="14">
        <f t="shared" si="7"/>
        <v>63252.7</v>
      </c>
      <c r="P100" s="14">
        <f>'A) Base RI'!L100</f>
        <v>63252.7</v>
      </c>
      <c r="Q100" s="44">
        <f>'A) Base RI'!AR100</f>
        <v>1</v>
      </c>
      <c r="R100" s="4">
        <f t="shared" si="8"/>
        <v>693150.75999999989</v>
      </c>
      <c r="S100" s="43">
        <f>'A) Base RI'!AM100</f>
        <v>71</v>
      </c>
      <c r="T100" s="4">
        <f t="shared" si="9"/>
        <v>628423.25999999989</v>
      </c>
      <c r="U100" s="4">
        <f t="shared" si="10"/>
        <v>9762.6867605633779</v>
      </c>
      <c r="V100" s="14">
        <f>'A) Base RI'!O100</f>
        <v>0</v>
      </c>
      <c r="W100" s="14">
        <f>'A) Base RI'!P100</f>
        <v>32859.300000000003</v>
      </c>
      <c r="X100" s="14">
        <f>'A) Base RI'!R100</f>
        <v>34194.800000000003</v>
      </c>
      <c r="Y100" s="4">
        <f t="shared" si="11"/>
        <v>67054.100000000006</v>
      </c>
      <c r="Z100" s="14">
        <f>'A) Base RI'!N100</f>
        <v>10192.85</v>
      </c>
      <c r="AA100" s="14">
        <f>'A) Base RI'!S100+'A) Base RI'!T100</f>
        <v>0</v>
      </c>
      <c r="AB100" s="14">
        <f>'A) Base RI'!U100</f>
        <v>1200</v>
      </c>
      <c r="AC100" s="14">
        <f>'A) Base RI'!V100</f>
        <v>0</v>
      </c>
      <c r="AD100" s="14">
        <f>'A) Base RI'!W100</f>
        <v>0</v>
      </c>
      <c r="AE100" s="14">
        <f>'A) Base RI'!Y100</f>
        <v>2892</v>
      </c>
      <c r="AF100" s="14">
        <f>'A) Base RI'!Z100</f>
        <v>0</v>
      </c>
      <c r="AG100" s="14">
        <f>'A) Base RI'!AA100</f>
        <v>90423.7</v>
      </c>
      <c r="AH100" s="14">
        <f>'A) Base RI'!AB100</f>
        <v>0</v>
      </c>
      <c r="AI100" s="14">
        <f>'A) Base RI'!AC100</f>
        <v>17937.150000000001</v>
      </c>
      <c r="AJ100" s="14">
        <f>'A) Base RI'!AD100</f>
        <v>56782.45</v>
      </c>
      <c r="AK100" s="14">
        <f>'A) Base RI'!AE100</f>
        <v>0</v>
      </c>
      <c r="AL100" s="14">
        <f>'A) Base RI'!AF100</f>
        <v>0</v>
      </c>
      <c r="AM100" s="14">
        <f>'A) Base RI'!AG100</f>
        <v>10124.9</v>
      </c>
      <c r="AN100" s="14">
        <f>'A) Base RI'!AH100</f>
        <v>0</v>
      </c>
      <c r="AO100" s="14">
        <f>'A) Base RI'!AI100</f>
        <v>0</v>
      </c>
      <c r="AP100" s="14">
        <f>'A) Base RI'!AJ100</f>
        <v>0</v>
      </c>
      <c r="AQ100" s="14">
        <f>'A) Base RI'!AK100</f>
        <v>0</v>
      </c>
      <c r="AR100" s="14">
        <f>'A) Base RI'!AN100</f>
        <v>337</v>
      </c>
    </row>
    <row r="101" spans="1:44" x14ac:dyDescent="0.25">
      <c r="A101" s="12">
        <f>'A) Base RI'!A101</f>
        <v>5556</v>
      </c>
      <c r="B101" s="42" t="str">
        <f>'A) Base RI'!B101</f>
        <v>Fiez</v>
      </c>
      <c r="C101" s="14">
        <f>'A) Base RI'!C101+'A) Base RI'!D101</f>
        <v>656389.32999999996</v>
      </c>
      <c r="D101" s="14">
        <f>'A) Base RI'!AO101</f>
        <v>-3275.21</v>
      </c>
      <c r="E101" s="41">
        <f>'A) Base RI'!AP101</f>
        <v>0</v>
      </c>
      <c r="F101" s="41">
        <f>'A) Base RI'!AQ101</f>
        <v>0</v>
      </c>
      <c r="G101" s="4">
        <f t="shared" si="6"/>
        <v>653114.12</v>
      </c>
      <c r="H101" s="14">
        <f>'A) Base RI'!E101</f>
        <v>0</v>
      </c>
      <c r="I101" s="14">
        <f>'A) Base RI'!F101</f>
        <v>2170</v>
      </c>
      <c r="J101" s="14">
        <f>'A) Base RI'!G101+'A) Base RI'!H101</f>
        <v>17459.449999999997</v>
      </c>
      <c r="K101" s="14">
        <f>'A) Base RI'!I101</f>
        <v>0</v>
      </c>
      <c r="L101" s="14">
        <f>'A) Base RI'!J101</f>
        <v>11454.85</v>
      </c>
      <c r="M101" s="14">
        <f>'A) Base RI'!K101</f>
        <v>522</v>
      </c>
      <c r="N101" s="14">
        <f>'A) Base RI'!Q101</f>
        <v>1423.1</v>
      </c>
      <c r="O101" s="14">
        <f t="shared" si="7"/>
        <v>59051.791666666664</v>
      </c>
      <c r="P101" s="14">
        <f>'A) Base RI'!L101</f>
        <v>70862.149999999994</v>
      </c>
      <c r="Q101" s="44">
        <f>'A) Base RI'!AR101</f>
        <v>1.2</v>
      </c>
      <c r="R101" s="4">
        <f t="shared" si="8"/>
        <v>745195.31166666653</v>
      </c>
      <c r="S101" s="43">
        <f>'A) Base RI'!AM101</f>
        <v>69</v>
      </c>
      <c r="T101" s="4">
        <f t="shared" si="9"/>
        <v>683451.5199999999</v>
      </c>
      <c r="U101" s="4">
        <f t="shared" si="10"/>
        <v>10799.932053140095</v>
      </c>
      <c r="V101" s="14">
        <f>'A) Base RI'!O101</f>
        <v>2161.1999999999998</v>
      </c>
      <c r="W101" s="14">
        <f>'A) Base RI'!P101</f>
        <v>25701.5</v>
      </c>
      <c r="X101" s="14">
        <f>'A) Base RI'!R101</f>
        <v>13162.55</v>
      </c>
      <c r="Y101" s="4">
        <f t="shared" si="11"/>
        <v>41025.25</v>
      </c>
      <c r="Z101" s="14">
        <f>'A) Base RI'!N101</f>
        <v>11298.6</v>
      </c>
      <c r="AA101" s="14">
        <f>'A) Base RI'!S101+'A) Base RI'!T101</f>
        <v>200</v>
      </c>
      <c r="AB101" s="14">
        <f>'A) Base RI'!U101</f>
        <v>3290</v>
      </c>
      <c r="AC101" s="14">
        <f>'A) Base RI'!V101</f>
        <v>0</v>
      </c>
      <c r="AD101" s="14">
        <f>'A) Base RI'!W101</f>
        <v>0</v>
      </c>
      <c r="AE101" s="14">
        <f>'A) Base RI'!Y101</f>
        <v>26355</v>
      </c>
      <c r="AF101" s="14">
        <f>'A) Base RI'!Z101</f>
        <v>0</v>
      </c>
      <c r="AG101" s="14">
        <f>'A) Base RI'!AA101</f>
        <v>65923.149999999994</v>
      </c>
      <c r="AH101" s="14">
        <f>'A) Base RI'!AB101</f>
        <v>0</v>
      </c>
      <c r="AI101" s="14">
        <f>'A) Base RI'!AC101</f>
        <v>12173.55</v>
      </c>
      <c r="AJ101" s="14">
        <f>'A) Base RI'!AD101</f>
        <v>15480</v>
      </c>
      <c r="AK101" s="14">
        <f>'A) Base RI'!AE101</f>
        <v>0</v>
      </c>
      <c r="AL101" s="14">
        <f>'A) Base RI'!AF101</f>
        <v>0</v>
      </c>
      <c r="AM101" s="14">
        <f>'A) Base RI'!AG101</f>
        <v>1613.35</v>
      </c>
      <c r="AN101" s="14">
        <f>'A) Base RI'!AH101</f>
        <v>0</v>
      </c>
      <c r="AO101" s="14">
        <f>'A) Base RI'!AI101</f>
        <v>0</v>
      </c>
      <c r="AP101" s="14">
        <f>'A) Base RI'!AJ101</f>
        <v>0</v>
      </c>
      <c r="AQ101" s="14">
        <f>'A) Base RI'!AK101</f>
        <v>0</v>
      </c>
      <c r="AR101" s="14">
        <f>'A) Base RI'!AN101</f>
        <v>421</v>
      </c>
    </row>
    <row r="102" spans="1:44" x14ac:dyDescent="0.25">
      <c r="A102" s="12">
        <f>'A) Base RI'!A102</f>
        <v>5557</v>
      </c>
      <c r="B102" s="42" t="str">
        <f>'A) Base RI'!B102</f>
        <v>Fontaines-sur-Grandson</v>
      </c>
      <c r="C102" s="14">
        <f>'A) Base RI'!C102+'A) Base RI'!D102</f>
        <v>255878.31</v>
      </c>
      <c r="D102" s="14">
        <f>'A) Base RI'!AO102</f>
        <v>-4482.59</v>
      </c>
      <c r="E102" s="41">
        <f>'A) Base RI'!AP102</f>
        <v>0</v>
      </c>
      <c r="F102" s="41">
        <f>'A) Base RI'!AQ102</f>
        <v>0</v>
      </c>
      <c r="G102" s="4">
        <f t="shared" si="6"/>
        <v>251395.72</v>
      </c>
      <c r="H102" s="14">
        <f>'A) Base RI'!E102</f>
        <v>0</v>
      </c>
      <c r="I102" s="14">
        <f>'A) Base RI'!F102</f>
        <v>970</v>
      </c>
      <c r="J102" s="14">
        <f>'A) Base RI'!G102+'A) Base RI'!H102</f>
        <v>9349.9</v>
      </c>
      <c r="K102" s="14">
        <f>'A) Base RI'!I102</f>
        <v>0</v>
      </c>
      <c r="L102" s="14">
        <f>'A) Base RI'!J102</f>
        <v>2349.4899999999998</v>
      </c>
      <c r="M102" s="14">
        <f>'A) Base RI'!K102</f>
        <v>899.5</v>
      </c>
      <c r="N102" s="14">
        <f>'A) Base RI'!Q102</f>
        <v>0</v>
      </c>
      <c r="O102" s="14">
        <f t="shared" si="7"/>
        <v>24880.400000000001</v>
      </c>
      <c r="P102" s="14">
        <f>'A) Base RI'!L102</f>
        <v>24880.400000000001</v>
      </c>
      <c r="Q102" s="44">
        <f>'A) Base RI'!AR102</f>
        <v>1</v>
      </c>
      <c r="R102" s="4">
        <f t="shared" si="8"/>
        <v>289845.01</v>
      </c>
      <c r="S102" s="43">
        <f>'A) Base RI'!AM102</f>
        <v>69</v>
      </c>
      <c r="T102" s="4">
        <f t="shared" si="9"/>
        <v>263095.11</v>
      </c>
      <c r="U102" s="4">
        <f t="shared" si="10"/>
        <v>4200.6523188405799</v>
      </c>
      <c r="V102" s="14">
        <f>'A) Base RI'!O102</f>
        <v>4522</v>
      </c>
      <c r="W102" s="14">
        <f>'A) Base RI'!P102</f>
        <v>7480</v>
      </c>
      <c r="X102" s="14">
        <f>'A) Base RI'!R102</f>
        <v>4736.3</v>
      </c>
      <c r="Y102" s="4">
        <f t="shared" si="11"/>
        <v>16738.3</v>
      </c>
      <c r="Z102" s="14">
        <f>'A) Base RI'!N102</f>
        <v>1075.8499999999999</v>
      </c>
      <c r="AA102" s="14">
        <f>'A) Base RI'!S102+'A) Base RI'!T102</f>
        <v>100</v>
      </c>
      <c r="AB102" s="14">
        <f>'A) Base RI'!U102</f>
        <v>690</v>
      </c>
      <c r="AC102" s="14">
        <f>'A) Base RI'!V102</f>
        <v>0</v>
      </c>
      <c r="AD102" s="14">
        <f>'A) Base RI'!W102</f>
        <v>0</v>
      </c>
      <c r="AE102" s="14">
        <f>'A) Base RI'!Y102</f>
        <v>6000</v>
      </c>
      <c r="AF102" s="14">
        <f>'A) Base RI'!Z102</f>
        <v>0</v>
      </c>
      <c r="AG102" s="14">
        <f>'A) Base RI'!AA102</f>
        <v>22200</v>
      </c>
      <c r="AH102" s="14">
        <f>'A) Base RI'!AB102</f>
        <v>0</v>
      </c>
      <c r="AI102" s="14">
        <f>'A) Base RI'!AC102</f>
        <v>19513.75</v>
      </c>
      <c r="AJ102" s="14">
        <f>'A) Base RI'!AD102</f>
        <v>4264</v>
      </c>
      <c r="AK102" s="14">
        <f>'A) Base RI'!AE102</f>
        <v>0</v>
      </c>
      <c r="AL102" s="14">
        <f>'A) Base RI'!AF102</f>
        <v>0</v>
      </c>
      <c r="AM102" s="14">
        <f>'A) Base RI'!AG102</f>
        <v>0</v>
      </c>
      <c r="AN102" s="14">
        <f>'A) Base RI'!AH102</f>
        <v>0</v>
      </c>
      <c r="AO102" s="14">
        <f>'A) Base RI'!AI102</f>
        <v>0</v>
      </c>
      <c r="AP102" s="14">
        <f>'A) Base RI'!AJ102</f>
        <v>0</v>
      </c>
      <c r="AQ102" s="14">
        <f>'A) Base RI'!AK102</f>
        <v>0</v>
      </c>
      <c r="AR102" s="14">
        <f>'A) Base RI'!AN102</f>
        <v>191</v>
      </c>
    </row>
    <row r="103" spans="1:44" x14ac:dyDescent="0.25">
      <c r="A103" s="12">
        <f>'A) Base RI'!A103</f>
        <v>5559</v>
      </c>
      <c r="B103" s="42" t="str">
        <f>'A) Base RI'!B103</f>
        <v>Giez</v>
      </c>
      <c r="C103" s="14">
        <f>'A) Base RI'!C103+'A) Base RI'!D103</f>
        <v>815525.07</v>
      </c>
      <c r="D103" s="14">
        <f>'A) Base RI'!AO103</f>
        <v>-7095.71</v>
      </c>
      <c r="E103" s="41">
        <f>'A) Base RI'!AP103</f>
        <v>0</v>
      </c>
      <c r="F103" s="41">
        <f>'A) Base RI'!AQ103</f>
        <v>-66.650000000000006</v>
      </c>
      <c r="G103" s="4">
        <f t="shared" si="6"/>
        <v>808362.71</v>
      </c>
      <c r="H103" s="14">
        <f>'A) Base RI'!E103</f>
        <v>0</v>
      </c>
      <c r="I103" s="14">
        <f>'A) Base RI'!F103</f>
        <v>0</v>
      </c>
      <c r="J103" s="14">
        <f>'A) Base RI'!G103+'A) Base RI'!H103</f>
        <v>278688.80000000005</v>
      </c>
      <c r="K103" s="14">
        <f>'A) Base RI'!I103</f>
        <v>0</v>
      </c>
      <c r="L103" s="14">
        <f>'A) Base RI'!J103</f>
        <v>18855.61</v>
      </c>
      <c r="M103" s="14">
        <f>'A) Base RI'!K103</f>
        <v>3295.5</v>
      </c>
      <c r="N103" s="14">
        <f>'A) Base RI'!Q103</f>
        <v>0</v>
      </c>
      <c r="O103" s="14">
        <f t="shared" si="7"/>
        <v>78697.3</v>
      </c>
      <c r="P103" s="14">
        <f>'A) Base RI'!L103</f>
        <v>78697.3</v>
      </c>
      <c r="Q103" s="44">
        <f>'A) Base RI'!AR103</f>
        <v>1</v>
      </c>
      <c r="R103" s="4">
        <f t="shared" si="8"/>
        <v>1187899.9200000002</v>
      </c>
      <c r="S103" s="43">
        <f>'A) Base RI'!AM103</f>
        <v>66</v>
      </c>
      <c r="T103" s="4">
        <f t="shared" si="9"/>
        <v>1105907.1200000001</v>
      </c>
      <c r="U103" s="4">
        <f t="shared" si="10"/>
        <v>17998.483636363639</v>
      </c>
      <c r="V103" s="14">
        <f>'A) Base RI'!O103</f>
        <v>2631.5</v>
      </c>
      <c r="W103" s="14">
        <f>'A) Base RI'!P103</f>
        <v>1540</v>
      </c>
      <c r="X103" s="14">
        <f>'A) Base RI'!R103</f>
        <v>0</v>
      </c>
      <c r="Y103" s="4">
        <f t="shared" si="11"/>
        <v>4171.5</v>
      </c>
      <c r="Z103" s="14">
        <f>'A) Base RI'!N103</f>
        <v>24437.05</v>
      </c>
      <c r="AA103" s="14">
        <f>'A) Base RI'!S103+'A) Base RI'!T103</f>
        <v>350</v>
      </c>
      <c r="AB103" s="14">
        <f>'A) Base RI'!U103</f>
        <v>960</v>
      </c>
      <c r="AC103" s="14">
        <f>'A) Base RI'!V103</f>
        <v>279.85000000000002</v>
      </c>
      <c r="AD103" s="14">
        <f>'A) Base RI'!W103</f>
        <v>0</v>
      </c>
      <c r="AE103" s="14">
        <f>'A) Base RI'!Y103</f>
        <v>7300</v>
      </c>
      <c r="AF103" s="14">
        <f>'A) Base RI'!Z103</f>
        <v>0</v>
      </c>
      <c r="AG103" s="14">
        <f>'A) Base RI'!AA103</f>
        <v>85817.5</v>
      </c>
      <c r="AH103" s="14">
        <f>'A) Base RI'!AB103</f>
        <v>0</v>
      </c>
      <c r="AI103" s="14">
        <f>'A) Base RI'!AC103</f>
        <v>25795.15</v>
      </c>
      <c r="AJ103" s="14">
        <f>'A) Base RI'!AD103</f>
        <v>10250</v>
      </c>
      <c r="AK103" s="14">
        <f>'A) Base RI'!AE103</f>
        <v>0</v>
      </c>
      <c r="AL103" s="14">
        <f>'A) Base RI'!AF103</f>
        <v>0</v>
      </c>
      <c r="AM103" s="14">
        <f>'A) Base RI'!AG103</f>
        <v>4494.2</v>
      </c>
      <c r="AN103" s="14">
        <f>'A) Base RI'!AH103</f>
        <v>0</v>
      </c>
      <c r="AO103" s="14">
        <f>'A) Base RI'!AI103</f>
        <v>0</v>
      </c>
      <c r="AP103" s="14">
        <f>'A) Base RI'!AJ103</f>
        <v>0</v>
      </c>
      <c r="AQ103" s="14">
        <f>'A) Base RI'!AK103</f>
        <v>0</v>
      </c>
      <c r="AR103" s="14">
        <f>'A) Base RI'!AN103</f>
        <v>389</v>
      </c>
    </row>
    <row r="104" spans="1:44" x14ac:dyDescent="0.25">
      <c r="A104" s="12">
        <f>'A) Base RI'!A104</f>
        <v>5560</v>
      </c>
      <c r="B104" s="42" t="str">
        <f>'A) Base RI'!B104</f>
        <v>Grandevent</v>
      </c>
      <c r="C104" s="14">
        <f>'A) Base RI'!C104+'A) Base RI'!D104</f>
        <v>392472.82999999996</v>
      </c>
      <c r="D104" s="14">
        <f>'A) Base RI'!AO104</f>
        <v>-6694.16</v>
      </c>
      <c r="E104" s="41">
        <f>'A) Base RI'!AP104</f>
        <v>0</v>
      </c>
      <c r="F104" s="41">
        <f>'A) Base RI'!AQ104</f>
        <v>-1.77</v>
      </c>
      <c r="G104" s="4">
        <f t="shared" si="6"/>
        <v>385776.89999999997</v>
      </c>
      <c r="H104" s="14">
        <f>'A) Base RI'!E104</f>
        <v>0</v>
      </c>
      <c r="I104" s="14">
        <f>'A) Base RI'!F104</f>
        <v>0</v>
      </c>
      <c r="J104" s="14">
        <f>'A) Base RI'!G104+'A) Base RI'!H104</f>
        <v>341.5</v>
      </c>
      <c r="K104" s="14">
        <f>'A) Base RI'!I104</f>
        <v>0</v>
      </c>
      <c r="L104" s="14">
        <f>'A) Base RI'!J104</f>
        <v>11176.67</v>
      </c>
      <c r="M104" s="14">
        <f>'A) Base RI'!K104</f>
        <v>305</v>
      </c>
      <c r="N104" s="14">
        <f>'A) Base RI'!Q104</f>
        <v>0</v>
      </c>
      <c r="O104" s="14">
        <f t="shared" si="7"/>
        <v>37337.75</v>
      </c>
      <c r="P104" s="14">
        <f>'A) Base RI'!L104</f>
        <v>37337.75</v>
      </c>
      <c r="Q104" s="44">
        <f>'A) Base RI'!AR104</f>
        <v>1</v>
      </c>
      <c r="R104" s="4">
        <f t="shared" si="8"/>
        <v>434937.81999999995</v>
      </c>
      <c r="S104" s="43">
        <f>'A) Base RI'!AM104</f>
        <v>68</v>
      </c>
      <c r="T104" s="4">
        <f t="shared" si="9"/>
        <v>397295.06999999995</v>
      </c>
      <c r="U104" s="4">
        <f t="shared" si="10"/>
        <v>6396.1444117647052</v>
      </c>
      <c r="V104" s="14">
        <f>'A) Base RI'!O104</f>
        <v>259.2</v>
      </c>
      <c r="W104" s="14">
        <f>'A) Base RI'!P104</f>
        <v>19670.95</v>
      </c>
      <c r="X104" s="14">
        <f>'A) Base RI'!R104</f>
        <v>11290.1</v>
      </c>
      <c r="Y104" s="4">
        <f t="shared" si="11"/>
        <v>31220.25</v>
      </c>
      <c r="Z104" s="14">
        <f>'A) Base RI'!N104</f>
        <v>0</v>
      </c>
      <c r="AA104" s="14">
        <f>'A) Base RI'!S104+'A) Base RI'!T104</f>
        <v>0</v>
      </c>
      <c r="AB104" s="14">
        <f>'A) Base RI'!U104</f>
        <v>1450</v>
      </c>
      <c r="AC104" s="14">
        <f>'A) Base RI'!V104</f>
        <v>0</v>
      </c>
      <c r="AD104" s="14">
        <f>'A) Base RI'!W104</f>
        <v>0</v>
      </c>
      <c r="AE104" s="14">
        <f>'A) Base RI'!Y104</f>
        <v>0</v>
      </c>
      <c r="AF104" s="14">
        <f>'A) Base RI'!Z104</f>
        <v>0</v>
      </c>
      <c r="AG104" s="14">
        <f>'A) Base RI'!AA104</f>
        <v>32143.599999999999</v>
      </c>
      <c r="AH104" s="14">
        <f>'A) Base RI'!AB104</f>
        <v>0</v>
      </c>
      <c r="AI104" s="14">
        <f>'A) Base RI'!AC104</f>
        <v>13153</v>
      </c>
      <c r="AJ104" s="14">
        <f>'A) Base RI'!AD104</f>
        <v>0</v>
      </c>
      <c r="AK104" s="14">
        <f>'A) Base RI'!AE104</f>
        <v>0</v>
      </c>
      <c r="AL104" s="14">
        <f>'A) Base RI'!AF104</f>
        <v>0</v>
      </c>
      <c r="AM104" s="14">
        <f>'A) Base RI'!AG104</f>
        <v>1500.5</v>
      </c>
      <c r="AN104" s="14">
        <f>'A) Base RI'!AH104</f>
        <v>0</v>
      </c>
      <c r="AO104" s="14">
        <f>'A) Base RI'!AI104</f>
        <v>0</v>
      </c>
      <c r="AP104" s="14">
        <f>'A) Base RI'!AJ104</f>
        <v>0</v>
      </c>
      <c r="AQ104" s="14">
        <f>'A) Base RI'!AK104</f>
        <v>0</v>
      </c>
      <c r="AR104" s="14">
        <f>'A) Base RI'!AN104</f>
        <v>232</v>
      </c>
    </row>
    <row r="105" spans="1:44" x14ac:dyDescent="0.25">
      <c r="A105" s="12">
        <f>'A) Base RI'!A105</f>
        <v>5561</v>
      </c>
      <c r="B105" s="42" t="str">
        <f>'A) Base RI'!B105</f>
        <v>Grandson</v>
      </c>
      <c r="C105" s="14">
        <f>'A) Base RI'!C105+'A) Base RI'!D105</f>
        <v>6537517.6500000004</v>
      </c>
      <c r="D105" s="14">
        <f>'A) Base RI'!AO105</f>
        <v>-130213.23</v>
      </c>
      <c r="E105" s="41">
        <f>'A) Base RI'!AP105</f>
        <v>-26584.85</v>
      </c>
      <c r="F105" s="41">
        <f>'A) Base RI'!AQ105</f>
        <v>-2450.62</v>
      </c>
      <c r="G105" s="4">
        <f t="shared" si="6"/>
        <v>6378268.9500000002</v>
      </c>
      <c r="H105" s="14">
        <f>'A) Base RI'!E105</f>
        <v>0</v>
      </c>
      <c r="I105" s="14">
        <f>'A) Base RI'!F105</f>
        <v>0</v>
      </c>
      <c r="J105" s="14">
        <f>'A) Base RI'!G105+'A) Base RI'!H105</f>
        <v>257180.36</v>
      </c>
      <c r="K105" s="14">
        <f>'A) Base RI'!I105</f>
        <v>27733.85</v>
      </c>
      <c r="L105" s="14">
        <f>'A) Base RI'!J105</f>
        <v>115318.48</v>
      </c>
      <c r="M105" s="14">
        <f>'A) Base RI'!K105</f>
        <v>19132</v>
      </c>
      <c r="N105" s="14">
        <f>'A) Base RI'!Q105</f>
        <v>16187.98</v>
      </c>
      <c r="O105" s="14">
        <f t="shared" si="7"/>
        <v>535221.30000000005</v>
      </c>
      <c r="P105" s="14">
        <f>'A) Base RI'!L105</f>
        <v>535221.30000000005</v>
      </c>
      <c r="Q105" s="44">
        <f>'A) Base RI'!AR105</f>
        <v>1</v>
      </c>
      <c r="R105" s="4">
        <f t="shared" si="8"/>
        <v>7349042.9200000009</v>
      </c>
      <c r="S105" s="43">
        <f>'A) Base RI'!AM105</f>
        <v>69</v>
      </c>
      <c r="T105" s="4">
        <f t="shared" si="9"/>
        <v>6794689.620000001</v>
      </c>
      <c r="U105" s="4">
        <f t="shared" si="10"/>
        <v>106507.86840579711</v>
      </c>
      <c r="V105" s="14">
        <f>'A) Base RI'!O105</f>
        <v>278768.09999999998</v>
      </c>
      <c r="W105" s="14">
        <f>'A) Base RI'!P105</f>
        <v>243927</v>
      </c>
      <c r="X105" s="14">
        <f>'A) Base RI'!R105</f>
        <v>179464.85</v>
      </c>
      <c r="Y105" s="4">
        <f t="shared" si="11"/>
        <v>702159.95</v>
      </c>
      <c r="Z105" s="14">
        <f>'A) Base RI'!N105</f>
        <v>327346.25</v>
      </c>
      <c r="AA105" s="14">
        <f>'A) Base RI'!S105+'A) Base RI'!T105</f>
        <v>17421.650000000001</v>
      </c>
      <c r="AB105" s="14">
        <f>'A) Base RI'!U105</f>
        <v>11285.45</v>
      </c>
      <c r="AC105" s="14">
        <f>'A) Base RI'!V105</f>
        <v>0</v>
      </c>
      <c r="AD105" s="14">
        <f>'A) Base RI'!W105</f>
        <v>0</v>
      </c>
      <c r="AE105" s="14">
        <f>'A) Base RI'!Y105</f>
        <v>6223</v>
      </c>
      <c r="AF105" s="14">
        <f>'A) Base RI'!Z105</f>
        <v>0</v>
      </c>
      <c r="AG105" s="14">
        <f>'A) Base RI'!AA105</f>
        <v>551272.5</v>
      </c>
      <c r="AH105" s="14">
        <f>'A) Base RI'!AB105</f>
        <v>0</v>
      </c>
      <c r="AI105" s="14">
        <f>'A) Base RI'!AC105</f>
        <v>304399.25</v>
      </c>
      <c r="AJ105" s="14">
        <f>'A) Base RI'!AD105</f>
        <v>58813.9</v>
      </c>
      <c r="AK105" s="14">
        <f>'A) Base RI'!AE105</f>
        <v>0</v>
      </c>
      <c r="AL105" s="14">
        <f>'A) Base RI'!AF105</f>
        <v>0</v>
      </c>
      <c r="AM105" s="14">
        <f>'A) Base RI'!AG105</f>
        <v>56360.6</v>
      </c>
      <c r="AN105" s="14">
        <f>'A) Base RI'!AH105</f>
        <v>93351.55</v>
      </c>
      <c r="AO105" s="14">
        <f>'A) Base RI'!AI105</f>
        <v>0</v>
      </c>
      <c r="AP105" s="14">
        <f>'A) Base RI'!AJ105</f>
        <v>0</v>
      </c>
      <c r="AQ105" s="14">
        <f>'A) Base RI'!AK105</f>
        <v>0</v>
      </c>
      <c r="AR105" s="14">
        <f>'A) Base RI'!AN105</f>
        <v>3303</v>
      </c>
    </row>
    <row r="106" spans="1:44" x14ac:dyDescent="0.25">
      <c r="A106" s="12">
        <f>'A) Base RI'!A106</f>
        <v>5562</v>
      </c>
      <c r="B106" s="42" t="str">
        <f>'A) Base RI'!B106</f>
        <v>Mauborget</v>
      </c>
      <c r="C106" s="14">
        <f>'A) Base RI'!C106+'A) Base RI'!D106</f>
        <v>251658.05</v>
      </c>
      <c r="D106" s="14">
        <f>'A) Base RI'!AO106</f>
        <v>-10548.13</v>
      </c>
      <c r="E106" s="41">
        <f>'A) Base RI'!AP106</f>
        <v>0</v>
      </c>
      <c r="F106" s="41">
        <f>'A) Base RI'!AQ106</f>
        <v>-2.25</v>
      </c>
      <c r="G106" s="4">
        <f t="shared" si="6"/>
        <v>241107.66999999998</v>
      </c>
      <c r="H106" s="14">
        <f>'A) Base RI'!E106</f>
        <v>0</v>
      </c>
      <c r="I106" s="14">
        <f>'A) Base RI'!F106</f>
        <v>720</v>
      </c>
      <c r="J106" s="14">
        <f>'A) Base RI'!G106+'A) Base RI'!H106</f>
        <v>1620.45</v>
      </c>
      <c r="K106" s="14">
        <f>'A) Base RI'!I106</f>
        <v>0</v>
      </c>
      <c r="L106" s="14">
        <f>'A) Base RI'!J106</f>
        <v>4087.49</v>
      </c>
      <c r="M106" s="14">
        <f>'A) Base RI'!K106</f>
        <v>1155.5</v>
      </c>
      <c r="N106" s="14">
        <f>'A) Base RI'!Q106</f>
        <v>0</v>
      </c>
      <c r="O106" s="14">
        <f t="shared" si="7"/>
        <v>25494.125</v>
      </c>
      <c r="P106" s="14">
        <f>'A) Base RI'!L106</f>
        <v>30592.95</v>
      </c>
      <c r="Q106" s="44">
        <f>'A) Base RI'!AR106</f>
        <v>1.2</v>
      </c>
      <c r="R106" s="4">
        <f t="shared" si="8"/>
        <v>274185.23499999999</v>
      </c>
      <c r="S106" s="43">
        <f>'A) Base RI'!AM106</f>
        <v>70</v>
      </c>
      <c r="T106" s="4">
        <f t="shared" si="9"/>
        <v>246815.61</v>
      </c>
      <c r="U106" s="4">
        <f t="shared" si="10"/>
        <v>3916.9319285714282</v>
      </c>
      <c r="V106" s="14">
        <f>'A) Base RI'!O106</f>
        <v>0</v>
      </c>
      <c r="W106" s="14">
        <f>'A) Base RI'!P106</f>
        <v>1516</v>
      </c>
      <c r="X106" s="14">
        <f>'A) Base RI'!R106</f>
        <v>8087.5</v>
      </c>
      <c r="Y106" s="4">
        <f t="shared" si="11"/>
        <v>9603.5</v>
      </c>
      <c r="Z106" s="14">
        <f>'A) Base RI'!N106</f>
        <v>0</v>
      </c>
      <c r="AA106" s="14">
        <f>'A) Base RI'!S106+'A) Base RI'!T106</f>
        <v>75</v>
      </c>
      <c r="AB106" s="14">
        <f>'A) Base RI'!U106</f>
        <v>525</v>
      </c>
      <c r="AC106" s="14">
        <f>'A) Base RI'!V106</f>
        <v>0</v>
      </c>
      <c r="AD106" s="14">
        <f>'A) Base RI'!W106</f>
        <v>0</v>
      </c>
      <c r="AE106" s="14">
        <f>'A) Base RI'!Y106</f>
        <v>0</v>
      </c>
      <c r="AF106" s="14">
        <f>'A) Base RI'!Z106</f>
        <v>0</v>
      </c>
      <c r="AG106" s="14">
        <f>'A) Base RI'!AA106</f>
        <v>39810</v>
      </c>
      <c r="AH106" s="14">
        <f>'A) Base RI'!AB106</f>
        <v>0</v>
      </c>
      <c r="AI106" s="14">
        <f>'A) Base RI'!AC106</f>
        <v>17872</v>
      </c>
      <c r="AJ106" s="14">
        <f>'A) Base RI'!AD106</f>
        <v>0</v>
      </c>
      <c r="AK106" s="14">
        <f>'A) Base RI'!AE106</f>
        <v>0</v>
      </c>
      <c r="AL106" s="14">
        <f>'A) Base RI'!AF106</f>
        <v>0</v>
      </c>
      <c r="AM106" s="14">
        <f>'A) Base RI'!AG106</f>
        <v>6807.8</v>
      </c>
      <c r="AN106" s="14">
        <f>'A) Base RI'!AH106</f>
        <v>0</v>
      </c>
      <c r="AO106" s="14">
        <f>'A) Base RI'!AI106</f>
        <v>0</v>
      </c>
      <c r="AP106" s="14">
        <f>'A) Base RI'!AJ106</f>
        <v>0</v>
      </c>
      <c r="AQ106" s="14">
        <f>'A) Base RI'!AK106</f>
        <v>0</v>
      </c>
      <c r="AR106" s="14">
        <f>'A) Base RI'!AN106</f>
        <v>119</v>
      </c>
    </row>
    <row r="107" spans="1:44" x14ac:dyDescent="0.25">
      <c r="A107" s="12">
        <f>'A) Base RI'!A107</f>
        <v>5563</v>
      </c>
      <c r="B107" s="42" t="str">
        <f>'A) Base RI'!B107</f>
        <v>Mutrux</v>
      </c>
      <c r="C107" s="14">
        <f>'A) Base RI'!C107+'A) Base RI'!D107</f>
        <v>297200.73</v>
      </c>
      <c r="D107" s="14">
        <f>'A) Base RI'!AO107</f>
        <v>-657.31</v>
      </c>
      <c r="E107" s="41">
        <f>'A) Base RI'!AP107</f>
        <v>0</v>
      </c>
      <c r="F107" s="41">
        <f>'A) Base RI'!AQ107</f>
        <v>0</v>
      </c>
      <c r="G107" s="4">
        <f t="shared" si="6"/>
        <v>296543.42</v>
      </c>
      <c r="H107" s="14">
        <f>'A) Base RI'!E107</f>
        <v>0</v>
      </c>
      <c r="I107" s="14">
        <f>'A) Base RI'!F107</f>
        <v>552</v>
      </c>
      <c r="J107" s="14">
        <f>'A) Base RI'!G107+'A) Base RI'!H107</f>
        <v>2011.45</v>
      </c>
      <c r="K107" s="14">
        <f>'A) Base RI'!I107</f>
        <v>0</v>
      </c>
      <c r="L107" s="14">
        <f>'A) Base RI'!J107</f>
        <v>3110.75</v>
      </c>
      <c r="M107" s="14">
        <f>'A) Base RI'!K107</f>
        <v>0</v>
      </c>
      <c r="N107" s="14">
        <f>'A) Base RI'!Q107</f>
        <v>0</v>
      </c>
      <c r="O107" s="14">
        <f t="shared" si="7"/>
        <v>19806.2</v>
      </c>
      <c r="P107" s="14">
        <f>'A) Base RI'!L107</f>
        <v>19806.2</v>
      </c>
      <c r="Q107" s="44">
        <f>'A) Base RI'!AR107</f>
        <v>1</v>
      </c>
      <c r="R107" s="4">
        <f t="shared" si="8"/>
        <v>322023.82</v>
      </c>
      <c r="S107" s="43">
        <f>'A) Base RI'!AM107</f>
        <v>78.5</v>
      </c>
      <c r="T107" s="4">
        <f t="shared" si="9"/>
        <v>301665.62</v>
      </c>
      <c r="U107" s="4">
        <f t="shared" si="10"/>
        <v>4102.2142675159239</v>
      </c>
      <c r="V107" s="14">
        <f>'A) Base RI'!O107</f>
        <v>153.1</v>
      </c>
      <c r="W107" s="14">
        <f>'A) Base RI'!P107</f>
        <v>5469.25</v>
      </c>
      <c r="X107" s="14">
        <f>'A) Base RI'!R107</f>
        <v>6949.35</v>
      </c>
      <c r="Y107" s="4">
        <f t="shared" si="11"/>
        <v>12571.7</v>
      </c>
      <c r="Z107" s="14">
        <f>'A) Base RI'!N107</f>
        <v>0</v>
      </c>
      <c r="AA107" s="14">
        <f>'A) Base RI'!S107+'A) Base RI'!T107</f>
        <v>200</v>
      </c>
      <c r="AB107" s="14">
        <f>'A) Base RI'!U107</f>
        <v>650</v>
      </c>
      <c r="AC107" s="14">
        <f>'A) Base RI'!V107</f>
        <v>0</v>
      </c>
      <c r="AD107" s="14">
        <f>'A) Base RI'!W107</f>
        <v>0</v>
      </c>
      <c r="AE107" s="14">
        <f>'A) Base RI'!Y107</f>
        <v>0</v>
      </c>
      <c r="AF107" s="14">
        <f>'A) Base RI'!Z107</f>
        <v>0</v>
      </c>
      <c r="AG107" s="14">
        <f>'A) Base RI'!AA107</f>
        <v>30424.5</v>
      </c>
      <c r="AH107" s="14">
        <f>'A) Base RI'!AB107</f>
        <v>0</v>
      </c>
      <c r="AI107" s="14">
        <f>'A) Base RI'!AC107</f>
        <v>10230</v>
      </c>
      <c r="AJ107" s="14">
        <f>'A) Base RI'!AD107</f>
        <v>0</v>
      </c>
      <c r="AK107" s="14">
        <f>'A) Base RI'!AE107</f>
        <v>0</v>
      </c>
      <c r="AL107" s="14">
        <f>'A) Base RI'!AF107</f>
        <v>0</v>
      </c>
      <c r="AM107" s="14">
        <f>'A) Base RI'!AG107</f>
        <v>0</v>
      </c>
      <c r="AN107" s="14">
        <f>'A) Base RI'!AH107</f>
        <v>0</v>
      </c>
      <c r="AO107" s="14">
        <f>'A) Base RI'!AI107</f>
        <v>0</v>
      </c>
      <c r="AP107" s="14">
        <f>'A) Base RI'!AJ107</f>
        <v>0</v>
      </c>
      <c r="AQ107" s="14">
        <f>'A) Base RI'!AK107</f>
        <v>0</v>
      </c>
      <c r="AR107" s="14">
        <f>'A) Base RI'!AN107</f>
        <v>153</v>
      </c>
    </row>
    <row r="108" spans="1:44" x14ac:dyDescent="0.25">
      <c r="A108" s="12">
        <f>'A) Base RI'!A108</f>
        <v>5564</v>
      </c>
      <c r="B108" s="42" t="str">
        <f>'A) Base RI'!B108</f>
        <v>Novalles</v>
      </c>
      <c r="C108" s="14">
        <f>'A) Base RI'!C108+'A) Base RI'!D108</f>
        <v>147628.54999999999</v>
      </c>
      <c r="D108" s="14">
        <f>'A) Base RI'!AO108</f>
        <v>-36.9</v>
      </c>
      <c r="E108" s="41">
        <f>'A) Base RI'!AP108</f>
        <v>0</v>
      </c>
      <c r="F108" s="41">
        <f>'A) Base RI'!AQ108</f>
        <v>-26.59</v>
      </c>
      <c r="G108" s="4">
        <f t="shared" si="6"/>
        <v>147565.06</v>
      </c>
      <c r="H108" s="14">
        <f>'A) Base RI'!E108</f>
        <v>0</v>
      </c>
      <c r="I108" s="14">
        <f>'A) Base RI'!F108</f>
        <v>0</v>
      </c>
      <c r="J108" s="14">
        <f>'A) Base RI'!G108+'A) Base RI'!H108</f>
        <v>108.3</v>
      </c>
      <c r="K108" s="14">
        <f>'A) Base RI'!I108</f>
        <v>0</v>
      </c>
      <c r="L108" s="14">
        <f>'A) Base RI'!J108</f>
        <v>1333.59</v>
      </c>
      <c r="M108" s="14">
        <f>'A) Base RI'!K108</f>
        <v>0</v>
      </c>
      <c r="N108" s="14">
        <f>'A) Base RI'!Q108</f>
        <v>0</v>
      </c>
      <c r="O108" s="14">
        <f t="shared" si="7"/>
        <v>12128.0625</v>
      </c>
      <c r="P108" s="14">
        <f>'A) Base RI'!L108</f>
        <v>9702.4500000000007</v>
      </c>
      <c r="Q108" s="44">
        <f>'A) Base RI'!AR108</f>
        <v>0.8</v>
      </c>
      <c r="R108" s="4">
        <f t="shared" si="8"/>
        <v>161135.01249999998</v>
      </c>
      <c r="S108" s="43">
        <f>'A) Base RI'!AM108</f>
        <v>76</v>
      </c>
      <c r="T108" s="4">
        <f t="shared" si="9"/>
        <v>149006.94999999998</v>
      </c>
      <c r="U108" s="4">
        <f t="shared" si="10"/>
        <v>2120.1975328947365</v>
      </c>
      <c r="V108" s="14">
        <f>'A) Base RI'!O108</f>
        <v>0</v>
      </c>
      <c r="W108" s="14">
        <f>'A) Base RI'!P108</f>
        <v>0</v>
      </c>
      <c r="X108" s="14">
        <f>'A) Base RI'!R108</f>
        <v>0</v>
      </c>
      <c r="Y108" s="4">
        <f t="shared" si="11"/>
        <v>0</v>
      </c>
      <c r="Z108" s="14">
        <f>'A) Base RI'!N108</f>
        <v>0</v>
      </c>
      <c r="AA108" s="14">
        <f>'A) Base RI'!S108+'A) Base RI'!T108</f>
        <v>300</v>
      </c>
      <c r="AB108" s="14">
        <f>'A) Base RI'!U108</f>
        <v>280</v>
      </c>
      <c r="AC108" s="14">
        <f>'A) Base RI'!V108</f>
        <v>0</v>
      </c>
      <c r="AD108" s="14">
        <f>'A) Base RI'!W108</f>
        <v>0</v>
      </c>
      <c r="AE108" s="14">
        <f>'A) Base RI'!Y108</f>
        <v>0</v>
      </c>
      <c r="AF108" s="14">
        <f>'A) Base RI'!Z108</f>
        <v>0</v>
      </c>
      <c r="AG108" s="14">
        <f>'A) Base RI'!AA108</f>
        <v>24855</v>
      </c>
      <c r="AH108" s="14">
        <f>'A) Base RI'!AB108</f>
        <v>0</v>
      </c>
      <c r="AI108" s="14">
        <f>'A) Base RI'!AC108</f>
        <v>7383.3</v>
      </c>
      <c r="AJ108" s="14">
        <f>'A) Base RI'!AD108</f>
        <v>0</v>
      </c>
      <c r="AK108" s="14">
        <f>'A) Base RI'!AE108</f>
        <v>0</v>
      </c>
      <c r="AL108" s="14">
        <f>'A) Base RI'!AF108</f>
        <v>0</v>
      </c>
      <c r="AM108" s="14">
        <f>'A) Base RI'!AG108</f>
        <v>0</v>
      </c>
      <c r="AN108" s="14">
        <f>'A) Base RI'!AH108</f>
        <v>0</v>
      </c>
      <c r="AO108" s="14">
        <f>'A) Base RI'!AI108</f>
        <v>0</v>
      </c>
      <c r="AP108" s="14">
        <f>'A) Base RI'!AJ108</f>
        <v>0</v>
      </c>
      <c r="AQ108" s="14">
        <f>'A) Base RI'!AK108</f>
        <v>0</v>
      </c>
      <c r="AR108" s="14">
        <f>'A) Base RI'!AN108</f>
        <v>102</v>
      </c>
    </row>
    <row r="109" spans="1:44" x14ac:dyDescent="0.25">
      <c r="A109" s="12">
        <f>'A) Base RI'!A109</f>
        <v>5565</v>
      </c>
      <c r="B109" s="42" t="str">
        <f>'A) Base RI'!B109</f>
        <v>Onnens</v>
      </c>
      <c r="C109" s="14">
        <f>'A) Base RI'!C109+'A) Base RI'!D109</f>
        <v>854944.54</v>
      </c>
      <c r="D109" s="14">
        <f>'A) Base RI'!AO109</f>
        <v>-66603.73</v>
      </c>
      <c r="E109" s="41">
        <f>'A) Base RI'!AP109</f>
        <v>0</v>
      </c>
      <c r="F109" s="41">
        <f>'A) Base RI'!AQ109</f>
        <v>-0.1</v>
      </c>
      <c r="G109" s="4">
        <f t="shared" si="6"/>
        <v>788340.71000000008</v>
      </c>
      <c r="H109" s="14">
        <f>'A) Base RI'!E109</f>
        <v>0</v>
      </c>
      <c r="I109" s="14">
        <f>'A) Base RI'!F109</f>
        <v>0</v>
      </c>
      <c r="J109" s="14">
        <f>'A) Base RI'!G109+'A) Base RI'!H109</f>
        <v>327315</v>
      </c>
      <c r="K109" s="14">
        <f>'A) Base RI'!I109</f>
        <v>0</v>
      </c>
      <c r="L109" s="14">
        <f>'A) Base RI'!J109</f>
        <v>11627.95</v>
      </c>
      <c r="M109" s="14">
        <f>'A) Base RI'!K109</f>
        <v>-4045.5</v>
      </c>
      <c r="N109" s="14">
        <f>'A) Base RI'!Q109</f>
        <v>0</v>
      </c>
      <c r="O109" s="14">
        <f t="shared" si="7"/>
        <v>126235.1</v>
      </c>
      <c r="P109" s="14">
        <f>'A) Base RI'!L109</f>
        <v>63117.55</v>
      </c>
      <c r="Q109" s="44">
        <f>'A) Base RI'!AR109</f>
        <v>0.5</v>
      </c>
      <c r="R109" s="4">
        <f t="shared" si="8"/>
        <v>1249473.26</v>
      </c>
      <c r="S109" s="43">
        <f>'A) Base RI'!AM109</f>
        <v>65</v>
      </c>
      <c r="T109" s="4">
        <f t="shared" si="9"/>
        <v>1127283.6599999999</v>
      </c>
      <c r="U109" s="4">
        <f t="shared" si="10"/>
        <v>19222.665538461537</v>
      </c>
      <c r="V109" s="14">
        <f>'A) Base RI'!O109</f>
        <v>0</v>
      </c>
      <c r="W109" s="14">
        <f>'A) Base RI'!P109</f>
        <v>10808.4</v>
      </c>
      <c r="X109" s="14">
        <f>'A) Base RI'!R109</f>
        <v>40270.15</v>
      </c>
      <c r="Y109" s="4">
        <f t="shared" si="11"/>
        <v>51078.55</v>
      </c>
      <c r="Z109" s="14">
        <f>'A) Base RI'!N109</f>
        <v>55616.3</v>
      </c>
      <c r="AA109" s="14">
        <f>'A) Base RI'!S109+'A) Base RI'!T109</f>
        <v>2339.8000000000002</v>
      </c>
      <c r="AB109" s="14">
        <f>'A) Base RI'!U109</f>
        <v>3060</v>
      </c>
      <c r="AC109" s="14">
        <f>'A) Base RI'!V109</f>
        <v>0</v>
      </c>
      <c r="AD109" s="14">
        <f>'A) Base RI'!W109</f>
        <v>0</v>
      </c>
      <c r="AE109" s="14">
        <f>'A) Base RI'!Y109</f>
        <v>9100</v>
      </c>
      <c r="AF109" s="14">
        <f>'A) Base RI'!Z109</f>
        <v>0</v>
      </c>
      <c r="AG109" s="14">
        <f>'A) Base RI'!AA109</f>
        <v>73354.7</v>
      </c>
      <c r="AH109" s="14">
        <f>'A) Base RI'!AB109</f>
        <v>0</v>
      </c>
      <c r="AI109" s="14">
        <f>'A) Base RI'!AC109</f>
        <v>27379.3</v>
      </c>
      <c r="AJ109" s="14">
        <f>'A) Base RI'!AD109</f>
        <v>4090</v>
      </c>
      <c r="AK109" s="14">
        <f>'A) Base RI'!AE109</f>
        <v>0</v>
      </c>
      <c r="AL109" s="14">
        <f>'A) Base RI'!AF109</f>
        <v>0</v>
      </c>
      <c r="AM109" s="14">
        <f>'A) Base RI'!AG109</f>
        <v>3849.35</v>
      </c>
      <c r="AN109" s="14">
        <f>'A) Base RI'!AH109</f>
        <v>35082.25</v>
      </c>
      <c r="AO109" s="14">
        <f>'A) Base RI'!AI109</f>
        <v>0</v>
      </c>
      <c r="AP109" s="14">
        <f>'A) Base RI'!AJ109</f>
        <v>0</v>
      </c>
      <c r="AQ109" s="14">
        <f>'A) Base RI'!AK109</f>
        <v>0</v>
      </c>
      <c r="AR109" s="14">
        <f>'A) Base RI'!AN109</f>
        <v>493</v>
      </c>
    </row>
    <row r="110" spans="1:44" x14ac:dyDescent="0.25">
      <c r="A110" s="12">
        <f>'A) Base RI'!A110</f>
        <v>5566</v>
      </c>
      <c r="B110" s="42" t="str">
        <f>'A) Base RI'!B110</f>
        <v>Provence</v>
      </c>
      <c r="C110" s="14">
        <f>'A) Base RI'!C110+'A) Base RI'!D110</f>
        <v>567750.25</v>
      </c>
      <c r="D110" s="14">
        <f>'A) Base RI'!AO110</f>
        <v>-2719.58</v>
      </c>
      <c r="E110" s="41">
        <f>'A) Base RI'!AP110</f>
        <v>0</v>
      </c>
      <c r="F110" s="41">
        <f>'A) Base RI'!AQ110</f>
        <v>0</v>
      </c>
      <c r="G110" s="4">
        <f t="shared" si="6"/>
        <v>565030.67000000004</v>
      </c>
      <c r="H110" s="14">
        <f>'A) Base RI'!E110</f>
        <v>0</v>
      </c>
      <c r="I110" s="14">
        <f>'A) Base RI'!F110</f>
        <v>2490</v>
      </c>
      <c r="J110" s="14">
        <f>'A) Base RI'!G110+'A) Base RI'!H110</f>
        <v>6653.2</v>
      </c>
      <c r="K110" s="14">
        <f>'A) Base RI'!I110</f>
        <v>0</v>
      </c>
      <c r="L110" s="14">
        <f>'A) Base RI'!J110</f>
        <v>10345.200000000001</v>
      </c>
      <c r="M110" s="14">
        <f>'A) Base RI'!K110</f>
        <v>2103</v>
      </c>
      <c r="N110" s="14">
        <f>'A) Base RI'!Q110</f>
        <v>268.72000000000003</v>
      </c>
      <c r="O110" s="14">
        <f t="shared" si="7"/>
        <v>46053.9</v>
      </c>
      <c r="P110" s="14">
        <f>'A) Base RI'!L110</f>
        <v>69080.850000000006</v>
      </c>
      <c r="Q110" s="44">
        <f>'A) Base RI'!AR110</f>
        <v>1.5</v>
      </c>
      <c r="R110" s="4">
        <f t="shared" si="8"/>
        <v>632944.68999999994</v>
      </c>
      <c r="S110" s="43">
        <f>'A) Base RI'!AM110</f>
        <v>81</v>
      </c>
      <c r="T110" s="4">
        <f t="shared" si="9"/>
        <v>582297.78999999992</v>
      </c>
      <c r="U110" s="4">
        <f t="shared" si="10"/>
        <v>7814.1319753086409</v>
      </c>
      <c r="V110" s="14">
        <f>'A) Base RI'!O110</f>
        <v>3824.1</v>
      </c>
      <c r="W110" s="14">
        <f>'A) Base RI'!P110</f>
        <v>960.45</v>
      </c>
      <c r="X110" s="14">
        <f>'A) Base RI'!R110</f>
        <v>67</v>
      </c>
      <c r="Y110" s="4">
        <f t="shared" si="11"/>
        <v>4851.55</v>
      </c>
      <c r="Z110" s="14">
        <f>'A) Base RI'!N110</f>
        <v>59855.6</v>
      </c>
      <c r="AA110" s="14">
        <f>'A) Base RI'!S110+'A) Base RI'!T110</f>
        <v>1492.5</v>
      </c>
      <c r="AB110" s="14">
        <f>'A) Base RI'!U110</f>
        <v>1470</v>
      </c>
      <c r="AC110" s="14">
        <f>'A) Base RI'!V110</f>
        <v>0</v>
      </c>
      <c r="AD110" s="14">
        <f>'A) Base RI'!W110</f>
        <v>0</v>
      </c>
      <c r="AE110" s="14">
        <f>'A) Base RI'!Y110</f>
        <v>0</v>
      </c>
      <c r="AF110" s="14">
        <f>'A) Base RI'!Z110</f>
        <v>34397.9</v>
      </c>
      <c r="AG110" s="14">
        <f>'A) Base RI'!AA110</f>
        <v>0</v>
      </c>
      <c r="AH110" s="14">
        <f>'A) Base RI'!AB110</f>
        <v>0</v>
      </c>
      <c r="AI110" s="14">
        <f>'A) Base RI'!AC110</f>
        <v>36810.25</v>
      </c>
      <c r="AJ110" s="14">
        <f>'A) Base RI'!AD110</f>
        <v>0</v>
      </c>
      <c r="AK110" s="14">
        <f>'A) Base RI'!AE110</f>
        <v>0</v>
      </c>
      <c r="AL110" s="14">
        <f>'A) Base RI'!AF110</f>
        <v>0</v>
      </c>
      <c r="AM110" s="14">
        <f>'A) Base RI'!AG110</f>
        <v>0</v>
      </c>
      <c r="AN110" s="14">
        <f>'A) Base RI'!AH110</f>
        <v>0</v>
      </c>
      <c r="AO110" s="14">
        <f>'A) Base RI'!AI110</f>
        <v>0</v>
      </c>
      <c r="AP110" s="14">
        <f>'A) Base RI'!AJ110</f>
        <v>0</v>
      </c>
      <c r="AQ110" s="14">
        <f>'A) Base RI'!AK110</f>
        <v>0</v>
      </c>
      <c r="AR110" s="14">
        <f>'A) Base RI'!AN110</f>
        <v>385</v>
      </c>
    </row>
    <row r="111" spans="1:44" x14ac:dyDescent="0.25">
      <c r="A111" s="12">
        <f>'A) Base RI'!A111</f>
        <v>5568</v>
      </c>
      <c r="B111" s="42" t="str">
        <f>'A) Base RI'!B111</f>
        <v>Sainte-Croix</v>
      </c>
      <c r="C111" s="14">
        <f>'A) Base RI'!C111+'A) Base RI'!D111</f>
        <v>5555525.8099999996</v>
      </c>
      <c r="D111" s="14">
        <f>'A) Base RI'!AO111</f>
        <v>-201523.41</v>
      </c>
      <c r="E111" s="41">
        <f>'A) Base RI'!AP111</f>
        <v>0</v>
      </c>
      <c r="F111" s="41">
        <f>'A) Base RI'!AQ111</f>
        <v>-842.26</v>
      </c>
      <c r="G111" s="4">
        <f t="shared" si="6"/>
        <v>5353160.1399999997</v>
      </c>
      <c r="H111" s="14">
        <f>'A) Base RI'!E111</f>
        <v>0</v>
      </c>
      <c r="I111" s="14">
        <f>'A) Base RI'!F111</f>
        <v>0</v>
      </c>
      <c r="J111" s="14">
        <f>'A) Base RI'!G111+'A) Base RI'!H111</f>
        <v>365733.85000000003</v>
      </c>
      <c r="K111" s="14">
        <f>'A) Base RI'!I111</f>
        <v>15460.9</v>
      </c>
      <c r="L111" s="14">
        <f>'A) Base RI'!J111</f>
        <v>185243</v>
      </c>
      <c r="M111" s="14">
        <f>'A) Base RI'!K111</f>
        <v>33497</v>
      </c>
      <c r="N111" s="14">
        <f>'A) Base RI'!Q111</f>
        <v>47147.74</v>
      </c>
      <c r="O111" s="14">
        <f t="shared" si="7"/>
        <v>540209.44999999995</v>
      </c>
      <c r="P111" s="14">
        <f>'A) Base RI'!L111</f>
        <v>540209.44999999995</v>
      </c>
      <c r="Q111" s="44">
        <f>'A) Base RI'!AR111</f>
        <v>1</v>
      </c>
      <c r="R111" s="4">
        <f t="shared" si="8"/>
        <v>6540452.0800000001</v>
      </c>
      <c r="S111" s="43">
        <f>'A) Base RI'!AM111</f>
        <v>70</v>
      </c>
      <c r="T111" s="4">
        <f t="shared" si="9"/>
        <v>5966745.6299999999</v>
      </c>
      <c r="U111" s="4">
        <f t="shared" si="10"/>
        <v>93435.029714285716</v>
      </c>
      <c r="V111" s="14">
        <f>'A) Base RI'!O111</f>
        <v>172138.5</v>
      </c>
      <c r="W111" s="14">
        <f>'A) Base RI'!P111</f>
        <v>253546.95</v>
      </c>
      <c r="X111" s="14">
        <f>'A) Base RI'!R111</f>
        <v>173208.45</v>
      </c>
      <c r="Y111" s="4">
        <f t="shared" si="11"/>
        <v>598893.9</v>
      </c>
      <c r="Z111" s="14">
        <f>'A) Base RI'!N111</f>
        <v>2072950.7</v>
      </c>
      <c r="AA111" s="14">
        <f>'A) Base RI'!S111+'A) Base RI'!T111</f>
        <v>14255.1</v>
      </c>
      <c r="AB111" s="14">
        <f>'A) Base RI'!U111</f>
        <v>20437.5</v>
      </c>
      <c r="AC111" s="14">
        <f>'A) Base RI'!V111</f>
        <v>0</v>
      </c>
      <c r="AD111" s="14">
        <f>'A) Base RI'!W111</f>
        <v>1128.3</v>
      </c>
      <c r="AE111" s="14">
        <f>'A) Base RI'!Y111</f>
        <v>27498.65</v>
      </c>
      <c r="AF111" s="14">
        <f>'A) Base RI'!Z111</f>
        <v>0</v>
      </c>
      <c r="AG111" s="14">
        <f>'A) Base RI'!AA111</f>
        <v>1397653.8</v>
      </c>
      <c r="AH111" s="14">
        <f>'A) Base RI'!AB111</f>
        <v>0</v>
      </c>
      <c r="AI111" s="14">
        <f>'A) Base RI'!AC111</f>
        <v>556370.25</v>
      </c>
      <c r="AJ111" s="14">
        <f>'A) Base RI'!AD111</f>
        <v>46973.1</v>
      </c>
      <c r="AK111" s="14">
        <f>'A) Base RI'!AE111</f>
        <v>0</v>
      </c>
      <c r="AL111" s="14">
        <f>'A) Base RI'!AF111</f>
        <v>0</v>
      </c>
      <c r="AM111" s="14">
        <f>'A) Base RI'!AG111</f>
        <v>55647.55</v>
      </c>
      <c r="AN111" s="14">
        <f>'A) Base RI'!AH111</f>
        <v>0</v>
      </c>
      <c r="AO111" s="14">
        <f>'A) Base RI'!AI111</f>
        <v>0</v>
      </c>
      <c r="AP111" s="14">
        <f>'A) Base RI'!AJ111</f>
        <v>82362.2</v>
      </c>
      <c r="AQ111" s="14">
        <f>'A) Base RI'!AK111</f>
        <v>0</v>
      </c>
      <c r="AR111" s="14">
        <f>'A) Base RI'!AN111</f>
        <v>4763</v>
      </c>
    </row>
    <row r="112" spans="1:44" x14ac:dyDescent="0.25">
      <c r="A112" s="12">
        <f>'A) Base RI'!A112</f>
        <v>5571</v>
      </c>
      <c r="B112" s="42" t="str">
        <f>'A) Base RI'!B112</f>
        <v>Tévenon</v>
      </c>
      <c r="C112" s="14">
        <f>'A) Base RI'!C112+'A) Base RI'!D112</f>
        <v>1364099.32</v>
      </c>
      <c r="D112" s="14">
        <f>'A) Base RI'!AO112</f>
        <v>-4376.8999999999996</v>
      </c>
      <c r="E112" s="41">
        <f>'A) Base RI'!AP112</f>
        <v>0</v>
      </c>
      <c r="F112" s="41">
        <f>'A) Base RI'!AQ112</f>
        <v>-15.04</v>
      </c>
      <c r="G112" s="4">
        <f t="shared" si="6"/>
        <v>1359707.3800000001</v>
      </c>
      <c r="H112" s="14">
        <f>'A) Base RI'!E112</f>
        <v>0</v>
      </c>
      <c r="I112" s="14">
        <f>'A) Base RI'!F112</f>
        <v>0</v>
      </c>
      <c r="J112" s="14">
        <f>'A) Base RI'!G112+'A) Base RI'!H112</f>
        <v>9530.4500000000007</v>
      </c>
      <c r="K112" s="14">
        <f>'A) Base RI'!I112</f>
        <v>0</v>
      </c>
      <c r="L112" s="14">
        <f>'A) Base RI'!J112</f>
        <v>10825.69</v>
      </c>
      <c r="M112" s="14">
        <f>'A) Base RI'!K112</f>
        <v>3815</v>
      </c>
      <c r="N112" s="14">
        <f>'A) Base RI'!Q112</f>
        <v>3256.05</v>
      </c>
      <c r="O112" s="14">
        <f t="shared" si="7"/>
        <v>128796.75000000001</v>
      </c>
      <c r="P112" s="14">
        <f>'A) Base RI'!L112</f>
        <v>154556.1</v>
      </c>
      <c r="Q112" s="44">
        <f>'A) Base RI'!AR112</f>
        <v>1.2</v>
      </c>
      <c r="R112" s="4">
        <f t="shared" si="8"/>
        <v>1515931.32</v>
      </c>
      <c r="S112" s="43">
        <f>'A) Base RI'!AM112</f>
        <v>73</v>
      </c>
      <c r="T112" s="4">
        <f t="shared" si="9"/>
        <v>1383319.57</v>
      </c>
      <c r="U112" s="4">
        <f t="shared" si="10"/>
        <v>20766.182465753427</v>
      </c>
      <c r="V112" s="14">
        <f>'A) Base RI'!O112</f>
        <v>0</v>
      </c>
      <c r="W112" s="14">
        <f>'A) Base RI'!P112</f>
        <v>54677.599999999999</v>
      </c>
      <c r="X112" s="14">
        <f>'A) Base RI'!R112</f>
        <v>40747.1</v>
      </c>
      <c r="Y112" s="4">
        <f t="shared" si="11"/>
        <v>95424.7</v>
      </c>
      <c r="Z112" s="14">
        <f>'A) Base RI'!N112</f>
        <v>61436.35</v>
      </c>
      <c r="AA112" s="14">
        <f>'A) Base RI'!S112+'A) Base RI'!T112</f>
        <v>120</v>
      </c>
      <c r="AB112" s="14">
        <f>'A) Base RI'!U112</f>
        <v>9550</v>
      </c>
      <c r="AC112" s="14">
        <f>'A) Base RI'!V112</f>
        <v>0</v>
      </c>
      <c r="AD112" s="14">
        <f>'A) Base RI'!W112</f>
        <v>0</v>
      </c>
      <c r="AE112" s="14">
        <f>'A) Base RI'!Y112</f>
        <v>54255.1</v>
      </c>
      <c r="AF112" s="14">
        <f>'A) Base RI'!Z112</f>
        <v>0</v>
      </c>
      <c r="AG112" s="14">
        <f>'A) Base RI'!AA112</f>
        <v>111993.1</v>
      </c>
      <c r="AH112" s="14">
        <f>'A) Base RI'!AB112</f>
        <v>0</v>
      </c>
      <c r="AI112" s="14">
        <f>'A) Base RI'!AC112</f>
        <v>22256.3</v>
      </c>
      <c r="AJ112" s="14">
        <f>'A) Base RI'!AD112</f>
        <v>77170</v>
      </c>
      <c r="AK112" s="14">
        <f>'A) Base RI'!AE112</f>
        <v>0</v>
      </c>
      <c r="AL112" s="14">
        <f>'A) Base RI'!AF112</f>
        <v>0</v>
      </c>
      <c r="AM112" s="14">
        <f>'A) Base RI'!AG112</f>
        <v>15737.2</v>
      </c>
      <c r="AN112" s="14">
        <f>'A) Base RI'!AH112</f>
        <v>20628.7</v>
      </c>
      <c r="AO112" s="14">
        <f>'A) Base RI'!AI112</f>
        <v>0</v>
      </c>
      <c r="AP112" s="14">
        <f>'A) Base RI'!AJ112</f>
        <v>0</v>
      </c>
      <c r="AQ112" s="14">
        <f>'A) Base RI'!AK112</f>
        <v>0</v>
      </c>
      <c r="AR112" s="14">
        <f>'A) Base RI'!AN112</f>
        <v>811</v>
      </c>
    </row>
    <row r="113" spans="1:44" x14ac:dyDescent="0.25">
      <c r="A113" s="12">
        <f>'A) Base RI'!A113</f>
        <v>5581</v>
      </c>
      <c r="B113" s="42" t="str">
        <f>'A) Base RI'!B113</f>
        <v>Belmont-sur-Lausanne</v>
      </c>
      <c r="C113" s="14">
        <f>'A) Base RI'!C113+'A) Base RI'!D113</f>
        <v>10660117.300000001</v>
      </c>
      <c r="D113" s="14">
        <f>'A) Base RI'!AO113</f>
        <v>-87446.64</v>
      </c>
      <c r="E113" s="41">
        <f>'A) Base RI'!AP113</f>
        <v>0</v>
      </c>
      <c r="F113" s="41">
        <f>'A) Base RI'!AQ113</f>
        <v>-4372.1000000000004</v>
      </c>
      <c r="G113" s="4">
        <f t="shared" si="6"/>
        <v>10568298.560000001</v>
      </c>
      <c r="H113" s="14">
        <f>'A) Base RI'!E113</f>
        <v>0</v>
      </c>
      <c r="I113" s="14">
        <f>'A) Base RI'!F113</f>
        <v>0</v>
      </c>
      <c r="J113" s="14">
        <f>'A) Base RI'!G113+'A) Base RI'!H113</f>
        <v>246410.5</v>
      </c>
      <c r="K113" s="14">
        <f>'A) Base RI'!I113</f>
        <v>122551.1</v>
      </c>
      <c r="L113" s="14">
        <f>'A) Base RI'!J113</f>
        <v>274430.56</v>
      </c>
      <c r="M113" s="14">
        <f>'A) Base RI'!K113</f>
        <v>21875.5</v>
      </c>
      <c r="N113" s="14">
        <f>'A) Base RI'!Q113</f>
        <v>15981.53</v>
      </c>
      <c r="O113" s="14">
        <f t="shared" si="7"/>
        <v>776339.70000000007</v>
      </c>
      <c r="P113" s="14">
        <f>'A) Base RI'!L113</f>
        <v>1164509.55</v>
      </c>
      <c r="Q113" s="44">
        <f>'A) Base RI'!AR113</f>
        <v>1.5</v>
      </c>
      <c r="R113" s="4">
        <f t="shared" si="8"/>
        <v>12025887.449999999</v>
      </c>
      <c r="S113" s="43">
        <f>'A) Base RI'!AM113</f>
        <v>69.5</v>
      </c>
      <c r="T113" s="4">
        <f t="shared" si="9"/>
        <v>11227672.25</v>
      </c>
      <c r="U113" s="4">
        <f t="shared" si="10"/>
        <v>173034.35179856114</v>
      </c>
      <c r="V113" s="14">
        <f>'A) Base RI'!O113</f>
        <v>54877.5</v>
      </c>
      <c r="W113" s="14">
        <f>'A) Base RI'!P113</f>
        <v>460485.8</v>
      </c>
      <c r="X113" s="14">
        <f>'A) Base RI'!R113</f>
        <v>294549.15000000002</v>
      </c>
      <c r="Y113" s="4">
        <f t="shared" si="11"/>
        <v>809912.45</v>
      </c>
      <c r="Z113" s="14">
        <f>'A) Base RI'!N113</f>
        <v>0</v>
      </c>
      <c r="AA113" s="14">
        <f>'A) Base RI'!S113+'A) Base RI'!T113</f>
        <v>156.25</v>
      </c>
      <c r="AB113" s="14">
        <f>'A) Base RI'!U113</f>
        <v>15330</v>
      </c>
      <c r="AC113" s="14">
        <f>'A) Base RI'!V113</f>
        <v>0</v>
      </c>
      <c r="AD113" s="14">
        <f>'A) Base RI'!W113</f>
        <v>0</v>
      </c>
      <c r="AE113" s="14">
        <f>'A) Base RI'!Y113</f>
        <v>85201.62</v>
      </c>
      <c r="AF113" s="14">
        <f>'A) Base RI'!Z113</f>
        <v>0</v>
      </c>
      <c r="AG113" s="14">
        <f>'A) Base RI'!AA113</f>
        <v>624295.92000000004</v>
      </c>
      <c r="AH113" s="14">
        <f>'A) Base RI'!AB113</f>
        <v>0</v>
      </c>
      <c r="AI113" s="14">
        <f>'A) Base RI'!AC113</f>
        <v>547267.16</v>
      </c>
      <c r="AJ113" s="14">
        <f>'A) Base RI'!AD113</f>
        <v>146264.03</v>
      </c>
      <c r="AK113" s="14">
        <f>'A) Base RI'!AE113</f>
        <v>0</v>
      </c>
      <c r="AL113" s="14">
        <f>'A) Base RI'!AF113</f>
        <v>0</v>
      </c>
      <c r="AM113" s="14">
        <f>'A) Base RI'!AG113</f>
        <v>11742.1</v>
      </c>
      <c r="AN113" s="14">
        <f>'A) Base RI'!AH113</f>
        <v>0</v>
      </c>
      <c r="AO113" s="14">
        <f>'A) Base RI'!AI113</f>
        <v>0</v>
      </c>
      <c r="AP113" s="14">
        <f>'A) Base RI'!AJ113</f>
        <v>74347.25</v>
      </c>
      <c r="AQ113" s="14">
        <f>'A) Base RI'!AK113</f>
        <v>0</v>
      </c>
      <c r="AR113" s="14">
        <f>'A) Base RI'!AN113</f>
        <v>3602</v>
      </c>
    </row>
    <row r="114" spans="1:44" x14ac:dyDescent="0.25">
      <c r="A114" s="12">
        <f>'A) Base RI'!A114</f>
        <v>5582</v>
      </c>
      <c r="B114" s="42" t="str">
        <f>'A) Base RI'!B114</f>
        <v>Cheseaux-sur-Lausanne</v>
      </c>
      <c r="C114" s="14">
        <f>'A) Base RI'!C114+'A) Base RI'!D114</f>
        <v>9740472.7999999989</v>
      </c>
      <c r="D114" s="14">
        <f>'A) Base RI'!AO114</f>
        <v>-107561.04</v>
      </c>
      <c r="E114" s="41">
        <f>'A) Base RI'!AP114</f>
        <v>0</v>
      </c>
      <c r="F114" s="41">
        <f>'A) Base RI'!AQ114</f>
        <v>-1400.24</v>
      </c>
      <c r="G114" s="4">
        <f t="shared" si="6"/>
        <v>9631511.5199999996</v>
      </c>
      <c r="H114" s="14">
        <f>'A) Base RI'!E114</f>
        <v>0</v>
      </c>
      <c r="I114" s="14">
        <f>'A) Base RI'!F114</f>
        <v>0</v>
      </c>
      <c r="J114" s="14">
        <f>'A) Base RI'!G114+'A) Base RI'!H114</f>
        <v>1352689.07</v>
      </c>
      <c r="K114" s="14">
        <f>'A) Base RI'!I114</f>
        <v>37580.65</v>
      </c>
      <c r="L114" s="14">
        <f>'A) Base RI'!J114</f>
        <v>470725.42</v>
      </c>
      <c r="M114" s="14">
        <f>'A) Base RI'!K114</f>
        <v>37413</v>
      </c>
      <c r="N114" s="14">
        <f>'A) Base RI'!Q114</f>
        <v>54403.77</v>
      </c>
      <c r="O114" s="14">
        <f t="shared" si="7"/>
        <v>733987</v>
      </c>
      <c r="P114" s="14">
        <f>'A) Base RI'!L114</f>
        <v>733987</v>
      </c>
      <c r="Q114" s="44">
        <f>'A) Base RI'!AR114</f>
        <v>1</v>
      </c>
      <c r="R114" s="4">
        <f t="shared" si="8"/>
        <v>12318310.43</v>
      </c>
      <c r="S114" s="43">
        <f>'A) Base RI'!AM114</f>
        <v>74.5</v>
      </c>
      <c r="T114" s="4">
        <f t="shared" si="9"/>
        <v>11546910.43</v>
      </c>
      <c r="U114" s="4">
        <f t="shared" si="10"/>
        <v>165346.44872483221</v>
      </c>
      <c r="V114" s="14">
        <f>'A) Base RI'!O114</f>
        <v>65354.5</v>
      </c>
      <c r="W114" s="14">
        <f>'A) Base RI'!P114</f>
        <v>459236.85</v>
      </c>
      <c r="X114" s="14">
        <f>'A) Base RI'!R114</f>
        <v>236385.7</v>
      </c>
      <c r="Y114" s="4">
        <f t="shared" si="11"/>
        <v>760977.05</v>
      </c>
      <c r="Z114" s="14">
        <f>'A) Base RI'!N114</f>
        <v>603734.35</v>
      </c>
      <c r="AA114" s="14">
        <f>'A) Base RI'!S114+'A) Base RI'!T114</f>
        <v>2076.4</v>
      </c>
      <c r="AB114" s="14">
        <f>'A) Base RI'!U114</f>
        <v>15150</v>
      </c>
      <c r="AC114" s="14">
        <f>'A) Base RI'!V114</f>
        <v>0</v>
      </c>
      <c r="AD114" s="14">
        <f>'A) Base RI'!W114</f>
        <v>0</v>
      </c>
      <c r="AE114" s="14">
        <f>'A) Base RI'!Y114</f>
        <v>255472.7</v>
      </c>
      <c r="AF114" s="14">
        <f>'A) Base RI'!Z114</f>
        <v>14220.15</v>
      </c>
      <c r="AG114" s="14">
        <f>'A) Base RI'!AA114</f>
        <v>571281.4</v>
      </c>
      <c r="AH114" s="14">
        <f>'A) Base RI'!AB114</f>
        <v>0</v>
      </c>
      <c r="AI114" s="14">
        <f>'A) Base RI'!AC114</f>
        <v>479097.1</v>
      </c>
      <c r="AJ114" s="14">
        <f>'A) Base RI'!AD114</f>
        <v>0</v>
      </c>
      <c r="AK114" s="14">
        <f>'A) Base RI'!AE114</f>
        <v>0</v>
      </c>
      <c r="AL114" s="14">
        <f>'A) Base RI'!AF114</f>
        <v>0</v>
      </c>
      <c r="AM114" s="14">
        <f>'A) Base RI'!AG114</f>
        <v>0</v>
      </c>
      <c r="AN114" s="14">
        <f>'A) Base RI'!AH114</f>
        <v>189553.35</v>
      </c>
      <c r="AO114" s="14">
        <f>'A) Base RI'!AI114</f>
        <v>0</v>
      </c>
      <c r="AP114" s="14">
        <f>'A) Base RI'!AJ114</f>
        <v>0</v>
      </c>
      <c r="AQ114" s="14">
        <f>'A) Base RI'!AK114</f>
        <v>0</v>
      </c>
      <c r="AR114" s="14">
        <f>'A) Base RI'!AN114</f>
        <v>4297</v>
      </c>
    </row>
    <row r="115" spans="1:44" x14ac:dyDescent="0.25">
      <c r="A115" s="12">
        <f>'A) Base RI'!A115</f>
        <v>5583</v>
      </c>
      <c r="B115" s="42" t="str">
        <f>'A) Base RI'!B115</f>
        <v>Crissier</v>
      </c>
      <c r="C115" s="14">
        <f>'A) Base RI'!C115+'A) Base RI'!D115</f>
        <v>12956307.48</v>
      </c>
      <c r="D115" s="14">
        <f>'A) Base RI'!AO115</f>
        <v>-305920.89</v>
      </c>
      <c r="E115" s="41">
        <f>'A) Base RI'!AP115</f>
        <v>0</v>
      </c>
      <c r="F115" s="41">
        <f>'A) Base RI'!AQ115</f>
        <v>-1033.1600000000001</v>
      </c>
      <c r="G115" s="4">
        <f t="shared" si="6"/>
        <v>12649353.43</v>
      </c>
      <c r="H115" s="14">
        <f>'A) Base RI'!E115</f>
        <v>0</v>
      </c>
      <c r="I115" s="14">
        <f>'A) Base RI'!F115</f>
        <v>0</v>
      </c>
      <c r="J115" s="14">
        <f>'A) Base RI'!G115+'A) Base RI'!H115</f>
        <v>5400506.3500000006</v>
      </c>
      <c r="K115" s="14">
        <f>'A) Base RI'!I115</f>
        <v>0</v>
      </c>
      <c r="L115" s="14">
        <f>'A) Base RI'!J115</f>
        <v>726320.2</v>
      </c>
      <c r="M115" s="14">
        <f>'A) Base RI'!K115</f>
        <v>159156</v>
      </c>
      <c r="N115" s="14">
        <f>'A) Base RI'!Q115</f>
        <v>78063.05</v>
      </c>
      <c r="O115" s="14">
        <f t="shared" si="7"/>
        <v>2041772.75</v>
      </c>
      <c r="P115" s="14">
        <f>'A) Base RI'!L115</f>
        <v>2041772.75</v>
      </c>
      <c r="Q115" s="44">
        <f>'A) Base RI'!AR115</f>
        <v>1</v>
      </c>
      <c r="R115" s="4">
        <f t="shared" si="8"/>
        <v>21055171.780000001</v>
      </c>
      <c r="S115" s="43">
        <f>'A) Base RI'!AM115</f>
        <v>65</v>
      </c>
      <c r="T115" s="4">
        <f t="shared" si="9"/>
        <v>18854243.030000001</v>
      </c>
      <c r="U115" s="4">
        <f t="shared" si="10"/>
        <v>323925.7196923077</v>
      </c>
      <c r="V115" s="14">
        <f>'A) Base RI'!O115</f>
        <v>90009.9</v>
      </c>
      <c r="W115" s="14">
        <f>'A) Base RI'!P115</f>
        <v>804714.9</v>
      </c>
      <c r="X115" s="14">
        <f>'A) Base RI'!R115</f>
        <v>476354.15</v>
      </c>
      <c r="Y115" s="4">
        <f t="shared" si="11"/>
        <v>1371078.9500000002</v>
      </c>
      <c r="Z115" s="14">
        <f>'A) Base RI'!N115</f>
        <v>1552944.55</v>
      </c>
      <c r="AA115" s="14">
        <f>'A) Base RI'!S115+'A) Base RI'!T115</f>
        <v>837.5</v>
      </c>
      <c r="AB115" s="14">
        <f>'A) Base RI'!U115</f>
        <v>44737.5</v>
      </c>
      <c r="AC115" s="14">
        <f>'A) Base RI'!V115</f>
        <v>546</v>
      </c>
      <c r="AD115" s="14">
        <f>'A) Base RI'!W115</f>
        <v>130449.75</v>
      </c>
      <c r="AE115" s="14">
        <f>'A) Base RI'!Y115</f>
        <v>408284</v>
      </c>
      <c r="AF115" s="14">
        <f>'A) Base RI'!Z115</f>
        <v>106725.85</v>
      </c>
      <c r="AG115" s="14">
        <f>'A) Base RI'!AA115</f>
        <v>0</v>
      </c>
      <c r="AH115" s="14">
        <f>'A) Base RI'!AB115</f>
        <v>0</v>
      </c>
      <c r="AI115" s="14">
        <f>'A) Base RI'!AC115</f>
        <v>936630.7</v>
      </c>
      <c r="AJ115" s="14">
        <f>'A) Base RI'!AD115</f>
        <v>776171.16</v>
      </c>
      <c r="AK115" s="14">
        <f>'A) Base RI'!AE115</f>
        <v>813451.61</v>
      </c>
      <c r="AL115" s="14">
        <f>'A) Base RI'!AF115</f>
        <v>-828.5</v>
      </c>
      <c r="AM115" s="14">
        <f>'A) Base RI'!AG115</f>
        <v>187842.1</v>
      </c>
      <c r="AN115" s="14">
        <f>'A) Base RI'!AH115</f>
        <v>591822.1</v>
      </c>
      <c r="AO115" s="14">
        <f>'A) Base RI'!AI115</f>
        <v>0</v>
      </c>
      <c r="AP115" s="14">
        <f>'A) Base RI'!AJ115</f>
        <v>41915.85</v>
      </c>
      <c r="AQ115" s="14">
        <f>'A) Base RI'!AK115</f>
        <v>0</v>
      </c>
      <c r="AR115" s="14">
        <f>'A) Base RI'!AN115</f>
        <v>7542</v>
      </c>
    </row>
    <row r="116" spans="1:44" x14ac:dyDescent="0.25">
      <c r="A116" s="12">
        <f>'A) Base RI'!A116</f>
        <v>5584</v>
      </c>
      <c r="B116" s="42" t="str">
        <f>'A) Base RI'!B116</f>
        <v>Epalinges</v>
      </c>
      <c r="C116" s="14">
        <f>'A) Base RI'!C116+'A) Base RI'!D116</f>
        <v>25936205.920000002</v>
      </c>
      <c r="D116" s="14">
        <f>'A) Base RI'!AO116</f>
        <v>-216937.36</v>
      </c>
      <c r="E116" s="41">
        <f>'A) Base RI'!AP116</f>
        <v>0</v>
      </c>
      <c r="F116" s="41">
        <f>'A) Base RI'!AQ116</f>
        <v>-11174.34</v>
      </c>
      <c r="G116" s="4">
        <f t="shared" si="6"/>
        <v>25708094.220000003</v>
      </c>
      <c r="H116" s="14">
        <f>'A) Base RI'!E116</f>
        <v>0</v>
      </c>
      <c r="I116" s="14">
        <f>'A) Base RI'!F116</f>
        <v>0</v>
      </c>
      <c r="J116" s="14">
        <f>'A) Base RI'!G116+'A) Base RI'!H116</f>
        <v>1136934.45</v>
      </c>
      <c r="K116" s="14">
        <f>'A) Base RI'!I116</f>
        <v>343593.03</v>
      </c>
      <c r="L116" s="14">
        <f>'A) Base RI'!J116</f>
        <v>768147.68</v>
      </c>
      <c r="M116" s="14">
        <f>'A) Base RI'!K116</f>
        <v>174937</v>
      </c>
      <c r="N116" s="14">
        <f>'A) Base RI'!Q116</f>
        <v>31028.22</v>
      </c>
      <c r="O116" s="14">
        <f t="shared" si="7"/>
        <v>1928223.46</v>
      </c>
      <c r="P116" s="14">
        <f>'A) Base RI'!L116</f>
        <v>1928223.46</v>
      </c>
      <c r="Q116" s="44">
        <f>'A) Base RI'!AR116</f>
        <v>1</v>
      </c>
      <c r="R116" s="4">
        <f t="shared" si="8"/>
        <v>30090958.060000002</v>
      </c>
      <c r="S116" s="43">
        <f>'A) Base RI'!AM116</f>
        <v>66</v>
      </c>
      <c r="T116" s="4">
        <f t="shared" si="9"/>
        <v>27987797.600000001</v>
      </c>
      <c r="U116" s="4">
        <f t="shared" si="10"/>
        <v>455923.60696969699</v>
      </c>
      <c r="V116" s="14">
        <f>'A) Base RI'!O116</f>
        <v>1361273.5</v>
      </c>
      <c r="W116" s="14">
        <f>'A) Base RI'!P116</f>
        <v>1215434</v>
      </c>
      <c r="X116" s="14">
        <f>'A) Base RI'!R116</f>
        <v>671671.65</v>
      </c>
      <c r="Y116" s="4">
        <f t="shared" si="11"/>
        <v>3248379.15</v>
      </c>
      <c r="Z116" s="14">
        <f>'A) Base RI'!N116</f>
        <v>154161.45000000001</v>
      </c>
      <c r="AA116" s="14">
        <f>'A) Base RI'!S116+'A) Base RI'!T116</f>
        <v>30059.75</v>
      </c>
      <c r="AB116" s="14">
        <f>'A) Base RI'!U116</f>
        <v>34320</v>
      </c>
      <c r="AC116" s="14">
        <f>'A) Base RI'!V116</f>
        <v>393.3</v>
      </c>
      <c r="AD116" s="14">
        <f>'A) Base RI'!W116</f>
        <v>0</v>
      </c>
      <c r="AE116" s="14">
        <f>'A) Base RI'!Y116</f>
        <v>363090.05</v>
      </c>
      <c r="AF116" s="14">
        <f>'A) Base RI'!Z116</f>
        <v>0</v>
      </c>
      <c r="AG116" s="14">
        <f>'A) Base RI'!AA116</f>
        <v>512594.35</v>
      </c>
      <c r="AH116" s="14">
        <f>'A) Base RI'!AB116</f>
        <v>0</v>
      </c>
      <c r="AI116" s="14">
        <f>'A) Base RI'!AC116</f>
        <v>713021.1</v>
      </c>
      <c r="AJ116" s="14">
        <f>'A) Base RI'!AD116</f>
        <v>0</v>
      </c>
      <c r="AK116" s="14">
        <f>'A) Base RI'!AE116</f>
        <v>0</v>
      </c>
      <c r="AL116" s="14">
        <f>'A) Base RI'!AF116</f>
        <v>0</v>
      </c>
      <c r="AM116" s="14">
        <f>'A) Base RI'!AG116</f>
        <v>0</v>
      </c>
      <c r="AN116" s="14">
        <f>'A) Base RI'!AH116</f>
        <v>245738.47</v>
      </c>
      <c r="AO116" s="14">
        <f>'A) Base RI'!AI116</f>
        <v>0</v>
      </c>
      <c r="AP116" s="14">
        <f>'A) Base RI'!AJ116</f>
        <v>0</v>
      </c>
      <c r="AQ116" s="14">
        <f>'A) Base RI'!AK116</f>
        <v>0</v>
      </c>
      <c r="AR116" s="14">
        <f>'A) Base RI'!AN116</f>
        <v>9185</v>
      </c>
    </row>
    <row r="117" spans="1:44" x14ac:dyDescent="0.25">
      <c r="A117" s="12">
        <f>'A) Base RI'!A117</f>
        <v>5585</v>
      </c>
      <c r="B117" s="42" t="str">
        <f>'A) Base RI'!B117</f>
        <v>Jouxtens-Mézery</v>
      </c>
      <c r="C117" s="14">
        <f>'A) Base RI'!C117+'A) Base RI'!D117</f>
        <v>7642438.46</v>
      </c>
      <c r="D117" s="14">
        <f>'A) Base RI'!AO117</f>
        <v>-19725.86</v>
      </c>
      <c r="E117" s="41">
        <f>'A) Base RI'!AP117</f>
        <v>0</v>
      </c>
      <c r="F117" s="41">
        <f>'A) Base RI'!AQ117</f>
        <v>-3128.64</v>
      </c>
      <c r="G117" s="4">
        <f t="shared" si="6"/>
        <v>7619583.96</v>
      </c>
      <c r="H117" s="14">
        <f>'A) Base RI'!E117</f>
        <v>0</v>
      </c>
      <c r="I117" s="14">
        <f>'A) Base RI'!F117</f>
        <v>0</v>
      </c>
      <c r="J117" s="14">
        <f>'A) Base RI'!G117+'A) Base RI'!H117</f>
        <v>96603.700000000012</v>
      </c>
      <c r="K117" s="14">
        <f>'A) Base RI'!I117</f>
        <v>336191.6</v>
      </c>
      <c r="L117" s="14">
        <f>'A) Base RI'!J117</f>
        <v>-70955.75</v>
      </c>
      <c r="M117" s="14">
        <f>'A) Base RI'!K117</f>
        <v>5022</v>
      </c>
      <c r="N117" s="14">
        <f>'A) Base RI'!Q117</f>
        <v>2065.14</v>
      </c>
      <c r="O117" s="14">
        <f t="shared" si="7"/>
        <v>447917</v>
      </c>
      <c r="P117" s="14">
        <f>'A) Base RI'!L117</f>
        <v>447917</v>
      </c>
      <c r="Q117" s="378">
        <f>'A) Base RI'!AR117</f>
        <v>1</v>
      </c>
      <c r="R117" s="4">
        <f t="shared" si="8"/>
        <v>8436427.6499999985</v>
      </c>
      <c r="S117" s="43">
        <f>'A) Base RI'!AM117</f>
        <v>53</v>
      </c>
      <c r="T117" s="4">
        <f t="shared" si="9"/>
        <v>7983488.6499999994</v>
      </c>
      <c r="U117" s="4">
        <f t="shared" si="10"/>
        <v>159177.88018867921</v>
      </c>
      <c r="V117" s="14">
        <f>'A) Base RI'!O117</f>
        <v>204874.5</v>
      </c>
      <c r="W117" s="14">
        <f>'A) Base RI'!P117</f>
        <v>151862.35</v>
      </c>
      <c r="X117" s="14">
        <f>'A) Base RI'!R117</f>
        <v>189083.5</v>
      </c>
      <c r="Y117" s="4">
        <f t="shared" si="11"/>
        <v>545820.35</v>
      </c>
      <c r="Z117" s="14">
        <f>'A) Base RI'!N117</f>
        <v>2778.95</v>
      </c>
      <c r="AA117" s="14">
        <f>'A) Base RI'!S117+'A) Base RI'!T117</f>
        <v>0</v>
      </c>
      <c r="AB117" s="14">
        <f>'A) Base RI'!U117</f>
        <v>6690</v>
      </c>
      <c r="AC117" s="14">
        <f>'A) Base RI'!V117</f>
        <v>0</v>
      </c>
      <c r="AD117" s="14">
        <f>'A) Base RI'!W117</f>
        <v>0</v>
      </c>
      <c r="AE117" s="14">
        <f>'A) Base RI'!Y117</f>
        <v>94167.8</v>
      </c>
      <c r="AF117" s="14">
        <f>'A) Base RI'!Z117</f>
        <v>0</v>
      </c>
      <c r="AG117" s="14">
        <f>'A) Base RI'!AA117</f>
        <v>281565.05</v>
      </c>
      <c r="AH117" s="14">
        <f>'A) Base RI'!AB117</f>
        <v>0</v>
      </c>
      <c r="AI117" s="14">
        <f>'A) Base RI'!AC117</f>
        <v>150488.29999999999</v>
      </c>
      <c r="AJ117" s="14">
        <f>'A) Base RI'!AD117</f>
        <v>0</v>
      </c>
      <c r="AK117" s="14">
        <f>'A) Base RI'!AE117</f>
        <v>0</v>
      </c>
      <c r="AL117" s="14">
        <f>'A) Base RI'!AF117</f>
        <v>0</v>
      </c>
      <c r="AM117" s="14">
        <f>'A) Base RI'!AG117</f>
        <v>0</v>
      </c>
      <c r="AN117" s="14">
        <f>'A) Base RI'!AH117</f>
        <v>0</v>
      </c>
      <c r="AO117" s="14">
        <f>'A) Base RI'!AI117</f>
        <v>0</v>
      </c>
      <c r="AP117" s="14">
        <f>'A) Base RI'!AJ117</f>
        <v>0</v>
      </c>
      <c r="AQ117" s="14">
        <f>'A) Base RI'!AK117</f>
        <v>0</v>
      </c>
      <c r="AR117" s="14">
        <f>'A) Base RI'!AN117</f>
        <v>1405</v>
      </c>
    </row>
    <row r="118" spans="1:44" x14ac:dyDescent="0.25">
      <c r="A118" s="12">
        <f>'A) Base RI'!A118</f>
        <v>5586</v>
      </c>
      <c r="B118" s="42" t="str">
        <f>'A) Base RI'!B118</f>
        <v>Lausanne</v>
      </c>
      <c r="C118" s="14">
        <f>'A) Base RI'!C118+'A) Base RI'!D118</f>
        <v>315479147.58999997</v>
      </c>
      <c r="D118" s="14">
        <f>'A) Base RI'!AO118</f>
        <v>-8430238.9199999999</v>
      </c>
      <c r="E118" s="41">
        <f>'A) Base RI'!AP118</f>
        <v>0</v>
      </c>
      <c r="F118" s="41">
        <f>'A) Base RI'!AQ118</f>
        <v>-206845.15</v>
      </c>
      <c r="G118" s="4">
        <f t="shared" si="6"/>
        <v>306842063.51999998</v>
      </c>
      <c r="H118" s="14">
        <f>'A) Base RI'!E118</f>
        <v>0</v>
      </c>
      <c r="I118" s="14">
        <f>'A) Base RI'!F118</f>
        <v>0</v>
      </c>
      <c r="J118" s="14">
        <f>'A) Base RI'!G118+'A) Base RI'!H118</f>
        <v>96742445.450000003</v>
      </c>
      <c r="K118" s="14">
        <f>'A) Base RI'!I118</f>
        <v>4526664.26</v>
      </c>
      <c r="L118" s="14">
        <f>'A) Base RI'!J118</f>
        <v>28276234.800000001</v>
      </c>
      <c r="M118" s="14">
        <f>'A) Base RI'!K118</f>
        <v>5027736</v>
      </c>
      <c r="N118" s="14">
        <f>'A) Base RI'!Q118</f>
        <v>2923790.37</v>
      </c>
      <c r="O118" s="14">
        <f t="shared" si="7"/>
        <v>21561914.866666667</v>
      </c>
      <c r="P118" s="14">
        <f>'A) Base RI'!L118</f>
        <v>32342872.300000001</v>
      </c>
      <c r="Q118" s="44">
        <f>'A) Base RI'!AR118</f>
        <v>1.5</v>
      </c>
      <c r="R118" s="4">
        <f t="shared" si="8"/>
        <v>465900849.26666665</v>
      </c>
      <c r="S118" s="43">
        <f>'A) Base RI'!AM118</f>
        <v>79</v>
      </c>
      <c r="T118" s="4">
        <f t="shared" si="9"/>
        <v>439311198.39999998</v>
      </c>
      <c r="U118" s="4">
        <f t="shared" si="10"/>
        <v>5897479.10464135</v>
      </c>
      <c r="V118" s="14">
        <f>'A) Base RI'!O118</f>
        <v>13168590.65</v>
      </c>
      <c r="W118" s="14">
        <f>'A) Base RI'!P118</f>
        <v>8943912.6999999993</v>
      </c>
      <c r="X118" s="14">
        <f>'A) Base RI'!R118</f>
        <v>6074642.5</v>
      </c>
      <c r="Y118" s="4">
        <f t="shared" si="11"/>
        <v>28187145.850000001</v>
      </c>
      <c r="Z118" s="14">
        <f>'A) Base RI'!N118</f>
        <v>10512662.449999999</v>
      </c>
      <c r="AA118" s="14">
        <f>'A) Base RI'!S118+'A) Base RI'!T118</f>
        <v>31.25</v>
      </c>
      <c r="AB118" s="14">
        <f>'A) Base RI'!U118</f>
        <v>342730</v>
      </c>
      <c r="AC118" s="14">
        <f>'A) Base RI'!V118</f>
        <v>5261084.9000000004</v>
      </c>
      <c r="AD118" s="14">
        <f>'A) Base RI'!W118</f>
        <v>0</v>
      </c>
      <c r="AE118" s="14">
        <f>'A) Base RI'!Y118</f>
        <v>2943727.35</v>
      </c>
      <c r="AF118" s="14">
        <f>'A) Base RI'!Z118</f>
        <v>0</v>
      </c>
      <c r="AG118" s="14">
        <f>'A) Base RI'!AA118</f>
        <v>14236152.35</v>
      </c>
      <c r="AH118" s="14">
        <f>'A) Base RI'!AB118</f>
        <v>0</v>
      </c>
      <c r="AI118" s="14">
        <f>'A) Base RI'!AC118</f>
        <v>21367276.350000001</v>
      </c>
      <c r="AJ118" s="14">
        <f>'A) Base RI'!AD118</f>
        <v>8412968.0999999996</v>
      </c>
      <c r="AK118" s="14">
        <f>'A) Base RI'!AE118</f>
        <v>0</v>
      </c>
      <c r="AL118" s="14">
        <f>'A) Base RI'!AF118</f>
        <v>0</v>
      </c>
      <c r="AM118" s="14">
        <f>'A) Base RI'!AG118</f>
        <v>3066891.44</v>
      </c>
      <c r="AN118" s="14">
        <f>'A) Base RI'!AH118</f>
        <v>7729156.4900000002</v>
      </c>
      <c r="AO118" s="14">
        <f>'A) Base RI'!AI118</f>
        <v>7558073.0499999998</v>
      </c>
      <c r="AP118" s="14">
        <f>'A) Base RI'!AJ118</f>
        <v>1681663.53</v>
      </c>
      <c r="AQ118" s="14">
        <f>'A) Base RI'!AK118</f>
        <v>1681644.88</v>
      </c>
      <c r="AR118" s="14">
        <f>'A) Base RI'!AN118</f>
        <v>134937</v>
      </c>
    </row>
    <row r="119" spans="1:44" x14ac:dyDescent="0.25">
      <c r="A119" s="12">
        <f>'A) Base RI'!A119</f>
        <v>5587</v>
      </c>
      <c r="B119" s="42" t="str">
        <f>'A) Base RI'!B119</f>
        <v>Le Mont-sur-Lausanne</v>
      </c>
      <c r="C119" s="14">
        <f>'A) Base RI'!C119+'A) Base RI'!D119</f>
        <v>22783650.359999999</v>
      </c>
      <c r="D119" s="14">
        <f>'A) Base RI'!AO119</f>
        <v>-402509.5</v>
      </c>
      <c r="E119" s="41">
        <f>'A) Base RI'!AP119</f>
        <v>0</v>
      </c>
      <c r="F119" s="41">
        <f>'A) Base RI'!AQ119</f>
        <v>-16231.38</v>
      </c>
      <c r="G119" s="4">
        <f t="shared" si="6"/>
        <v>22364909.48</v>
      </c>
      <c r="H119" s="14">
        <f>'A) Base RI'!E119</f>
        <v>0</v>
      </c>
      <c r="I119" s="14">
        <f>'A) Base RI'!F119</f>
        <v>0</v>
      </c>
      <c r="J119" s="14">
        <f>'A) Base RI'!G119+'A) Base RI'!H119</f>
        <v>3697287.5</v>
      </c>
      <c r="K119" s="14">
        <f>'A) Base RI'!I119</f>
        <v>89175.05</v>
      </c>
      <c r="L119" s="14">
        <f>'A) Base RI'!J119</f>
        <v>468295.99</v>
      </c>
      <c r="M119" s="14">
        <f>'A) Base RI'!K119</f>
        <v>173689.5</v>
      </c>
      <c r="N119" s="14">
        <f>'A) Base RI'!Q119</f>
        <v>79595.45</v>
      </c>
      <c r="O119" s="14">
        <f t="shared" si="7"/>
        <v>1660722.2916666667</v>
      </c>
      <c r="P119" s="14">
        <f>'A) Base RI'!L119</f>
        <v>1992866.75</v>
      </c>
      <c r="Q119" s="44">
        <f>'A) Base RI'!AR119</f>
        <v>1.2</v>
      </c>
      <c r="R119" s="4">
        <f t="shared" si="8"/>
        <v>28533675.261666667</v>
      </c>
      <c r="S119" s="43">
        <f>'A) Base RI'!AM119</f>
        <v>75</v>
      </c>
      <c r="T119" s="4">
        <f t="shared" si="9"/>
        <v>26699263.469999999</v>
      </c>
      <c r="U119" s="4">
        <f t="shared" si="10"/>
        <v>380449.00348888891</v>
      </c>
      <c r="V119" s="14">
        <f>'A) Base RI'!O119</f>
        <v>837970.6</v>
      </c>
      <c r="W119" s="14">
        <f>'A) Base RI'!P119</f>
        <v>1747466.05</v>
      </c>
      <c r="X119" s="14">
        <f>'A) Base RI'!R119</f>
        <v>367371.45</v>
      </c>
      <c r="Y119" s="4">
        <f t="shared" si="11"/>
        <v>2952808.1</v>
      </c>
      <c r="Z119" s="14">
        <f>'A) Base RI'!N119</f>
        <v>506518.25</v>
      </c>
      <c r="AA119" s="14">
        <f>'A) Base RI'!S119+'A) Base RI'!T119</f>
        <v>2514.5</v>
      </c>
      <c r="AB119" s="14">
        <f>'A) Base RI'!U119</f>
        <v>33450</v>
      </c>
      <c r="AC119" s="14">
        <f>'A) Base RI'!V119</f>
        <v>0</v>
      </c>
      <c r="AD119" s="14">
        <f>'A) Base RI'!W119</f>
        <v>0</v>
      </c>
      <c r="AE119" s="14">
        <f>'A) Base RI'!Y119</f>
        <v>348472</v>
      </c>
      <c r="AF119" s="14">
        <f>'A) Base RI'!Z119</f>
        <v>0</v>
      </c>
      <c r="AG119" s="14">
        <f>'A) Base RI'!AA119</f>
        <v>1351410.5</v>
      </c>
      <c r="AH119" s="14">
        <f>'A) Base RI'!AB119</f>
        <v>0</v>
      </c>
      <c r="AI119" s="14">
        <f>'A) Base RI'!AC119</f>
        <v>601234.56999999995</v>
      </c>
      <c r="AJ119" s="14">
        <f>'A) Base RI'!AD119</f>
        <v>0</v>
      </c>
      <c r="AK119" s="14">
        <f>'A) Base RI'!AE119</f>
        <v>0</v>
      </c>
      <c r="AL119" s="14">
        <f>'A) Base RI'!AF119</f>
        <v>0</v>
      </c>
      <c r="AM119" s="14">
        <f>'A) Base RI'!AG119</f>
        <v>0</v>
      </c>
      <c r="AN119" s="14">
        <f>'A) Base RI'!AH119</f>
        <v>291846.46000000002</v>
      </c>
      <c r="AO119" s="14">
        <f>'A) Base RI'!AI119</f>
        <v>0</v>
      </c>
      <c r="AP119" s="14">
        <f>'A) Base RI'!AJ119</f>
        <v>0</v>
      </c>
      <c r="AQ119" s="14">
        <f>'A) Base RI'!AK119</f>
        <v>0</v>
      </c>
      <c r="AR119" s="14">
        <f>'A) Base RI'!AN119</f>
        <v>7271</v>
      </c>
    </row>
    <row r="120" spans="1:44" x14ac:dyDescent="0.25">
      <c r="A120" s="12">
        <f>'A) Base RI'!A120</f>
        <v>5588</v>
      </c>
      <c r="B120" s="42" t="str">
        <f>'A) Base RI'!B120</f>
        <v>Paudex</v>
      </c>
      <c r="C120" s="14">
        <f>'A) Base RI'!C120+'A) Base RI'!D120</f>
        <v>7457325.3199999994</v>
      </c>
      <c r="D120" s="14">
        <f>'A) Base RI'!AO120</f>
        <v>-41925.31</v>
      </c>
      <c r="E120" s="41">
        <f>'A) Base RI'!AP120</f>
        <v>0</v>
      </c>
      <c r="F120" s="41">
        <f>'A) Base RI'!AQ120</f>
        <v>-23511.37</v>
      </c>
      <c r="G120" s="4">
        <f t="shared" si="6"/>
        <v>7391888.6399999997</v>
      </c>
      <c r="H120" s="14">
        <f>'A) Base RI'!E120</f>
        <v>0</v>
      </c>
      <c r="I120" s="14">
        <f>'A) Base RI'!F120</f>
        <v>0</v>
      </c>
      <c r="J120" s="14">
        <f>'A) Base RI'!G120+'A) Base RI'!H120</f>
        <v>937851.64999999991</v>
      </c>
      <c r="K120" s="14">
        <f>'A) Base RI'!I120</f>
        <v>358764.17</v>
      </c>
      <c r="L120" s="14">
        <f>'A) Base RI'!J120</f>
        <v>165800.16</v>
      </c>
      <c r="M120" s="14">
        <f>'A) Base RI'!K120</f>
        <v>36739.5</v>
      </c>
      <c r="N120" s="14">
        <f>'A) Base RI'!Q120</f>
        <v>34004.75</v>
      </c>
      <c r="O120" s="14">
        <f t="shared" si="7"/>
        <v>471523.35714285716</v>
      </c>
      <c r="P120" s="14">
        <f>'A) Base RI'!L120</f>
        <v>330066.34999999998</v>
      </c>
      <c r="Q120" s="44">
        <f>'A) Base RI'!AR120</f>
        <v>0.7</v>
      </c>
      <c r="R120" s="4">
        <f t="shared" si="8"/>
        <v>9396572.2271428555</v>
      </c>
      <c r="S120" s="43">
        <f>'A) Base RI'!AM120</f>
        <v>61.5</v>
      </c>
      <c r="T120" s="4">
        <f t="shared" si="9"/>
        <v>8888309.3699999992</v>
      </c>
      <c r="U120" s="4">
        <f t="shared" si="10"/>
        <v>152789.79231126595</v>
      </c>
      <c r="V120" s="14">
        <f>'A) Base RI'!O120</f>
        <v>14758.7</v>
      </c>
      <c r="W120" s="14">
        <f>'A) Base RI'!P120</f>
        <v>9185</v>
      </c>
      <c r="X120" s="14">
        <f>'A) Base RI'!R120</f>
        <v>13581.25</v>
      </c>
      <c r="Y120" s="4">
        <f t="shared" si="11"/>
        <v>37524.949999999997</v>
      </c>
      <c r="Z120" s="14">
        <f>'A) Base RI'!N120</f>
        <v>18905.45</v>
      </c>
      <c r="AA120" s="14">
        <f>'A) Base RI'!S120+'A) Base RI'!T120</f>
        <v>260</v>
      </c>
      <c r="AB120" s="14">
        <f>'A) Base RI'!U120</f>
        <v>5437.5</v>
      </c>
      <c r="AC120" s="14">
        <f>'A) Base RI'!V120</f>
        <v>0</v>
      </c>
      <c r="AD120" s="14">
        <f>'A) Base RI'!W120</f>
        <v>0</v>
      </c>
      <c r="AE120" s="14">
        <f>'A) Base RI'!Y120</f>
        <v>0</v>
      </c>
      <c r="AF120" s="14">
        <f>'A) Base RI'!Z120</f>
        <v>1787</v>
      </c>
      <c r="AG120" s="14">
        <f>'A) Base RI'!AA120</f>
        <v>113056</v>
      </c>
      <c r="AH120" s="14">
        <f>'A) Base RI'!AB120</f>
        <v>0</v>
      </c>
      <c r="AI120" s="14">
        <f>'A) Base RI'!AC120</f>
        <v>129627</v>
      </c>
      <c r="AJ120" s="14">
        <f>'A) Base RI'!AD120</f>
        <v>0</v>
      </c>
      <c r="AK120" s="14">
        <f>'A) Base RI'!AE120</f>
        <v>1745</v>
      </c>
      <c r="AL120" s="14">
        <f>'A) Base RI'!AF120</f>
        <v>0</v>
      </c>
      <c r="AM120" s="14">
        <f>'A) Base RI'!AG120</f>
        <v>0</v>
      </c>
      <c r="AN120" s="14">
        <f>'A) Base RI'!AH120</f>
        <v>0</v>
      </c>
      <c r="AO120" s="14">
        <f>'A) Base RI'!AI120</f>
        <v>32208</v>
      </c>
      <c r="AP120" s="14">
        <f>'A) Base RI'!AJ120</f>
        <v>0</v>
      </c>
      <c r="AQ120" s="14">
        <f>'A) Base RI'!AK120</f>
        <v>16104</v>
      </c>
      <c r="AR120" s="14">
        <f>'A) Base RI'!AN120</f>
        <v>1485</v>
      </c>
    </row>
    <row r="121" spans="1:44" x14ac:dyDescent="0.25">
      <c r="A121" s="12">
        <f>'A) Base RI'!A121</f>
        <v>5589</v>
      </c>
      <c r="B121" s="42" t="str">
        <f>'A) Base RI'!B121</f>
        <v>Prilly</v>
      </c>
      <c r="C121" s="14">
        <f>'A) Base RI'!C121+'A) Base RI'!D121</f>
        <v>20054464.079999998</v>
      </c>
      <c r="D121" s="14">
        <f>'A) Base RI'!AO121</f>
        <v>-1003835.5</v>
      </c>
      <c r="E121" s="41">
        <f>'A) Base RI'!AP121</f>
        <v>0</v>
      </c>
      <c r="F121" s="41">
        <f>'A) Base RI'!AQ121</f>
        <v>-3124.18</v>
      </c>
      <c r="G121" s="4">
        <f t="shared" si="6"/>
        <v>19047504.399999999</v>
      </c>
      <c r="H121" s="14">
        <f>'A) Base RI'!E121</f>
        <v>0</v>
      </c>
      <c r="I121" s="14">
        <f>'A) Base RI'!F121</f>
        <v>0</v>
      </c>
      <c r="J121" s="14">
        <f>'A) Base RI'!G121+'A) Base RI'!H121</f>
        <v>10545518.35</v>
      </c>
      <c r="K121" s="14">
        <f>'A) Base RI'!I121</f>
        <v>32826.199999999997</v>
      </c>
      <c r="L121" s="14">
        <f>'A) Base RI'!J121</f>
        <v>1734884.87</v>
      </c>
      <c r="M121" s="14">
        <f>'A) Base RI'!K121</f>
        <v>323358</v>
      </c>
      <c r="N121" s="14">
        <f>'A) Base RI'!Q121</f>
        <v>568438.1</v>
      </c>
      <c r="O121" s="14">
        <f t="shared" si="7"/>
        <v>1734970.6</v>
      </c>
      <c r="P121" s="14">
        <f>'A) Base RI'!L121</f>
        <v>1734970.6</v>
      </c>
      <c r="Q121" s="44">
        <f>'A) Base RI'!AR121</f>
        <v>1</v>
      </c>
      <c r="R121" s="4">
        <f t="shared" si="8"/>
        <v>33987500.520000003</v>
      </c>
      <c r="S121" s="43">
        <f>'A) Base RI'!AM121</f>
        <v>73.5</v>
      </c>
      <c r="T121" s="4">
        <f t="shared" si="9"/>
        <v>31929171.920000002</v>
      </c>
      <c r="U121" s="4">
        <f t="shared" si="10"/>
        <v>462414.97306122456</v>
      </c>
      <c r="V121" s="14">
        <f>'A) Base RI'!O121</f>
        <v>735063.5</v>
      </c>
      <c r="W121" s="14">
        <f>'A) Base RI'!P121</f>
        <v>1528649.05</v>
      </c>
      <c r="X121" s="14">
        <f>'A) Base RI'!R121</f>
        <v>355131.45</v>
      </c>
      <c r="Y121" s="4">
        <f t="shared" si="11"/>
        <v>2618844</v>
      </c>
      <c r="Z121" s="14">
        <f>'A) Base RI'!N121</f>
        <v>1442728.6</v>
      </c>
      <c r="AA121" s="14">
        <f>'A) Base RI'!S121+'A) Base RI'!T121</f>
        <v>737.5</v>
      </c>
      <c r="AB121" s="14">
        <f>'A) Base RI'!U121</f>
        <v>36600</v>
      </c>
      <c r="AC121" s="14">
        <f>'A) Base RI'!V121</f>
        <v>0</v>
      </c>
      <c r="AD121" s="14">
        <f>'A) Base RI'!W121</f>
        <v>0</v>
      </c>
      <c r="AE121" s="14">
        <f>'A) Base RI'!Y121</f>
        <v>108502.6</v>
      </c>
      <c r="AF121" s="14">
        <f>'A) Base RI'!Z121</f>
        <v>0</v>
      </c>
      <c r="AG121" s="14">
        <f>'A) Base RI'!AA121</f>
        <v>1852367.4</v>
      </c>
      <c r="AH121" s="14">
        <f>'A) Base RI'!AB121</f>
        <v>0</v>
      </c>
      <c r="AI121" s="14">
        <f>'A) Base RI'!AC121</f>
        <v>833745.6</v>
      </c>
      <c r="AJ121" s="14">
        <f>'A) Base RI'!AD121</f>
        <v>0</v>
      </c>
      <c r="AK121" s="14">
        <f>'A) Base RI'!AE121</f>
        <v>0</v>
      </c>
      <c r="AL121" s="14">
        <f>'A) Base RI'!AF121</f>
        <v>323.2</v>
      </c>
      <c r="AM121" s="14">
        <f>'A) Base RI'!AG121</f>
        <v>0</v>
      </c>
      <c r="AN121" s="14">
        <f>'A) Base RI'!AH121</f>
        <v>365864.07</v>
      </c>
      <c r="AO121" s="14">
        <f>'A) Base RI'!AI121</f>
        <v>0</v>
      </c>
      <c r="AP121" s="14">
        <f>'A) Base RI'!AJ121</f>
        <v>94079.35</v>
      </c>
      <c r="AQ121" s="14">
        <f>'A) Base RI'!AK121</f>
        <v>0</v>
      </c>
      <c r="AR121" s="14">
        <f>'A) Base RI'!AN121</f>
        <v>11782</v>
      </c>
    </row>
    <row r="122" spans="1:44" x14ac:dyDescent="0.25">
      <c r="A122" s="12">
        <f>'A) Base RI'!A122</f>
        <v>5590</v>
      </c>
      <c r="B122" s="42" t="str">
        <f>'A) Base RI'!B122</f>
        <v>Pully</v>
      </c>
      <c r="C122" s="14">
        <f>'A) Base RI'!C122+'A) Base RI'!D122</f>
        <v>69468681.5</v>
      </c>
      <c r="D122" s="14">
        <f>'A) Base RI'!AO122</f>
        <v>-857905.75</v>
      </c>
      <c r="E122" s="41">
        <f>'A) Base RI'!AP122</f>
        <v>0</v>
      </c>
      <c r="F122" s="41">
        <f>'A) Base RI'!AQ122</f>
        <v>-140766.15</v>
      </c>
      <c r="G122" s="4">
        <f t="shared" si="6"/>
        <v>68470009.599999994</v>
      </c>
      <c r="H122" s="14">
        <f>'A) Base RI'!E122</f>
        <v>0</v>
      </c>
      <c r="I122" s="14">
        <f>'A) Base RI'!F122</f>
        <v>0</v>
      </c>
      <c r="J122" s="14">
        <f>'A) Base RI'!G122+'A) Base RI'!H122</f>
        <v>8433315.5500000007</v>
      </c>
      <c r="K122" s="14">
        <f>'A) Base RI'!I122</f>
        <v>2637484.9300000002</v>
      </c>
      <c r="L122" s="14">
        <f>'A) Base RI'!J122</f>
        <v>1483221.57</v>
      </c>
      <c r="M122" s="14">
        <f>'A) Base RI'!K122</f>
        <v>403703.5</v>
      </c>
      <c r="N122" s="14">
        <f>'A) Base RI'!Q122</f>
        <v>292623.14</v>
      </c>
      <c r="O122" s="14">
        <f t="shared" si="7"/>
        <v>4380697.5714285718</v>
      </c>
      <c r="P122" s="14">
        <f>'A) Base RI'!L122</f>
        <v>3066488.3</v>
      </c>
      <c r="Q122" s="44">
        <f>'A) Base RI'!AR122</f>
        <v>0.7</v>
      </c>
      <c r="R122" s="4">
        <f t="shared" si="8"/>
        <v>86101055.861428559</v>
      </c>
      <c r="S122" s="43">
        <f>'A) Base RI'!AM122</f>
        <v>63</v>
      </c>
      <c r="T122" s="4">
        <f t="shared" si="9"/>
        <v>81316654.789999992</v>
      </c>
      <c r="U122" s="4">
        <f t="shared" si="10"/>
        <v>1366683.426371882</v>
      </c>
      <c r="V122" s="14">
        <f>'A) Base RI'!O122</f>
        <v>5723813.5</v>
      </c>
      <c r="W122" s="14">
        <f>'A) Base RI'!P122</f>
        <v>3248077.9</v>
      </c>
      <c r="X122" s="14">
        <f>'A) Base RI'!R122</f>
        <v>2257616.75</v>
      </c>
      <c r="Y122" s="4">
        <f t="shared" si="11"/>
        <v>11229508.15</v>
      </c>
      <c r="Z122" s="14">
        <f>'A) Base RI'!N122</f>
        <v>118526</v>
      </c>
      <c r="AA122" s="14">
        <f>'A) Base RI'!S122+'A) Base RI'!T122</f>
        <v>2659.65</v>
      </c>
      <c r="AB122" s="14">
        <f>'A) Base RI'!U122</f>
        <v>48900</v>
      </c>
      <c r="AC122" s="14">
        <f>'A) Base RI'!V122</f>
        <v>0</v>
      </c>
      <c r="AD122" s="14">
        <f>'A) Base RI'!W122</f>
        <v>0</v>
      </c>
      <c r="AE122" s="14">
        <f>'A) Base RI'!Y122</f>
        <v>479095.18</v>
      </c>
      <c r="AF122" s="14">
        <f>'A) Base RI'!Z122</f>
        <v>0</v>
      </c>
      <c r="AG122" s="14">
        <f>'A) Base RI'!AA122</f>
        <v>3348168.99</v>
      </c>
      <c r="AH122" s="14">
        <f>'A) Base RI'!AB122</f>
        <v>0</v>
      </c>
      <c r="AI122" s="14">
        <f>'A) Base RI'!AC122</f>
        <v>2642360.9900000002</v>
      </c>
      <c r="AJ122" s="14">
        <f>'A) Base RI'!AD122</f>
        <v>437735.86</v>
      </c>
      <c r="AK122" s="14">
        <f>'A) Base RI'!AE122</f>
        <v>0</v>
      </c>
      <c r="AL122" s="14">
        <f>'A) Base RI'!AF122</f>
        <v>0</v>
      </c>
      <c r="AM122" s="14">
        <f>'A) Base RI'!AG122</f>
        <v>39235.72</v>
      </c>
      <c r="AN122" s="14">
        <f>'A) Base RI'!AH122</f>
        <v>350000.41</v>
      </c>
      <c r="AO122" s="14">
        <f>'A) Base RI'!AI122</f>
        <v>514999.13</v>
      </c>
      <c r="AP122" s="14">
        <f>'A) Base RI'!AJ122</f>
        <v>0</v>
      </c>
      <c r="AQ122" s="14">
        <f>'A) Base RI'!AK122</f>
        <v>0</v>
      </c>
      <c r="AR122" s="14">
        <f>'A) Base RI'!AN122</f>
        <v>17811</v>
      </c>
    </row>
    <row r="123" spans="1:44" x14ac:dyDescent="0.25">
      <c r="A123" s="12">
        <f>'A) Base RI'!A123</f>
        <v>5591</v>
      </c>
      <c r="B123" s="42" t="str">
        <f>'A) Base RI'!B123</f>
        <v>Renens</v>
      </c>
      <c r="C123" s="14">
        <f>'A) Base RI'!C123+'A) Base RI'!D123</f>
        <v>31971297.400000002</v>
      </c>
      <c r="D123" s="14">
        <f>'A) Base RI'!AO123</f>
        <v>-1518948.24</v>
      </c>
      <c r="E123" s="41">
        <f>'A) Base RI'!AP123</f>
        <v>0</v>
      </c>
      <c r="F123" s="41">
        <f>'A) Base RI'!AQ123</f>
        <v>-3899.55</v>
      </c>
      <c r="G123" s="4">
        <f t="shared" si="6"/>
        <v>30448449.610000003</v>
      </c>
      <c r="H123" s="14">
        <f>'A) Base RI'!E123</f>
        <v>0</v>
      </c>
      <c r="I123" s="14">
        <f>'A) Base RI'!F123</f>
        <v>0</v>
      </c>
      <c r="J123" s="14">
        <f>'A) Base RI'!G123+'A) Base RI'!H123</f>
        <v>5173932.5999999996</v>
      </c>
      <c r="K123" s="14">
        <f>'A) Base RI'!I123</f>
        <v>0</v>
      </c>
      <c r="L123" s="14">
        <f>'A) Base RI'!J123</f>
        <v>3007106.98</v>
      </c>
      <c r="M123" s="14">
        <f>'A) Base RI'!K123</f>
        <v>570782.5</v>
      </c>
      <c r="N123" s="14">
        <f>'A) Base RI'!Q123</f>
        <v>470418.13</v>
      </c>
      <c r="O123" s="14">
        <f t="shared" si="7"/>
        <v>3260590.1071428577</v>
      </c>
      <c r="P123" s="14">
        <f>'A) Base RI'!L123</f>
        <v>4564826.1500000004</v>
      </c>
      <c r="Q123" s="44">
        <f>'A) Base RI'!AR123</f>
        <v>1.4</v>
      </c>
      <c r="R123" s="4">
        <f t="shared" si="8"/>
        <v>42931279.927142859</v>
      </c>
      <c r="S123" s="43">
        <f>'A) Base RI'!AM123</f>
        <v>78.5</v>
      </c>
      <c r="T123" s="4">
        <f t="shared" si="9"/>
        <v>39099907.32</v>
      </c>
      <c r="U123" s="4">
        <f t="shared" si="10"/>
        <v>546895.28569608741</v>
      </c>
      <c r="V123" s="14">
        <f>'A) Base RI'!O123</f>
        <v>264140</v>
      </c>
      <c r="W123" s="14">
        <f>'A) Base RI'!P123</f>
        <v>574666.85</v>
      </c>
      <c r="X123" s="14">
        <f>'A) Base RI'!R123</f>
        <v>195701.9</v>
      </c>
      <c r="Y123" s="4">
        <f t="shared" si="11"/>
        <v>1034508.75</v>
      </c>
      <c r="Z123" s="14">
        <f>'A) Base RI'!N123</f>
        <v>2177057.7000000002</v>
      </c>
      <c r="AA123" s="14">
        <f>'A) Base RI'!S123+'A) Base RI'!T123</f>
        <v>4587.5</v>
      </c>
      <c r="AB123" s="14">
        <f>'A) Base RI'!U123</f>
        <v>46900</v>
      </c>
      <c r="AC123" s="14">
        <f>'A) Base RI'!V123</f>
        <v>100251.4</v>
      </c>
      <c r="AD123" s="14">
        <f>'A) Base RI'!W123</f>
        <v>51961</v>
      </c>
      <c r="AE123" s="14">
        <f>'A) Base RI'!Y123</f>
        <v>204716.79999999999</v>
      </c>
      <c r="AF123" s="14">
        <f>'A) Base RI'!Z123</f>
        <v>0</v>
      </c>
      <c r="AG123" s="14">
        <f>'A) Base RI'!AA123</f>
        <v>1321933.3500000001</v>
      </c>
      <c r="AH123" s="14">
        <f>'A) Base RI'!AB123</f>
        <v>21048</v>
      </c>
      <c r="AI123" s="14">
        <f>'A) Base RI'!AC123</f>
        <v>2272976.12</v>
      </c>
      <c r="AJ123" s="14">
        <f>'A) Base RI'!AD123</f>
        <v>0</v>
      </c>
      <c r="AK123" s="14">
        <f>'A) Base RI'!AE123</f>
        <v>0</v>
      </c>
      <c r="AL123" s="14">
        <f>'A) Base RI'!AF123</f>
        <v>0</v>
      </c>
      <c r="AM123" s="14">
        <f>'A) Base RI'!AG123</f>
        <v>2613.85</v>
      </c>
      <c r="AN123" s="14">
        <f>'A) Base RI'!AH123</f>
        <v>562344.14</v>
      </c>
      <c r="AO123" s="14">
        <f>'A) Base RI'!AI123</f>
        <v>0</v>
      </c>
      <c r="AP123" s="14">
        <f>'A) Base RI'!AJ123</f>
        <v>0</v>
      </c>
      <c r="AQ123" s="14">
        <f>'A) Base RI'!AK123</f>
        <v>80334.710000000006</v>
      </c>
      <c r="AR123" s="14">
        <f>'A) Base RI'!AN123</f>
        <v>20362</v>
      </c>
    </row>
    <row r="124" spans="1:44" x14ac:dyDescent="0.25">
      <c r="A124" s="12">
        <f>'A) Base RI'!A124</f>
        <v>5592</v>
      </c>
      <c r="B124" s="42" t="str">
        <f>'A) Base RI'!B124</f>
        <v>Romanel-sur-Lausanne</v>
      </c>
      <c r="C124" s="14">
        <f>'A) Base RI'!C124+'A) Base RI'!D124</f>
        <v>6311896.0800000001</v>
      </c>
      <c r="D124" s="14">
        <f>'A) Base RI'!AO124</f>
        <v>-85547.24</v>
      </c>
      <c r="E124" s="41">
        <f>'A) Base RI'!AP124</f>
        <v>0</v>
      </c>
      <c r="F124" s="41">
        <f>'A) Base RI'!AQ124</f>
        <v>-4080.64</v>
      </c>
      <c r="G124" s="4">
        <f t="shared" si="6"/>
        <v>6222268.2000000002</v>
      </c>
      <c r="H124" s="14">
        <f>'A) Base RI'!E124</f>
        <v>0</v>
      </c>
      <c r="I124" s="14">
        <f>'A) Base RI'!F124</f>
        <v>0</v>
      </c>
      <c r="J124" s="14">
        <f>'A) Base RI'!G124+'A) Base RI'!H124</f>
        <v>618001.5</v>
      </c>
      <c r="K124" s="14">
        <f>'A) Base RI'!I124</f>
        <v>19455.8</v>
      </c>
      <c r="L124" s="14">
        <f>'A) Base RI'!J124</f>
        <v>85143.31</v>
      </c>
      <c r="M124" s="14">
        <f>'A) Base RI'!K124</f>
        <v>83295</v>
      </c>
      <c r="N124" s="14">
        <f>'A) Base RI'!Q124</f>
        <v>51681.67</v>
      </c>
      <c r="O124" s="14">
        <f t="shared" si="7"/>
        <v>639323.19999999995</v>
      </c>
      <c r="P124" s="14">
        <f>'A) Base RI'!L124</f>
        <v>639323.19999999995</v>
      </c>
      <c r="Q124" s="44">
        <f>'A) Base RI'!AR124</f>
        <v>1</v>
      </c>
      <c r="R124" s="4">
        <f t="shared" si="8"/>
        <v>7719168.6799999997</v>
      </c>
      <c r="S124" s="43">
        <f>'A) Base RI'!AM124</f>
        <v>70</v>
      </c>
      <c r="T124" s="4">
        <f t="shared" si="9"/>
        <v>6996550.4799999995</v>
      </c>
      <c r="U124" s="4">
        <f t="shared" si="10"/>
        <v>110273.83828571429</v>
      </c>
      <c r="V124" s="14">
        <f>'A) Base RI'!O124</f>
        <v>2835</v>
      </c>
      <c r="W124" s="14">
        <f>'A) Base RI'!P124</f>
        <v>208475.15</v>
      </c>
      <c r="X124" s="14">
        <f>'A) Base RI'!R124</f>
        <v>645041.35</v>
      </c>
      <c r="Y124" s="4">
        <f t="shared" si="11"/>
        <v>856351.5</v>
      </c>
      <c r="Z124" s="14">
        <f>'A) Base RI'!N124</f>
        <v>229362.6</v>
      </c>
      <c r="AA124" s="14">
        <f>'A) Base RI'!S124+'A) Base RI'!T124</f>
        <v>1932.25</v>
      </c>
      <c r="AB124" s="14">
        <f>'A) Base RI'!U124</f>
        <v>15975</v>
      </c>
      <c r="AC124" s="14">
        <f>'A) Base RI'!V124</f>
        <v>0</v>
      </c>
      <c r="AD124" s="14">
        <f>'A) Base RI'!W124</f>
        <v>0</v>
      </c>
      <c r="AE124" s="14">
        <f>'A) Base RI'!Y124</f>
        <v>22666.799999999999</v>
      </c>
      <c r="AF124" s="14">
        <f>'A) Base RI'!Z124</f>
        <v>22427.15</v>
      </c>
      <c r="AG124" s="14">
        <f>'A) Base RI'!AA124</f>
        <v>151662.59</v>
      </c>
      <c r="AH124" s="14">
        <f>'A) Base RI'!AB124</f>
        <v>0</v>
      </c>
      <c r="AI124" s="14">
        <f>'A) Base RI'!AC124</f>
        <v>220051.99</v>
      </c>
      <c r="AJ124" s="14">
        <f>'A) Base RI'!AD124</f>
        <v>6083.75</v>
      </c>
      <c r="AK124" s="14">
        <f>'A) Base RI'!AE124</f>
        <v>14419.27</v>
      </c>
      <c r="AL124" s="14">
        <f>'A) Base RI'!AF124</f>
        <v>0</v>
      </c>
      <c r="AM124" s="14">
        <f>'A) Base RI'!AG124</f>
        <v>0</v>
      </c>
      <c r="AN124" s="14">
        <f>'A) Base RI'!AH124</f>
        <v>102021.66</v>
      </c>
      <c r="AO124" s="14">
        <f>'A) Base RI'!AI124</f>
        <v>58301.27</v>
      </c>
      <c r="AP124" s="14">
        <f>'A) Base RI'!AJ124</f>
        <v>43725.96</v>
      </c>
      <c r="AQ124" s="14">
        <f>'A) Base RI'!AK124</f>
        <v>0</v>
      </c>
      <c r="AR124" s="14">
        <f>'A) Base RI'!AN124</f>
        <v>3351</v>
      </c>
    </row>
    <row r="125" spans="1:44" x14ac:dyDescent="0.25">
      <c r="A125" s="12">
        <f>'A) Base RI'!A125</f>
        <v>5601</v>
      </c>
      <c r="B125" s="42" t="str">
        <f>'A) Base RI'!B125</f>
        <v>Chexbres</v>
      </c>
      <c r="C125" s="14">
        <f>'A) Base RI'!C125+'A) Base RI'!D125</f>
        <v>6052085.7599999998</v>
      </c>
      <c r="D125" s="14">
        <f>'A) Base RI'!AO125</f>
        <v>-94240.93</v>
      </c>
      <c r="E125" s="41">
        <f>'A) Base RI'!AP125</f>
        <v>0</v>
      </c>
      <c r="F125" s="41">
        <f>'A) Base RI'!AQ125</f>
        <v>-2451.25</v>
      </c>
      <c r="G125" s="4">
        <f t="shared" si="6"/>
        <v>5955393.5800000001</v>
      </c>
      <c r="H125" s="14">
        <f>'A) Base RI'!E125</f>
        <v>0</v>
      </c>
      <c r="I125" s="14">
        <f>'A) Base RI'!F125</f>
        <v>0</v>
      </c>
      <c r="J125" s="14">
        <f>'A) Base RI'!G125+'A) Base RI'!H125</f>
        <v>219518.44999999998</v>
      </c>
      <c r="K125" s="14">
        <f>'A) Base RI'!I125</f>
        <v>-16752.3</v>
      </c>
      <c r="L125" s="14">
        <f>'A) Base RI'!J125</f>
        <v>117107.69</v>
      </c>
      <c r="M125" s="14">
        <f>'A) Base RI'!K125</f>
        <v>8891</v>
      </c>
      <c r="N125" s="14">
        <f>'A) Base RI'!Q125</f>
        <v>5097.82</v>
      </c>
      <c r="O125" s="14">
        <f t="shared" si="7"/>
        <v>397141.25</v>
      </c>
      <c r="P125" s="14">
        <f>'A) Base RI'!L125</f>
        <v>397141.25</v>
      </c>
      <c r="Q125" s="44">
        <f>'A) Base RI'!AR125</f>
        <v>1</v>
      </c>
      <c r="R125" s="4">
        <f t="shared" si="8"/>
        <v>6686397.4900000012</v>
      </c>
      <c r="S125" s="43">
        <f>'A) Base RI'!AM125</f>
        <v>64</v>
      </c>
      <c r="T125" s="4">
        <f t="shared" si="9"/>
        <v>6280365.2400000012</v>
      </c>
      <c r="U125" s="4">
        <f t="shared" si="10"/>
        <v>104474.96078125002</v>
      </c>
      <c r="V125" s="14">
        <f>'A) Base RI'!O125</f>
        <v>222283.4</v>
      </c>
      <c r="W125" s="14">
        <f>'A) Base RI'!P125</f>
        <v>190490.3</v>
      </c>
      <c r="X125" s="14">
        <f>'A) Base RI'!R125</f>
        <v>206850.4</v>
      </c>
      <c r="Y125" s="4">
        <f t="shared" si="11"/>
        <v>619624.1</v>
      </c>
      <c r="Z125" s="14">
        <f>'A) Base RI'!N125</f>
        <v>53917.5</v>
      </c>
      <c r="AA125" s="14">
        <f>'A) Base RI'!S125+'A) Base RI'!T125</f>
        <v>281.25</v>
      </c>
      <c r="AB125" s="14">
        <f>'A) Base RI'!U125</f>
        <v>7875</v>
      </c>
      <c r="AC125" s="14">
        <f>'A) Base RI'!V125</f>
        <v>0</v>
      </c>
      <c r="AD125" s="14">
        <f>'A) Base RI'!W125</f>
        <v>0</v>
      </c>
      <c r="AE125" s="14">
        <f>'A) Base RI'!Y125</f>
        <v>0</v>
      </c>
      <c r="AF125" s="14">
        <f>'A) Base RI'!Z125</f>
        <v>30837.3</v>
      </c>
      <c r="AG125" s="14">
        <f>'A) Base RI'!AA125</f>
        <v>272512.59999999998</v>
      </c>
      <c r="AH125" s="14">
        <f>'A) Base RI'!AB125</f>
        <v>239526.8</v>
      </c>
      <c r="AI125" s="14">
        <f>'A) Base RI'!AC125</f>
        <v>134521.35</v>
      </c>
      <c r="AJ125" s="14">
        <f>'A) Base RI'!AD125</f>
        <v>0</v>
      </c>
      <c r="AK125" s="14">
        <f>'A) Base RI'!AE125</f>
        <v>27537.4</v>
      </c>
      <c r="AL125" s="14">
        <f>'A) Base RI'!AF125</f>
        <v>0</v>
      </c>
      <c r="AM125" s="14">
        <f>'A) Base RI'!AG125</f>
        <v>70609.7</v>
      </c>
      <c r="AN125" s="14">
        <f>'A) Base RI'!AH125</f>
        <v>0</v>
      </c>
      <c r="AO125" s="14">
        <f>'A) Base RI'!AI125</f>
        <v>49942.8</v>
      </c>
      <c r="AP125" s="14">
        <f>'A) Base RI'!AJ125</f>
        <v>0</v>
      </c>
      <c r="AQ125" s="14">
        <f>'A) Base RI'!AK125</f>
        <v>0</v>
      </c>
      <c r="AR125" s="14">
        <f>'A) Base RI'!AN125</f>
        <v>2218</v>
      </c>
    </row>
    <row r="126" spans="1:44" x14ac:dyDescent="0.25">
      <c r="A126" s="12">
        <f>'A) Base RI'!A126</f>
        <v>5604</v>
      </c>
      <c r="B126" s="42" t="str">
        <f>'A) Base RI'!B126</f>
        <v>Forel (Lavaux)</v>
      </c>
      <c r="C126" s="14">
        <f>'A) Base RI'!C126+'A) Base RI'!D126</f>
        <v>3810028.94</v>
      </c>
      <c r="D126" s="14">
        <f>'A) Base RI'!AO126</f>
        <v>-105822.34</v>
      </c>
      <c r="E126" s="41">
        <f>'A) Base RI'!AP126</f>
        <v>0</v>
      </c>
      <c r="F126" s="41">
        <f>'A) Base RI'!AQ126</f>
        <v>-94.9</v>
      </c>
      <c r="G126" s="4">
        <f t="shared" si="6"/>
        <v>3704111.7</v>
      </c>
      <c r="H126" s="14">
        <f>'A) Base RI'!E126</f>
        <v>0</v>
      </c>
      <c r="I126" s="14">
        <f>'A) Base RI'!F126</f>
        <v>0</v>
      </c>
      <c r="J126" s="14">
        <f>'A) Base RI'!G126+'A) Base RI'!H126</f>
        <v>247938.3</v>
      </c>
      <c r="K126" s="14">
        <f>'A) Base RI'!I126</f>
        <v>16687.75</v>
      </c>
      <c r="L126" s="14">
        <f>'A) Base RI'!J126</f>
        <v>113948.82</v>
      </c>
      <c r="M126" s="14">
        <f>'A) Base RI'!K126</f>
        <v>22190</v>
      </c>
      <c r="N126" s="14">
        <f>'A) Base RI'!Q126</f>
        <v>14444.97</v>
      </c>
      <c r="O126" s="14">
        <f t="shared" si="7"/>
        <v>335678.05</v>
      </c>
      <c r="P126" s="14">
        <f>'A) Base RI'!L126</f>
        <v>335678.05</v>
      </c>
      <c r="Q126" s="44">
        <f>'A) Base RI'!AR126</f>
        <v>1</v>
      </c>
      <c r="R126" s="4">
        <f t="shared" si="8"/>
        <v>4454999.59</v>
      </c>
      <c r="S126" s="43">
        <f>'A) Base RI'!AM126</f>
        <v>68</v>
      </c>
      <c r="T126" s="4">
        <f t="shared" si="9"/>
        <v>4097131.54</v>
      </c>
      <c r="U126" s="4">
        <f t="shared" si="10"/>
        <v>65514.699852941172</v>
      </c>
      <c r="V126" s="14">
        <f>'A) Base RI'!O126</f>
        <v>1597</v>
      </c>
      <c r="W126" s="14">
        <f>'A) Base RI'!P126</f>
        <v>164254.85</v>
      </c>
      <c r="X126" s="14">
        <f>'A) Base RI'!R126</f>
        <v>112373.9</v>
      </c>
      <c r="Y126" s="4">
        <f t="shared" si="11"/>
        <v>278225.75</v>
      </c>
      <c r="Z126" s="14">
        <f>'A) Base RI'!N126</f>
        <v>6750.8</v>
      </c>
      <c r="AA126" s="14">
        <f>'A) Base RI'!S126+'A) Base RI'!T126</f>
        <v>1902.5</v>
      </c>
      <c r="AB126" s="14">
        <f>'A) Base RI'!U126</f>
        <v>20925</v>
      </c>
      <c r="AC126" s="14">
        <f>'A) Base RI'!V126</f>
        <v>0</v>
      </c>
      <c r="AD126" s="14">
        <f>'A) Base RI'!W126</f>
        <v>465.6</v>
      </c>
      <c r="AE126" s="14">
        <f>'A) Base RI'!Y126</f>
        <v>110395.85</v>
      </c>
      <c r="AF126" s="14">
        <f>'A) Base RI'!Z126</f>
        <v>6252.75</v>
      </c>
      <c r="AG126" s="14">
        <f>'A) Base RI'!AA126</f>
        <v>363039.1</v>
      </c>
      <c r="AH126" s="14">
        <f>'A) Base RI'!AB126</f>
        <v>0</v>
      </c>
      <c r="AI126" s="14">
        <f>'A) Base RI'!AC126</f>
        <v>102229.65</v>
      </c>
      <c r="AJ126" s="14">
        <f>'A) Base RI'!AD126</f>
        <v>39523.599999999999</v>
      </c>
      <c r="AK126" s="14">
        <f>'A) Base RI'!AE126</f>
        <v>2880</v>
      </c>
      <c r="AL126" s="14">
        <f>'A) Base RI'!AF126</f>
        <v>0</v>
      </c>
      <c r="AM126" s="14">
        <f>'A) Base RI'!AG126</f>
        <v>12797.45</v>
      </c>
      <c r="AN126" s="14">
        <f>'A) Base RI'!AH126</f>
        <v>0</v>
      </c>
      <c r="AO126" s="14">
        <f>'A) Base RI'!AI126</f>
        <v>0</v>
      </c>
      <c r="AP126" s="14">
        <f>'A) Base RI'!AJ126</f>
        <v>0</v>
      </c>
      <c r="AQ126" s="14">
        <f>'A) Base RI'!AK126</f>
        <v>0</v>
      </c>
      <c r="AR126" s="14">
        <f>'A) Base RI'!AN126</f>
        <v>2085</v>
      </c>
    </row>
    <row r="127" spans="1:44" x14ac:dyDescent="0.25">
      <c r="A127" s="12">
        <f>'A) Base RI'!A127</f>
        <v>5606</v>
      </c>
      <c r="B127" s="42" t="str">
        <f>'A) Base RI'!B127</f>
        <v>Lutry</v>
      </c>
      <c r="C127" s="14">
        <f>'A) Base RI'!C127+'A) Base RI'!D127</f>
        <v>36503226.649999999</v>
      </c>
      <c r="D127" s="14">
        <f>'A) Base RI'!AO127</f>
        <v>-578306.67000000004</v>
      </c>
      <c r="E127" s="41">
        <f>'A) Base RI'!AP127</f>
        <v>0</v>
      </c>
      <c r="F127" s="41">
        <f>'A) Base RI'!AQ127</f>
        <v>-33528.300000000003</v>
      </c>
      <c r="G127" s="4">
        <f t="shared" si="6"/>
        <v>35891391.68</v>
      </c>
      <c r="H127" s="14">
        <f>'A) Base RI'!E127</f>
        <v>0</v>
      </c>
      <c r="I127" s="14">
        <f>'A) Base RI'!F127</f>
        <v>0</v>
      </c>
      <c r="J127" s="14">
        <f>'A) Base RI'!G127+'A) Base RI'!H127</f>
        <v>909907.10000000009</v>
      </c>
      <c r="K127" s="14">
        <f>'A) Base RI'!I127</f>
        <v>1289309.25</v>
      </c>
      <c r="L127" s="14">
        <f>'A) Base RI'!J127</f>
        <v>495942.40000000002</v>
      </c>
      <c r="M127" s="14">
        <f>'A) Base RI'!K127</f>
        <v>126842</v>
      </c>
      <c r="N127" s="14">
        <f>'A) Base RI'!Q127</f>
        <v>266358.36</v>
      </c>
      <c r="O127" s="14">
        <f t="shared" si="7"/>
        <v>2598606.0714285714</v>
      </c>
      <c r="P127" s="14">
        <f>'A) Base RI'!L127</f>
        <v>1819024.25</v>
      </c>
      <c r="Q127" s="44">
        <f>'A) Base RI'!AR127</f>
        <v>0.7</v>
      </c>
      <c r="R127" s="4">
        <f t="shared" si="8"/>
        <v>41578356.861428574</v>
      </c>
      <c r="S127" s="43">
        <f>'A) Base RI'!AM127</f>
        <v>56</v>
      </c>
      <c r="T127" s="4">
        <f t="shared" si="9"/>
        <v>38852908.789999999</v>
      </c>
      <c r="U127" s="4">
        <f t="shared" si="10"/>
        <v>742470.65823979594</v>
      </c>
      <c r="V127" s="14">
        <f>'A) Base RI'!O127</f>
        <v>4657943.5</v>
      </c>
      <c r="W127" s="14">
        <f>'A) Base RI'!P127</f>
        <v>1204786.6499999999</v>
      </c>
      <c r="X127" s="14">
        <f>'A) Base RI'!R127</f>
        <v>1661257.1</v>
      </c>
      <c r="Y127" s="4">
        <f t="shared" si="11"/>
        <v>7523987.25</v>
      </c>
      <c r="Z127" s="14">
        <f>'A) Base RI'!N127</f>
        <v>83906.4</v>
      </c>
      <c r="AA127" s="14">
        <f>'A) Base RI'!S127+'A) Base RI'!T127</f>
        <v>881.25</v>
      </c>
      <c r="AB127" s="14">
        <f>'A) Base RI'!U127</f>
        <v>42100</v>
      </c>
      <c r="AC127" s="14">
        <f>'A) Base RI'!V127</f>
        <v>1039.7</v>
      </c>
      <c r="AD127" s="14">
        <f>'A) Base RI'!W127</f>
        <v>6175.65</v>
      </c>
      <c r="AE127" s="14">
        <f>'A) Base RI'!Y127</f>
        <v>701449.85</v>
      </c>
      <c r="AF127" s="14">
        <f>'A) Base RI'!Z127</f>
        <v>0</v>
      </c>
      <c r="AG127" s="14">
        <f>'A) Base RI'!AA127</f>
        <v>1222453.8500000001</v>
      </c>
      <c r="AH127" s="14">
        <f>'A) Base RI'!AB127</f>
        <v>0</v>
      </c>
      <c r="AI127" s="14">
        <f>'A) Base RI'!AC127</f>
        <v>1410853.32</v>
      </c>
      <c r="AJ127" s="14">
        <f>'A) Base RI'!AD127</f>
        <v>489724.1</v>
      </c>
      <c r="AK127" s="14">
        <f>'A) Base RI'!AE127</f>
        <v>0</v>
      </c>
      <c r="AL127" s="14">
        <f>'A) Base RI'!AF127</f>
        <v>0</v>
      </c>
      <c r="AM127" s="14">
        <f>'A) Base RI'!AG127</f>
        <v>13929.5</v>
      </c>
      <c r="AN127" s="14">
        <f>'A) Base RI'!AH127</f>
        <v>275297.95</v>
      </c>
      <c r="AO127" s="14">
        <f>'A) Base RI'!AI127</f>
        <v>196010.1</v>
      </c>
      <c r="AP127" s="14">
        <f>'A) Base RI'!AJ127</f>
        <v>78404.05</v>
      </c>
      <c r="AQ127" s="14">
        <f>'A) Base RI'!AK127</f>
        <v>0</v>
      </c>
      <c r="AR127" s="14">
        <f>'A) Base RI'!AN127</f>
        <v>9739</v>
      </c>
    </row>
    <row r="128" spans="1:44" x14ac:dyDescent="0.25">
      <c r="A128" s="12">
        <f>'A) Base RI'!A128</f>
        <v>5607</v>
      </c>
      <c r="B128" s="42" t="str">
        <f>'A) Base RI'!B128</f>
        <v>Puidoux</v>
      </c>
      <c r="C128" s="14">
        <f>'A) Base RI'!C128+'A) Base RI'!D128</f>
        <v>5243706.0199999996</v>
      </c>
      <c r="D128" s="14">
        <f>'A) Base RI'!AO128</f>
        <v>-101741.41</v>
      </c>
      <c r="E128" s="41">
        <f>'A) Base RI'!AP128</f>
        <v>0</v>
      </c>
      <c r="F128" s="41">
        <f>'A) Base RI'!AQ128</f>
        <v>-985.34</v>
      </c>
      <c r="G128" s="4">
        <f t="shared" si="6"/>
        <v>5140979.2699999996</v>
      </c>
      <c r="H128" s="14">
        <f>'A) Base RI'!E128</f>
        <v>0</v>
      </c>
      <c r="I128" s="14">
        <f>'A) Base RI'!F128</f>
        <v>0</v>
      </c>
      <c r="J128" s="14">
        <f>'A) Base RI'!G128+'A) Base RI'!H128</f>
        <v>757732.64999999991</v>
      </c>
      <c r="K128" s="14">
        <f>'A) Base RI'!I128</f>
        <v>76798</v>
      </c>
      <c r="L128" s="14">
        <f>'A) Base RI'!J128</f>
        <v>231266.95</v>
      </c>
      <c r="M128" s="14">
        <f>'A) Base RI'!K128</f>
        <v>52015.5</v>
      </c>
      <c r="N128" s="14">
        <f>'A) Base RI'!Q128</f>
        <v>54765.96</v>
      </c>
      <c r="O128" s="14">
        <f t="shared" si="7"/>
        <v>545089.08695652173</v>
      </c>
      <c r="P128" s="14">
        <f>'A) Base RI'!L128</f>
        <v>626852.44999999995</v>
      </c>
      <c r="Q128" s="44">
        <f>'A) Base RI'!AR128</f>
        <v>1.1499999999999999</v>
      </c>
      <c r="R128" s="4">
        <f t="shared" si="8"/>
        <v>6858647.4169565216</v>
      </c>
      <c r="S128" s="43">
        <f>'A) Base RI'!AM128</f>
        <v>68</v>
      </c>
      <c r="T128" s="4">
        <f t="shared" si="9"/>
        <v>6261542.8300000001</v>
      </c>
      <c r="U128" s="4">
        <f t="shared" si="10"/>
        <v>100862.46201406649</v>
      </c>
      <c r="V128" s="14">
        <f>'A) Base RI'!O128</f>
        <v>0</v>
      </c>
      <c r="W128" s="14">
        <f>'A) Base RI'!P128</f>
        <v>259202.2</v>
      </c>
      <c r="X128" s="14">
        <f>'A) Base RI'!R128</f>
        <v>172248.75</v>
      </c>
      <c r="Y128" s="4">
        <f t="shared" si="11"/>
        <v>431450.95</v>
      </c>
      <c r="Z128" s="14">
        <f>'A) Base RI'!N128</f>
        <v>140910.85</v>
      </c>
      <c r="AA128" s="14">
        <f>'A) Base RI'!S128+'A) Base RI'!T128</f>
        <v>218.75</v>
      </c>
      <c r="AB128" s="14">
        <f>'A) Base RI'!U128</f>
        <v>19550</v>
      </c>
      <c r="AC128" s="14">
        <f>'A) Base RI'!V128</f>
        <v>0</v>
      </c>
      <c r="AD128" s="14">
        <f>'A) Base RI'!W128</f>
        <v>0</v>
      </c>
      <c r="AE128" s="14">
        <f>'A) Base RI'!Y128</f>
        <v>105996.2</v>
      </c>
      <c r="AF128" s="14">
        <f>'A) Base RI'!Z128</f>
        <v>0</v>
      </c>
      <c r="AG128" s="14">
        <f>'A) Base RI'!AA128</f>
        <v>171676.85</v>
      </c>
      <c r="AH128" s="14">
        <f>'A) Base RI'!AB128</f>
        <v>322404</v>
      </c>
      <c r="AI128" s="14">
        <f>'A) Base RI'!AC128</f>
        <v>150523</v>
      </c>
      <c r="AJ128" s="14">
        <f>'A) Base RI'!AD128</f>
        <v>219766.9</v>
      </c>
      <c r="AK128" s="14">
        <f>'A) Base RI'!AE128</f>
        <v>0</v>
      </c>
      <c r="AL128" s="14">
        <f>'A) Base RI'!AF128</f>
        <v>0</v>
      </c>
      <c r="AM128" s="14">
        <f>'A) Base RI'!AG128</f>
        <v>43342</v>
      </c>
      <c r="AN128" s="14">
        <f>'A) Base RI'!AH128</f>
        <v>141845.45000000001</v>
      </c>
      <c r="AO128" s="14">
        <f>'A) Base RI'!AI128</f>
        <v>0</v>
      </c>
      <c r="AP128" s="14">
        <f>'A) Base RI'!AJ128</f>
        <v>0</v>
      </c>
      <c r="AQ128" s="14">
        <f>'A) Base RI'!AK128</f>
        <v>0</v>
      </c>
      <c r="AR128" s="14">
        <f>'A) Base RI'!AN128</f>
        <v>2858</v>
      </c>
    </row>
    <row r="129" spans="1:44" x14ac:dyDescent="0.25">
      <c r="A129" s="12">
        <f>'A) Base RI'!A129</f>
        <v>5609</v>
      </c>
      <c r="B129" s="42" t="str">
        <f>'A) Base RI'!B129</f>
        <v>Rivaz</v>
      </c>
      <c r="C129" s="14">
        <f>'A) Base RI'!C129+'A) Base RI'!D129</f>
        <v>949984.36</v>
      </c>
      <c r="D129" s="14">
        <f>'A) Base RI'!AO129</f>
        <v>-5364.15</v>
      </c>
      <c r="E129" s="41">
        <f>'A) Base RI'!AP129</f>
        <v>0</v>
      </c>
      <c r="F129" s="41">
        <f>'A) Base RI'!AQ129</f>
        <v>-162.15</v>
      </c>
      <c r="G129" s="4">
        <f t="shared" si="6"/>
        <v>944458.05999999994</v>
      </c>
      <c r="H129" s="14">
        <f>'A) Base RI'!E129</f>
        <v>0</v>
      </c>
      <c r="I129" s="14">
        <f>'A) Base RI'!F129</f>
        <v>0</v>
      </c>
      <c r="J129" s="14">
        <f>'A) Base RI'!G129+'A) Base RI'!H129</f>
        <v>21859.899999999998</v>
      </c>
      <c r="K129" s="14">
        <f>'A) Base RI'!I129</f>
        <v>0</v>
      </c>
      <c r="L129" s="14">
        <f>'A) Base RI'!J129</f>
        <v>7777.46</v>
      </c>
      <c r="M129" s="14">
        <f>'A) Base RI'!K129</f>
        <v>1366.5</v>
      </c>
      <c r="N129" s="14">
        <f>'A) Base RI'!Q129</f>
        <v>0</v>
      </c>
      <c r="O129" s="14">
        <f t="shared" si="7"/>
        <v>48300.6</v>
      </c>
      <c r="P129" s="14">
        <f>'A) Base RI'!L129</f>
        <v>48300.6</v>
      </c>
      <c r="Q129" s="44">
        <f>'A) Base RI'!AR129</f>
        <v>1</v>
      </c>
      <c r="R129" s="4">
        <f t="shared" si="8"/>
        <v>1023762.5199999999</v>
      </c>
      <c r="S129" s="43">
        <f>'A) Base RI'!AM129</f>
        <v>63.5</v>
      </c>
      <c r="T129" s="4">
        <f t="shared" si="9"/>
        <v>974095.41999999993</v>
      </c>
      <c r="U129" s="4">
        <f t="shared" si="10"/>
        <v>16122.244409448818</v>
      </c>
      <c r="V129" s="14">
        <f>'A) Base RI'!O129</f>
        <v>87719.9</v>
      </c>
      <c r="W129" s="14">
        <f>'A) Base RI'!P129</f>
        <v>9177.7000000000007</v>
      </c>
      <c r="X129" s="14">
        <f>'A) Base RI'!R129</f>
        <v>5781.25</v>
      </c>
      <c r="Y129" s="4">
        <f t="shared" si="11"/>
        <v>102678.84999999999</v>
      </c>
      <c r="Z129" s="14">
        <f>'A) Base RI'!N129</f>
        <v>0</v>
      </c>
      <c r="AA129" s="14">
        <f>'A) Base RI'!S129+'A) Base RI'!T129</f>
        <v>31.25</v>
      </c>
      <c r="AB129" s="14">
        <f>'A) Base RI'!U129</f>
        <v>600</v>
      </c>
      <c r="AC129" s="14">
        <f>'A) Base RI'!V129</f>
        <v>0</v>
      </c>
      <c r="AD129" s="14">
        <f>'A) Base RI'!W129</f>
        <v>0</v>
      </c>
      <c r="AE129" s="14">
        <f>'A) Base RI'!Y129</f>
        <v>0</v>
      </c>
      <c r="AF129" s="14">
        <f>'A) Base RI'!Z129</f>
        <v>0</v>
      </c>
      <c r="AG129" s="14">
        <f>'A) Base RI'!AA129</f>
        <v>33932</v>
      </c>
      <c r="AH129" s="14">
        <f>'A) Base RI'!AB129</f>
        <v>35437.300000000003</v>
      </c>
      <c r="AI129" s="14">
        <f>'A) Base RI'!AC129</f>
        <v>22928.76</v>
      </c>
      <c r="AJ129" s="14">
        <f>'A) Base RI'!AD129</f>
        <v>0</v>
      </c>
      <c r="AK129" s="14">
        <f>'A) Base RI'!AE129</f>
        <v>0</v>
      </c>
      <c r="AL129" s="14">
        <f>'A) Base RI'!AF129</f>
        <v>0</v>
      </c>
      <c r="AM129" s="14">
        <f>'A) Base RI'!AG129</f>
        <v>7706</v>
      </c>
      <c r="AN129" s="14">
        <f>'A) Base RI'!AH129</f>
        <v>6453.6</v>
      </c>
      <c r="AO129" s="14">
        <f>'A) Base RI'!AI129</f>
        <v>0</v>
      </c>
      <c r="AP129" s="14">
        <f>'A) Base RI'!AJ129</f>
        <v>0</v>
      </c>
      <c r="AQ129" s="14">
        <f>'A) Base RI'!AK129</f>
        <v>0</v>
      </c>
      <c r="AR129" s="14">
        <f>'A) Base RI'!AN129</f>
        <v>360</v>
      </c>
    </row>
    <row r="130" spans="1:44" x14ac:dyDescent="0.25">
      <c r="A130" s="12">
        <f>'A) Base RI'!A130</f>
        <v>5610</v>
      </c>
      <c r="B130" s="42" t="str">
        <f>'A) Base RI'!B130</f>
        <v>St-Saphorin (Lavaux)</v>
      </c>
      <c r="C130" s="14">
        <f>'A) Base RI'!C130+'A) Base RI'!D130</f>
        <v>1126331.27</v>
      </c>
      <c r="D130" s="14">
        <f>'A) Base RI'!AO130</f>
        <v>-12320.9</v>
      </c>
      <c r="E130" s="41">
        <f>'A) Base RI'!AP130</f>
        <v>0</v>
      </c>
      <c r="F130" s="41">
        <f>'A) Base RI'!AQ130</f>
        <v>-1251.57</v>
      </c>
      <c r="G130" s="4">
        <f t="shared" si="6"/>
        <v>1112758.8</v>
      </c>
      <c r="H130" s="14">
        <f>'A) Base RI'!E130</f>
        <v>0</v>
      </c>
      <c r="I130" s="14">
        <f>'A) Base RI'!F130</f>
        <v>0</v>
      </c>
      <c r="J130" s="14">
        <f>'A) Base RI'!G130+'A) Base RI'!H130</f>
        <v>8059.5</v>
      </c>
      <c r="K130" s="14">
        <f>'A) Base RI'!I130</f>
        <v>85888.15</v>
      </c>
      <c r="L130" s="14">
        <f>'A) Base RI'!J130</f>
        <v>9239.2000000000007</v>
      </c>
      <c r="M130" s="14">
        <f>'A) Base RI'!K130</f>
        <v>6587.5</v>
      </c>
      <c r="N130" s="14">
        <f>'A) Base RI'!Q130</f>
        <v>0</v>
      </c>
      <c r="O130" s="14">
        <f t="shared" si="7"/>
        <v>77885.05</v>
      </c>
      <c r="P130" s="14">
        <f>'A) Base RI'!L130</f>
        <v>77885.05</v>
      </c>
      <c r="Q130" s="44">
        <f>'A) Base RI'!AR130</f>
        <v>1</v>
      </c>
      <c r="R130" s="4">
        <f t="shared" si="8"/>
        <v>1300418.2</v>
      </c>
      <c r="S130" s="43">
        <f>'A) Base RI'!AM130</f>
        <v>62</v>
      </c>
      <c r="T130" s="4">
        <f t="shared" si="9"/>
        <v>1215945.6499999999</v>
      </c>
      <c r="U130" s="4">
        <f t="shared" si="10"/>
        <v>20974.487096774192</v>
      </c>
      <c r="V130" s="14">
        <f>'A) Base RI'!O130</f>
        <v>0</v>
      </c>
      <c r="W130" s="14">
        <f>'A) Base RI'!P130</f>
        <v>22106.05</v>
      </c>
      <c r="X130" s="14">
        <f>'A) Base RI'!R130</f>
        <v>29817.1</v>
      </c>
      <c r="Y130" s="4">
        <f t="shared" si="11"/>
        <v>51923.149999999994</v>
      </c>
      <c r="Z130" s="14">
        <f>'A) Base RI'!N130</f>
        <v>0</v>
      </c>
      <c r="AA130" s="14">
        <f>'A) Base RI'!S130+'A) Base RI'!T130</f>
        <v>62.5</v>
      </c>
      <c r="AB130" s="14">
        <f>'A) Base RI'!U130</f>
        <v>4425</v>
      </c>
      <c r="AC130" s="14">
        <f>'A) Base RI'!V130</f>
        <v>0</v>
      </c>
      <c r="AD130" s="14">
        <f>'A) Base RI'!W130</f>
        <v>0</v>
      </c>
      <c r="AE130" s="14">
        <f>'A) Base RI'!Y130</f>
        <v>9207.5</v>
      </c>
      <c r="AF130" s="14">
        <f>'A) Base RI'!Z130</f>
        <v>0</v>
      </c>
      <c r="AG130" s="14">
        <f>'A) Base RI'!AA130</f>
        <v>55602</v>
      </c>
      <c r="AH130" s="14">
        <f>'A) Base RI'!AB130</f>
        <v>0</v>
      </c>
      <c r="AI130" s="14">
        <f>'A) Base RI'!AC130</f>
        <v>0</v>
      </c>
      <c r="AJ130" s="14">
        <f>'A) Base RI'!AD130</f>
        <v>18415.05</v>
      </c>
      <c r="AK130" s="14">
        <f>'A) Base RI'!AE130</f>
        <v>0</v>
      </c>
      <c r="AL130" s="14">
        <f>'A) Base RI'!AF130</f>
        <v>0</v>
      </c>
      <c r="AM130" s="14">
        <f>'A) Base RI'!AG130</f>
        <v>0</v>
      </c>
      <c r="AN130" s="14">
        <f>'A) Base RI'!AH130</f>
        <v>0</v>
      </c>
      <c r="AO130" s="14">
        <f>'A) Base RI'!AI130</f>
        <v>0</v>
      </c>
      <c r="AP130" s="14">
        <f>'A) Base RI'!AJ130</f>
        <v>0</v>
      </c>
      <c r="AQ130" s="14">
        <f>'A) Base RI'!AK130</f>
        <v>0</v>
      </c>
      <c r="AR130" s="14">
        <f>'A) Base RI'!AN130</f>
        <v>383</v>
      </c>
    </row>
    <row r="131" spans="1:44" x14ac:dyDescent="0.25">
      <c r="A131" s="12">
        <f>'A) Base RI'!A131</f>
        <v>5611</v>
      </c>
      <c r="B131" s="42" t="str">
        <f>'A) Base RI'!B131</f>
        <v>Savigny</v>
      </c>
      <c r="C131" s="14">
        <f>'A) Base RI'!C131+'A) Base RI'!D131</f>
        <v>7430519.0699999994</v>
      </c>
      <c r="D131" s="14">
        <f>'A) Base RI'!AO131</f>
        <v>-156040.35999999999</v>
      </c>
      <c r="E131" s="41">
        <f>'A) Base RI'!AP131</f>
        <v>0</v>
      </c>
      <c r="F131" s="41">
        <f>'A) Base RI'!AQ131</f>
        <v>-869.8</v>
      </c>
      <c r="G131" s="4">
        <f t="shared" si="6"/>
        <v>7273608.9099999992</v>
      </c>
      <c r="H131" s="14">
        <f>'A) Base RI'!E131</f>
        <v>0</v>
      </c>
      <c r="I131" s="14">
        <f>'A) Base RI'!F131</f>
        <v>0</v>
      </c>
      <c r="J131" s="14">
        <f>'A) Base RI'!G131+'A) Base RI'!H131</f>
        <v>559544.4</v>
      </c>
      <c r="K131" s="14">
        <f>'A) Base RI'!I131</f>
        <v>43016.6</v>
      </c>
      <c r="L131" s="14">
        <f>'A) Base RI'!J131</f>
        <v>192844.12</v>
      </c>
      <c r="M131" s="14">
        <f>'A) Base RI'!K131</f>
        <v>16503</v>
      </c>
      <c r="N131" s="14">
        <f>'A) Base RI'!Q131</f>
        <v>43624.72</v>
      </c>
      <c r="O131" s="14">
        <f t="shared" si="7"/>
        <v>601789.5</v>
      </c>
      <c r="P131" s="14">
        <f>'A) Base RI'!L131</f>
        <v>601789.5</v>
      </c>
      <c r="Q131" s="44">
        <f>'A) Base RI'!AR131</f>
        <v>1</v>
      </c>
      <c r="R131" s="4">
        <f t="shared" si="8"/>
        <v>8730931.25</v>
      </c>
      <c r="S131" s="43">
        <f>'A) Base RI'!AM131</f>
        <v>67</v>
      </c>
      <c r="T131" s="4">
        <f t="shared" si="9"/>
        <v>8112638.7499999991</v>
      </c>
      <c r="U131" s="4">
        <f t="shared" si="10"/>
        <v>130312.40671641791</v>
      </c>
      <c r="V131" s="14">
        <f>'A) Base RI'!O131</f>
        <v>228645.4</v>
      </c>
      <c r="W131" s="14">
        <f>'A) Base RI'!P131</f>
        <v>286887.65000000002</v>
      </c>
      <c r="X131" s="14">
        <f>'A) Base RI'!R131</f>
        <v>303108.8</v>
      </c>
      <c r="Y131" s="4">
        <f t="shared" si="11"/>
        <v>818641.85000000009</v>
      </c>
      <c r="Z131" s="14">
        <f>'A) Base RI'!N131</f>
        <v>93366.8</v>
      </c>
      <c r="AA131" s="14">
        <f>'A) Base RI'!S131+'A) Base RI'!T131</f>
        <v>300</v>
      </c>
      <c r="AB131" s="14">
        <f>'A) Base RI'!U131</f>
        <v>21665</v>
      </c>
      <c r="AC131" s="14">
        <f>'A) Base RI'!V131</f>
        <v>2762.1</v>
      </c>
      <c r="AD131" s="14">
        <f>'A) Base RI'!W131</f>
        <v>0</v>
      </c>
      <c r="AE131" s="14">
        <f>'A) Base RI'!Y131</f>
        <v>94325.7</v>
      </c>
      <c r="AF131" s="14">
        <f>'A) Base RI'!Z131</f>
        <v>1072.8</v>
      </c>
      <c r="AG131" s="14">
        <f>'A) Base RI'!AA131</f>
        <v>0</v>
      </c>
      <c r="AH131" s="14">
        <f>'A) Base RI'!AB131</f>
        <v>0</v>
      </c>
      <c r="AI131" s="14">
        <f>'A) Base RI'!AC131</f>
        <v>310499.3</v>
      </c>
      <c r="AJ131" s="14">
        <f>'A) Base RI'!AD131</f>
        <v>12596.25</v>
      </c>
      <c r="AK131" s="14">
        <f>'A) Base RI'!AE131</f>
        <v>1783.1</v>
      </c>
      <c r="AL131" s="14">
        <f>'A) Base RI'!AF131</f>
        <v>0</v>
      </c>
      <c r="AM131" s="14">
        <f>'A) Base RI'!AG131</f>
        <v>0</v>
      </c>
      <c r="AN131" s="14">
        <f>'A) Base RI'!AH131</f>
        <v>0</v>
      </c>
      <c r="AO131" s="14">
        <f>'A) Base RI'!AI131</f>
        <v>0</v>
      </c>
      <c r="AP131" s="14">
        <f>'A) Base RI'!AJ131</f>
        <v>0</v>
      </c>
      <c r="AQ131" s="14">
        <f>'A) Base RI'!AK131</f>
        <v>0</v>
      </c>
      <c r="AR131" s="14">
        <f>'A) Base RI'!AN131</f>
        <v>3304</v>
      </c>
    </row>
    <row r="132" spans="1:44" x14ac:dyDescent="0.25">
      <c r="A132" s="12">
        <f>'A) Base RI'!A132</f>
        <v>5613</v>
      </c>
      <c r="B132" s="42" t="str">
        <f>'A) Base RI'!B132</f>
        <v>Bourg-en-Lavaux</v>
      </c>
      <c r="C132" s="14">
        <f>'A) Base RI'!C132+'A) Base RI'!D132</f>
        <v>16130488.289999999</v>
      </c>
      <c r="D132" s="14">
        <f>'A) Base RI'!AO132</f>
        <v>-149729.23000000001</v>
      </c>
      <c r="E132" s="41">
        <f>'A) Base RI'!AP132</f>
        <v>0</v>
      </c>
      <c r="F132" s="41">
        <f>'A) Base RI'!AQ132</f>
        <v>-8039.1</v>
      </c>
      <c r="G132" s="4">
        <f t="shared" si="6"/>
        <v>15972719.959999999</v>
      </c>
      <c r="H132" s="14">
        <f>'A) Base RI'!E132</f>
        <v>0</v>
      </c>
      <c r="I132" s="14">
        <f>'A) Base RI'!F132</f>
        <v>0</v>
      </c>
      <c r="J132" s="14">
        <f>'A) Base RI'!G132+'A) Base RI'!H132</f>
        <v>260035.80000000002</v>
      </c>
      <c r="K132" s="14">
        <f>'A) Base RI'!I132</f>
        <v>251209.32</v>
      </c>
      <c r="L132" s="14">
        <f>'A) Base RI'!J132</f>
        <v>274822.02</v>
      </c>
      <c r="M132" s="14">
        <f>'A) Base RI'!K132</f>
        <v>30839.5</v>
      </c>
      <c r="N132" s="14">
        <f>'A) Base RI'!Q132</f>
        <v>69854.11</v>
      </c>
      <c r="O132" s="14">
        <f t="shared" si="7"/>
        <v>1175711.5333333334</v>
      </c>
      <c r="P132" s="14">
        <f>'A) Base RI'!L132</f>
        <v>1763567.3</v>
      </c>
      <c r="Q132" s="44">
        <f>'A) Base RI'!AR132</f>
        <v>1.5</v>
      </c>
      <c r="R132" s="4">
        <f t="shared" si="8"/>
        <v>18035192.243333336</v>
      </c>
      <c r="S132" s="43">
        <f>'A) Base RI'!AM132</f>
        <v>61</v>
      </c>
      <c r="T132" s="4">
        <f t="shared" si="9"/>
        <v>16828641.210000001</v>
      </c>
      <c r="U132" s="4">
        <f t="shared" si="10"/>
        <v>295658.88923497271</v>
      </c>
      <c r="V132" s="14">
        <f>'A) Base RI'!O132</f>
        <v>630527.80000000005</v>
      </c>
      <c r="W132" s="14">
        <f>'A) Base RI'!P132</f>
        <v>700000</v>
      </c>
      <c r="X132" s="14">
        <f>'A) Base RI'!R132</f>
        <v>800000</v>
      </c>
      <c r="Y132" s="4">
        <f t="shared" si="11"/>
        <v>2130527.7999999998</v>
      </c>
      <c r="Z132" s="14">
        <f>'A) Base RI'!N132</f>
        <v>39091.699999999997</v>
      </c>
      <c r="AA132" s="14">
        <f>'A) Base RI'!S132+'A) Base RI'!T132</f>
        <v>425</v>
      </c>
      <c r="AB132" s="14">
        <f>'A) Base RI'!U132</f>
        <v>24100</v>
      </c>
      <c r="AC132" s="14">
        <f>'A) Base RI'!V132</f>
        <v>0</v>
      </c>
      <c r="AD132" s="14">
        <f>'A) Base RI'!W132</f>
        <v>0</v>
      </c>
      <c r="AE132" s="14">
        <f>'A) Base RI'!Y132</f>
        <v>-89470.399999999994</v>
      </c>
      <c r="AF132" s="14">
        <f>'A) Base RI'!Z132</f>
        <v>0</v>
      </c>
      <c r="AG132" s="14">
        <f>'A) Base RI'!AA132</f>
        <v>818821.6</v>
      </c>
      <c r="AH132" s="14">
        <f>'A) Base RI'!AB132</f>
        <v>340808</v>
      </c>
      <c r="AI132" s="14">
        <f>'A) Base RI'!AC132</f>
        <v>99730.35</v>
      </c>
      <c r="AJ132" s="14">
        <f>'A) Base RI'!AD132</f>
        <v>0</v>
      </c>
      <c r="AK132" s="14">
        <f>'A) Base RI'!AE132</f>
        <v>0</v>
      </c>
      <c r="AL132" s="14">
        <f>'A) Base RI'!AF132</f>
        <v>0</v>
      </c>
      <c r="AM132" s="14">
        <f>'A) Base RI'!AG132</f>
        <v>149780.04999999999</v>
      </c>
      <c r="AN132" s="14">
        <f>'A) Base RI'!AH132</f>
        <v>0</v>
      </c>
      <c r="AO132" s="14">
        <f>'A) Base RI'!AI132</f>
        <v>0</v>
      </c>
      <c r="AP132" s="14">
        <f>'A) Base RI'!AJ132</f>
        <v>0</v>
      </c>
      <c r="AQ132" s="14">
        <f>'A) Base RI'!AK132</f>
        <v>0</v>
      </c>
      <c r="AR132" s="14">
        <f>'A) Base RI'!AN132</f>
        <v>5247</v>
      </c>
    </row>
    <row r="133" spans="1:44" x14ac:dyDescent="0.25">
      <c r="A133" s="12">
        <f>'A) Base RI'!A133</f>
        <v>5621</v>
      </c>
      <c r="B133" s="42" t="str">
        <f>'A) Base RI'!B133</f>
        <v>Aclens</v>
      </c>
      <c r="C133" s="14">
        <f>'A) Base RI'!C133+'A) Base RI'!D133</f>
        <v>1103589.77</v>
      </c>
      <c r="D133" s="14">
        <f>'A) Base RI'!AO133</f>
        <v>-13453.91</v>
      </c>
      <c r="E133" s="41">
        <f>'A) Base RI'!AP133</f>
        <v>0</v>
      </c>
      <c r="F133" s="41">
        <f>'A) Base RI'!AQ133</f>
        <v>-228.54</v>
      </c>
      <c r="G133" s="4">
        <f t="shared" si="6"/>
        <v>1089907.32</v>
      </c>
      <c r="H133" s="14">
        <f>'A) Base RI'!E133</f>
        <v>0</v>
      </c>
      <c r="I133" s="14">
        <f>'A) Base RI'!F133</f>
        <v>0</v>
      </c>
      <c r="J133" s="14">
        <f>'A) Base RI'!G133+'A) Base RI'!H133</f>
        <v>652358.44999999995</v>
      </c>
      <c r="K133" s="14">
        <f>'A) Base RI'!I133</f>
        <v>0</v>
      </c>
      <c r="L133" s="14">
        <f>'A) Base RI'!J133</f>
        <v>64728.53</v>
      </c>
      <c r="M133" s="14">
        <f>'A) Base RI'!K133</f>
        <v>9076</v>
      </c>
      <c r="N133" s="14">
        <f>'A) Base RI'!Q133</f>
        <v>2344.4499999999998</v>
      </c>
      <c r="O133" s="14">
        <f t="shared" si="7"/>
        <v>274664.27272727271</v>
      </c>
      <c r="P133" s="14">
        <f>'A) Base RI'!L133</f>
        <v>302130.7</v>
      </c>
      <c r="Q133" s="44">
        <f>'A) Base RI'!AR133</f>
        <v>1.1000000000000001</v>
      </c>
      <c r="R133" s="4">
        <f t="shared" si="8"/>
        <v>2093079.0227272727</v>
      </c>
      <c r="S133" s="43">
        <f>'A) Base RI'!AM133</f>
        <v>62</v>
      </c>
      <c r="T133" s="4">
        <f t="shared" si="9"/>
        <v>1809338.75</v>
      </c>
      <c r="U133" s="4">
        <f t="shared" si="10"/>
        <v>33759.339076246331</v>
      </c>
      <c r="V133" s="14">
        <f>'A) Base RI'!O133</f>
        <v>2926.9</v>
      </c>
      <c r="W133" s="14">
        <f>'A) Base RI'!P133</f>
        <v>102534</v>
      </c>
      <c r="X133" s="14">
        <f>'A) Base RI'!R133</f>
        <v>56362.35</v>
      </c>
      <c r="Y133" s="4">
        <f t="shared" si="11"/>
        <v>161823.25</v>
      </c>
      <c r="Z133" s="14">
        <f>'A) Base RI'!N133</f>
        <v>144149.65</v>
      </c>
      <c r="AA133" s="14">
        <f>'A) Base RI'!S133+'A) Base RI'!T133</f>
        <v>650</v>
      </c>
      <c r="AB133" s="14">
        <f>'A) Base RI'!U133</f>
        <v>2880</v>
      </c>
      <c r="AC133" s="14">
        <f>'A) Base RI'!V133</f>
        <v>0</v>
      </c>
      <c r="AD133" s="14">
        <f>'A) Base RI'!W133</f>
        <v>0</v>
      </c>
      <c r="AE133" s="14">
        <f>'A) Base RI'!Y133</f>
        <v>9424</v>
      </c>
      <c r="AF133" s="14">
        <f>'A) Base RI'!Z133</f>
        <v>0</v>
      </c>
      <c r="AG133" s="14">
        <f>'A) Base RI'!AA133</f>
        <v>161635</v>
      </c>
      <c r="AH133" s="14">
        <f>'A) Base RI'!AB133</f>
        <v>0</v>
      </c>
      <c r="AI133" s="14">
        <f>'A) Base RI'!AC133</f>
        <v>41580</v>
      </c>
      <c r="AJ133" s="14">
        <f>'A) Base RI'!AD133</f>
        <v>14069</v>
      </c>
      <c r="AK133" s="14">
        <f>'A) Base RI'!AE133</f>
        <v>0</v>
      </c>
      <c r="AL133" s="14">
        <f>'A) Base RI'!AF133</f>
        <v>0</v>
      </c>
      <c r="AM133" s="14">
        <f>'A) Base RI'!AG133</f>
        <v>0</v>
      </c>
      <c r="AN133" s="14">
        <f>'A) Base RI'!AH133</f>
        <v>101948</v>
      </c>
      <c r="AO133" s="14">
        <f>'A) Base RI'!AI133</f>
        <v>0</v>
      </c>
      <c r="AP133" s="14">
        <f>'A) Base RI'!AJ133</f>
        <v>0</v>
      </c>
      <c r="AQ133" s="14">
        <f>'A) Base RI'!AK133</f>
        <v>0</v>
      </c>
      <c r="AR133" s="14">
        <f>'A) Base RI'!AN133</f>
        <v>528</v>
      </c>
    </row>
    <row r="134" spans="1:44" x14ac:dyDescent="0.25">
      <c r="A134" s="12">
        <f>'A) Base RI'!A134</f>
        <v>5622</v>
      </c>
      <c r="B134" s="42" t="str">
        <f>'A) Base RI'!B134</f>
        <v>Bremblens</v>
      </c>
      <c r="C134" s="14">
        <f>'A) Base RI'!C134+'A) Base RI'!D134</f>
        <v>1541988.85</v>
      </c>
      <c r="D134" s="14">
        <f>'A) Base RI'!AO134</f>
        <v>-160.82</v>
      </c>
      <c r="E134" s="41">
        <f>'A) Base RI'!AP134</f>
        <v>0</v>
      </c>
      <c r="F134" s="41">
        <f>'A) Base RI'!AQ134</f>
        <v>-25.93</v>
      </c>
      <c r="G134" s="4">
        <f t="shared" si="6"/>
        <v>1541802.1</v>
      </c>
      <c r="H134" s="14">
        <f>'A) Base RI'!E134</f>
        <v>0</v>
      </c>
      <c r="I134" s="14">
        <f>'A) Base RI'!F134</f>
        <v>0</v>
      </c>
      <c r="J134" s="14">
        <f>'A) Base RI'!G134+'A) Base RI'!H134</f>
        <v>178061.15</v>
      </c>
      <c r="K134" s="14">
        <f>'A) Base RI'!I134</f>
        <v>0</v>
      </c>
      <c r="L134" s="14">
        <f>'A) Base RI'!J134</f>
        <v>4017.66</v>
      </c>
      <c r="M134" s="14">
        <f>'A) Base RI'!K134</f>
        <v>4925</v>
      </c>
      <c r="N134" s="14">
        <f>'A) Base RI'!Q134</f>
        <v>1670.14</v>
      </c>
      <c r="O134" s="14">
        <f t="shared" si="7"/>
        <v>125859</v>
      </c>
      <c r="P134" s="14">
        <f>'A) Base RI'!L134</f>
        <v>125859</v>
      </c>
      <c r="Q134" s="44">
        <f>'A) Base RI'!AR134</f>
        <v>1</v>
      </c>
      <c r="R134" s="4">
        <f t="shared" si="8"/>
        <v>1856335.0499999998</v>
      </c>
      <c r="S134" s="43">
        <f>'A) Base RI'!AM134</f>
        <v>66</v>
      </c>
      <c r="T134" s="4">
        <f t="shared" si="9"/>
        <v>1725551.0499999998</v>
      </c>
      <c r="U134" s="4">
        <f t="shared" si="10"/>
        <v>28126.288636363635</v>
      </c>
      <c r="V134" s="14">
        <f>'A) Base RI'!O134</f>
        <v>0</v>
      </c>
      <c r="W134" s="14">
        <f>'A) Base RI'!P134</f>
        <v>30048.9</v>
      </c>
      <c r="X134" s="14">
        <f>'A) Base RI'!R134</f>
        <v>28011.7</v>
      </c>
      <c r="Y134" s="4">
        <f t="shared" si="11"/>
        <v>58060.600000000006</v>
      </c>
      <c r="Z134" s="14">
        <f>'A) Base RI'!N134</f>
        <v>28375.7</v>
      </c>
      <c r="AA134" s="14">
        <f>'A) Base RI'!S134+'A) Base RI'!T134</f>
        <v>0</v>
      </c>
      <c r="AB134" s="14">
        <f>'A) Base RI'!U134</f>
        <v>2260</v>
      </c>
      <c r="AC134" s="14">
        <f>'A) Base RI'!V134</f>
        <v>0</v>
      </c>
      <c r="AD134" s="14">
        <f>'A) Base RI'!W134</f>
        <v>0</v>
      </c>
      <c r="AE134" s="14">
        <f>'A) Base RI'!Y134</f>
        <v>19136.5</v>
      </c>
      <c r="AF134" s="14">
        <f>'A) Base RI'!Z134</f>
        <v>0</v>
      </c>
      <c r="AG134" s="14">
        <f>'A) Base RI'!AA134</f>
        <v>176668.65</v>
      </c>
      <c r="AH134" s="14">
        <f>'A) Base RI'!AB134</f>
        <v>0</v>
      </c>
      <c r="AI134" s="14">
        <f>'A) Base RI'!AC134</f>
        <v>63235.9</v>
      </c>
      <c r="AJ134" s="14">
        <f>'A) Base RI'!AD134</f>
        <v>17360</v>
      </c>
      <c r="AK134" s="14">
        <f>'A) Base RI'!AE134</f>
        <v>0</v>
      </c>
      <c r="AL134" s="14">
        <f>'A) Base RI'!AF134</f>
        <v>0</v>
      </c>
      <c r="AM134" s="14">
        <f>'A) Base RI'!AG134</f>
        <v>0</v>
      </c>
      <c r="AN134" s="14">
        <f>'A) Base RI'!AH134</f>
        <v>0</v>
      </c>
      <c r="AO134" s="14">
        <f>'A) Base RI'!AI134</f>
        <v>0</v>
      </c>
      <c r="AP134" s="14">
        <f>'A) Base RI'!AJ134</f>
        <v>0</v>
      </c>
      <c r="AQ134" s="14">
        <f>'A) Base RI'!AK134</f>
        <v>0</v>
      </c>
      <c r="AR134" s="14">
        <f>'A) Base RI'!AN134</f>
        <v>511</v>
      </c>
    </row>
    <row r="135" spans="1:44" x14ac:dyDescent="0.25">
      <c r="A135" s="12">
        <f>'A) Base RI'!A135</f>
        <v>5623</v>
      </c>
      <c r="B135" s="42" t="str">
        <f>'A) Base RI'!B135</f>
        <v>Buchillon</v>
      </c>
      <c r="C135" s="14">
        <f>'A) Base RI'!C135+'A) Base RI'!D135</f>
        <v>3888297.08</v>
      </c>
      <c r="D135" s="14">
        <f>'A) Base RI'!AO135</f>
        <v>-3359.29</v>
      </c>
      <c r="E135" s="41">
        <f>'A) Base RI'!AP135</f>
        <v>0</v>
      </c>
      <c r="F135" s="41">
        <f>'A) Base RI'!AQ135</f>
        <v>-19079.59</v>
      </c>
      <c r="G135" s="4">
        <f t="shared" si="6"/>
        <v>3865858.2</v>
      </c>
      <c r="H135" s="14">
        <f>'A) Base RI'!E135</f>
        <v>0</v>
      </c>
      <c r="I135" s="14">
        <f>'A) Base RI'!F135</f>
        <v>0</v>
      </c>
      <c r="J135" s="14">
        <f>'A) Base RI'!G135+'A) Base RI'!H135</f>
        <v>27707</v>
      </c>
      <c r="K135" s="14">
        <f>'A) Base RI'!I135</f>
        <v>208050</v>
      </c>
      <c r="L135" s="14">
        <f>'A) Base RI'!J135</f>
        <v>161990.88</v>
      </c>
      <c r="M135" s="14">
        <f>'A) Base RI'!K135</f>
        <v>3166.5</v>
      </c>
      <c r="N135" s="14">
        <f>'A) Base RI'!Q135</f>
        <v>-461.45</v>
      </c>
      <c r="O135" s="14">
        <f t="shared" si="7"/>
        <v>294103</v>
      </c>
      <c r="P135" s="14">
        <f>'A) Base RI'!L135</f>
        <v>235282.4</v>
      </c>
      <c r="Q135" s="44">
        <f>'A) Base RI'!AR135</f>
        <v>0.8</v>
      </c>
      <c r="R135" s="4">
        <f t="shared" si="8"/>
        <v>4560414.13</v>
      </c>
      <c r="S135" s="43">
        <f>'A) Base RI'!AM135</f>
        <v>53</v>
      </c>
      <c r="T135" s="4">
        <f t="shared" si="9"/>
        <v>4263144.63</v>
      </c>
      <c r="U135" s="4">
        <f t="shared" si="10"/>
        <v>86045.549622641513</v>
      </c>
      <c r="V135" s="14">
        <f>'A) Base RI'!O135</f>
        <v>182468.6</v>
      </c>
      <c r="W135" s="14">
        <f>'A) Base RI'!P135</f>
        <v>150588.95000000001</v>
      </c>
      <c r="X135" s="14">
        <f>'A) Base RI'!R135</f>
        <v>280376.7</v>
      </c>
      <c r="Y135" s="4">
        <f t="shared" si="11"/>
        <v>613434.25</v>
      </c>
      <c r="Z135" s="14">
        <f>'A) Base RI'!N135</f>
        <v>398.45</v>
      </c>
      <c r="AA135" s="14">
        <f>'A) Base RI'!S135+'A) Base RI'!T135</f>
        <v>750</v>
      </c>
      <c r="AB135" s="14">
        <f>'A) Base RI'!U135</f>
        <v>1137.5</v>
      </c>
      <c r="AC135" s="14">
        <f>'A) Base RI'!V135</f>
        <v>0</v>
      </c>
      <c r="AD135" s="14">
        <f>'A) Base RI'!W135</f>
        <v>0</v>
      </c>
      <c r="AE135" s="14">
        <f>'A) Base RI'!Y135</f>
        <v>-1616</v>
      </c>
      <c r="AF135" s="14">
        <f>'A) Base RI'!Z135</f>
        <v>0</v>
      </c>
      <c r="AG135" s="14">
        <f>'A) Base RI'!AA135</f>
        <v>143236.9</v>
      </c>
      <c r="AH135" s="14">
        <f>'A) Base RI'!AB135</f>
        <v>0</v>
      </c>
      <c r="AI135" s="14">
        <f>'A) Base RI'!AC135</f>
        <v>90088.4</v>
      </c>
      <c r="AJ135" s="14">
        <f>'A) Base RI'!AD135</f>
        <v>-1185.5</v>
      </c>
      <c r="AK135" s="14">
        <f>'A) Base RI'!AE135</f>
        <v>0</v>
      </c>
      <c r="AL135" s="14">
        <f>'A) Base RI'!AF135</f>
        <v>0</v>
      </c>
      <c r="AM135" s="14">
        <f>'A) Base RI'!AG135</f>
        <v>0</v>
      </c>
      <c r="AN135" s="14">
        <f>'A) Base RI'!AH135</f>
        <v>0</v>
      </c>
      <c r="AO135" s="14">
        <f>'A) Base RI'!AI135</f>
        <v>0</v>
      </c>
      <c r="AP135" s="14">
        <f>'A) Base RI'!AJ135</f>
        <v>0</v>
      </c>
      <c r="AQ135" s="14">
        <f>'A) Base RI'!AK135</f>
        <v>0</v>
      </c>
      <c r="AR135" s="14">
        <f>'A) Base RI'!AN135</f>
        <v>624</v>
      </c>
    </row>
    <row r="136" spans="1:44" x14ac:dyDescent="0.25">
      <c r="A136" s="12">
        <f>'A) Base RI'!A136</f>
        <v>5624</v>
      </c>
      <c r="B136" s="42" t="str">
        <f>'A) Base RI'!B136</f>
        <v>Bussigny</v>
      </c>
      <c r="C136" s="14">
        <f>'A) Base RI'!C136+'A) Base RI'!D136</f>
        <v>13028362.85</v>
      </c>
      <c r="D136" s="14">
        <f>'A) Base RI'!AO136</f>
        <v>-242520</v>
      </c>
      <c r="E136" s="41">
        <f>'A) Base RI'!AP136</f>
        <v>0</v>
      </c>
      <c r="F136" s="41">
        <f>'A) Base RI'!AQ136</f>
        <v>-20879.64</v>
      </c>
      <c r="G136" s="4">
        <f t="shared" ref="G136:G199" si="12">SUM(C136:F136)</f>
        <v>12764963.209999999</v>
      </c>
      <c r="H136" s="14">
        <f>'A) Base RI'!E136</f>
        <v>0</v>
      </c>
      <c r="I136" s="14">
        <f>'A) Base RI'!F136</f>
        <v>0</v>
      </c>
      <c r="J136" s="14">
        <f>'A) Base RI'!G136+'A) Base RI'!H136</f>
        <v>3899055.2600000002</v>
      </c>
      <c r="K136" s="14">
        <f>'A) Base RI'!I136</f>
        <v>0</v>
      </c>
      <c r="L136" s="14">
        <f>'A) Base RI'!J136</f>
        <v>785335.9</v>
      </c>
      <c r="M136" s="14">
        <f>'A) Base RI'!K136</f>
        <v>164076.5</v>
      </c>
      <c r="N136" s="14">
        <f>'A) Base RI'!Q136</f>
        <v>51983.07</v>
      </c>
      <c r="O136" s="14">
        <f t="shared" ref="O136:O199" si="13">(P136/Q136)*1</f>
        <v>1689426</v>
      </c>
      <c r="P136" s="14">
        <f>'A) Base RI'!L136</f>
        <v>1689426</v>
      </c>
      <c r="Q136" s="44">
        <f>'A) Base RI'!AR136</f>
        <v>1</v>
      </c>
      <c r="R136" s="4">
        <f t="shared" ref="R136:R199" si="14">SUM(G136:O136)</f>
        <v>19354839.939999998</v>
      </c>
      <c r="S136" s="43">
        <f>'A) Base RI'!AM136</f>
        <v>62</v>
      </c>
      <c r="T136" s="4">
        <f t="shared" ref="T136:T199" si="15">(G136+H136+J136+K136+L136+N136)</f>
        <v>17501337.439999998</v>
      </c>
      <c r="U136" s="4">
        <f t="shared" ref="U136:U199" si="16">R136/S136</f>
        <v>312174.83774193545</v>
      </c>
      <c r="V136" s="14">
        <f>'A) Base RI'!O136</f>
        <v>2229859.7999999998</v>
      </c>
      <c r="W136" s="14">
        <f>'A) Base RI'!P136</f>
        <v>1395907.4</v>
      </c>
      <c r="X136" s="14">
        <f>'A) Base RI'!R136</f>
        <v>882876.7</v>
      </c>
      <c r="Y136" s="4">
        <f t="shared" ref="Y136:Y199" si="17">SUM(V136:X136)</f>
        <v>4508643.8999999994</v>
      </c>
      <c r="Z136" s="14">
        <f>'A) Base RI'!N136</f>
        <v>1218010.7</v>
      </c>
      <c r="AA136" s="14">
        <f>'A) Base RI'!S136+'A) Base RI'!T136</f>
        <v>0</v>
      </c>
      <c r="AB136" s="14">
        <f>'A) Base RI'!U136</f>
        <v>30400</v>
      </c>
      <c r="AC136" s="14">
        <f>'A) Base RI'!V136</f>
        <v>0</v>
      </c>
      <c r="AD136" s="14">
        <f>'A) Base RI'!W136</f>
        <v>0</v>
      </c>
      <c r="AE136" s="14">
        <f>'A) Base RI'!Y136</f>
        <v>1123292.8500000001</v>
      </c>
      <c r="AF136" s="14">
        <f>'A) Base RI'!Z136</f>
        <v>0</v>
      </c>
      <c r="AG136" s="14">
        <f>'A) Base RI'!AA136</f>
        <v>1490047.82</v>
      </c>
      <c r="AH136" s="14">
        <f>'A) Base RI'!AB136</f>
        <v>0</v>
      </c>
      <c r="AI136" s="14">
        <f>'A) Base RI'!AC136</f>
        <v>942515.4</v>
      </c>
      <c r="AJ136" s="14">
        <f>'A) Base RI'!AD136</f>
        <v>723360</v>
      </c>
      <c r="AK136" s="14">
        <f>'A) Base RI'!AE136</f>
        <v>0</v>
      </c>
      <c r="AL136" s="14">
        <f>'A) Base RI'!AF136</f>
        <v>0</v>
      </c>
      <c r="AM136" s="14">
        <f>'A) Base RI'!AG136</f>
        <v>256397.7</v>
      </c>
      <c r="AN136" s="14">
        <f>'A) Base RI'!AH136</f>
        <v>496502.65</v>
      </c>
      <c r="AO136" s="14">
        <f>'A) Base RI'!AI136</f>
        <v>0</v>
      </c>
      <c r="AP136" s="14">
        <f>'A) Base RI'!AJ136</f>
        <v>0</v>
      </c>
      <c r="AQ136" s="14">
        <f>'A) Base RI'!AK136</f>
        <v>0</v>
      </c>
      <c r="AR136" s="14">
        <f>'A) Base RI'!AN136</f>
        <v>8215</v>
      </c>
    </row>
    <row r="137" spans="1:44" x14ac:dyDescent="0.25">
      <c r="A137" s="12">
        <f>'A) Base RI'!A137</f>
        <v>5625</v>
      </c>
      <c r="B137" s="42" t="str">
        <f>'A) Base RI'!B137</f>
        <v>Bussy-Chardonney</v>
      </c>
      <c r="C137" s="14">
        <f>'A) Base RI'!C137+'A) Base RI'!D137</f>
        <v>1128105.5900000001</v>
      </c>
      <c r="D137" s="14">
        <f>'A) Base RI'!AO137</f>
        <v>-48.01</v>
      </c>
      <c r="E137" s="41">
        <f>'A) Base RI'!AP137</f>
        <v>0</v>
      </c>
      <c r="F137" s="41">
        <f>'A) Base RI'!AQ137</f>
        <v>0</v>
      </c>
      <c r="G137" s="4">
        <f t="shared" si="12"/>
        <v>1128057.58</v>
      </c>
      <c r="H137" s="14">
        <f>'A) Base RI'!E137</f>
        <v>0</v>
      </c>
      <c r="I137" s="14">
        <f>'A) Base RI'!F137</f>
        <v>0</v>
      </c>
      <c r="J137" s="14">
        <f>'A) Base RI'!G137+'A) Base RI'!H137</f>
        <v>9637.5</v>
      </c>
      <c r="K137" s="14">
        <f>'A) Base RI'!I137</f>
        <v>49537.55</v>
      </c>
      <c r="L137" s="14">
        <f>'A) Base RI'!J137</f>
        <v>-14334.28</v>
      </c>
      <c r="M137" s="14">
        <f>'A) Base RI'!K137</f>
        <v>5595</v>
      </c>
      <c r="N137" s="14">
        <f>'A) Base RI'!Q137</f>
        <v>0</v>
      </c>
      <c r="O137" s="14">
        <f t="shared" si="13"/>
        <v>82970.791666666672</v>
      </c>
      <c r="P137" s="14">
        <f>'A) Base RI'!L137</f>
        <v>99564.95</v>
      </c>
      <c r="Q137" s="44">
        <f>'A) Base RI'!AR137</f>
        <v>1.2</v>
      </c>
      <c r="R137" s="4">
        <f t="shared" si="14"/>
        <v>1261464.1416666668</v>
      </c>
      <c r="S137" s="43">
        <f>'A) Base RI'!AM137</f>
        <v>78</v>
      </c>
      <c r="T137" s="4">
        <f t="shared" si="15"/>
        <v>1172898.3500000001</v>
      </c>
      <c r="U137" s="4">
        <f t="shared" si="16"/>
        <v>16172.617200854704</v>
      </c>
      <c r="V137" s="14">
        <f>'A) Base RI'!O137</f>
        <v>0</v>
      </c>
      <c r="W137" s="14">
        <f>'A) Base RI'!P137</f>
        <v>46750</v>
      </c>
      <c r="X137" s="14">
        <f>'A) Base RI'!R137</f>
        <v>56465.7</v>
      </c>
      <c r="Y137" s="4">
        <f t="shared" si="17"/>
        <v>103215.7</v>
      </c>
      <c r="Z137" s="14">
        <f>'A) Base RI'!N137</f>
        <v>0</v>
      </c>
      <c r="AA137" s="14">
        <f>'A) Base RI'!S137+'A) Base RI'!T137</f>
        <v>1700</v>
      </c>
      <c r="AB137" s="14">
        <f>'A) Base RI'!U137</f>
        <v>760</v>
      </c>
      <c r="AC137" s="14">
        <f>'A) Base RI'!V137</f>
        <v>0</v>
      </c>
      <c r="AD137" s="14">
        <f>'A) Base RI'!W137</f>
        <v>0</v>
      </c>
      <c r="AE137" s="14">
        <f>'A) Base RI'!Y137</f>
        <v>0</v>
      </c>
      <c r="AF137" s="14">
        <f>'A) Base RI'!Z137</f>
        <v>0</v>
      </c>
      <c r="AG137" s="14">
        <f>'A) Base RI'!AA137</f>
        <v>56704.2</v>
      </c>
      <c r="AH137" s="14">
        <f>'A) Base RI'!AB137</f>
        <v>0</v>
      </c>
      <c r="AI137" s="14">
        <f>'A) Base RI'!AC137</f>
        <v>43705.65</v>
      </c>
      <c r="AJ137" s="14">
        <f>'A) Base RI'!AD137</f>
        <v>0</v>
      </c>
      <c r="AK137" s="14">
        <f>'A) Base RI'!AE137</f>
        <v>0</v>
      </c>
      <c r="AL137" s="14">
        <f>'A) Base RI'!AF137</f>
        <v>0</v>
      </c>
      <c r="AM137" s="14">
        <f>'A) Base RI'!AG137</f>
        <v>0</v>
      </c>
      <c r="AN137" s="14">
        <f>'A) Base RI'!AH137</f>
        <v>0</v>
      </c>
      <c r="AO137" s="14">
        <f>'A) Base RI'!AI137</f>
        <v>0</v>
      </c>
      <c r="AP137" s="14">
        <f>'A) Base RI'!AJ137</f>
        <v>0</v>
      </c>
      <c r="AQ137" s="14">
        <f>'A) Base RI'!AK137</f>
        <v>0</v>
      </c>
      <c r="AR137" s="14">
        <f>'A) Base RI'!AN137</f>
        <v>377</v>
      </c>
    </row>
    <row r="138" spans="1:44" x14ac:dyDescent="0.25">
      <c r="A138" s="12">
        <f>'A) Base RI'!A138</f>
        <v>5627</v>
      </c>
      <c r="B138" s="42" t="str">
        <f>'A) Base RI'!B138</f>
        <v>Chavannes-près-Renens</v>
      </c>
      <c r="C138" s="14">
        <f>'A) Base RI'!C138+'A) Base RI'!D138</f>
        <v>10149434.76</v>
      </c>
      <c r="D138" s="14">
        <f>'A) Base RI'!AO138</f>
        <v>-459715.05</v>
      </c>
      <c r="E138" s="41">
        <f>'A) Base RI'!AP138</f>
        <v>0</v>
      </c>
      <c r="F138" s="41">
        <f>'A) Base RI'!AQ138</f>
        <v>-398.83</v>
      </c>
      <c r="G138" s="4">
        <f t="shared" si="12"/>
        <v>9689320.879999999</v>
      </c>
      <c r="H138" s="14">
        <f>'A) Base RI'!E138</f>
        <v>0</v>
      </c>
      <c r="I138" s="14">
        <f>'A) Base RI'!F138</f>
        <v>0</v>
      </c>
      <c r="J138" s="14">
        <f>'A) Base RI'!G138+'A) Base RI'!H138</f>
        <v>974027.7</v>
      </c>
      <c r="K138" s="14">
        <f>'A) Base RI'!I138</f>
        <v>0</v>
      </c>
      <c r="L138" s="14">
        <f>'A) Base RI'!J138</f>
        <v>1052456.1299999999</v>
      </c>
      <c r="M138" s="14">
        <f>'A) Base RI'!K138</f>
        <v>223872</v>
      </c>
      <c r="N138" s="14">
        <f>'A) Base RI'!Q138</f>
        <v>117131.63</v>
      </c>
      <c r="O138" s="14">
        <f t="shared" si="13"/>
        <v>781633.53333333333</v>
      </c>
      <c r="P138" s="14">
        <f>'A) Base RI'!L138</f>
        <v>1172450.3</v>
      </c>
      <c r="Q138" s="44">
        <f>'A) Base RI'!AR138</f>
        <v>1.5</v>
      </c>
      <c r="R138" s="4">
        <f t="shared" si="14"/>
        <v>12838441.873333331</v>
      </c>
      <c r="S138" s="43">
        <f>'A) Base RI'!AM138</f>
        <v>79</v>
      </c>
      <c r="T138" s="4">
        <f t="shared" si="15"/>
        <v>11832936.339999998</v>
      </c>
      <c r="U138" s="4">
        <f t="shared" si="16"/>
        <v>162511.92244725736</v>
      </c>
      <c r="V138" s="14">
        <f>'A) Base RI'!O138</f>
        <v>30787.5</v>
      </c>
      <c r="W138" s="14">
        <f>'A) Base RI'!P138</f>
        <v>262184.05</v>
      </c>
      <c r="X138" s="14">
        <f>'A) Base RI'!R138</f>
        <v>92715.35</v>
      </c>
      <c r="Y138" s="4">
        <f t="shared" si="17"/>
        <v>385686.9</v>
      </c>
      <c r="Z138" s="14">
        <f>'A) Base RI'!N138</f>
        <v>422979.5</v>
      </c>
      <c r="AA138" s="14">
        <f>'A) Base RI'!S138+'A) Base RI'!T138</f>
        <v>0</v>
      </c>
      <c r="AB138" s="14">
        <f>'A) Base RI'!U138</f>
        <v>27675</v>
      </c>
      <c r="AC138" s="14">
        <f>'A) Base RI'!V138</f>
        <v>1707</v>
      </c>
      <c r="AD138" s="14">
        <f>'A) Base RI'!W138</f>
        <v>2636.2</v>
      </c>
      <c r="AE138" s="14">
        <f>'A) Base RI'!Y138</f>
        <v>255368.55</v>
      </c>
      <c r="AF138" s="14">
        <f>'A) Base RI'!Z138</f>
        <v>0</v>
      </c>
      <c r="AG138" s="14">
        <f>'A) Base RI'!AA138</f>
        <v>564924.15</v>
      </c>
      <c r="AH138" s="14">
        <f>'A) Base RI'!AB138</f>
        <v>0</v>
      </c>
      <c r="AI138" s="14">
        <f>'A) Base RI'!AC138</f>
        <v>394626.2</v>
      </c>
      <c r="AJ138" s="14">
        <f>'A) Base RI'!AD138</f>
        <v>0</v>
      </c>
      <c r="AK138" s="14">
        <f>'A) Base RI'!AE138</f>
        <v>0</v>
      </c>
      <c r="AL138" s="14">
        <f>'A) Base RI'!AF138</f>
        <v>0</v>
      </c>
      <c r="AM138" s="14">
        <f>'A) Base RI'!AG138</f>
        <v>18435.259999999998</v>
      </c>
      <c r="AN138" s="14">
        <f>'A) Base RI'!AH138</f>
        <v>0</v>
      </c>
      <c r="AO138" s="14">
        <f>'A) Base RI'!AI138</f>
        <v>0</v>
      </c>
      <c r="AP138" s="14">
        <f>'A) Base RI'!AJ138</f>
        <v>0</v>
      </c>
      <c r="AQ138" s="14">
        <f>'A) Base RI'!AK138</f>
        <v>0</v>
      </c>
      <c r="AR138" s="14">
        <f>'A) Base RI'!AN138</f>
        <v>7374</v>
      </c>
    </row>
    <row r="139" spans="1:44" x14ac:dyDescent="0.25">
      <c r="A139" s="12">
        <f>'A) Base RI'!A139</f>
        <v>5628</v>
      </c>
      <c r="B139" s="42" t="str">
        <f>'A) Base RI'!B139</f>
        <v>Chigny</v>
      </c>
      <c r="C139" s="14">
        <f>'A) Base RI'!C139+'A) Base RI'!D139</f>
        <v>1064224.6000000001</v>
      </c>
      <c r="D139" s="14">
        <f>'A) Base RI'!AO139</f>
        <v>-6182.63</v>
      </c>
      <c r="E139" s="41">
        <f>'A) Base RI'!AP139</f>
        <v>0</v>
      </c>
      <c r="F139" s="41">
        <f>'A) Base RI'!AQ139</f>
        <v>0</v>
      </c>
      <c r="G139" s="4">
        <f t="shared" si="12"/>
        <v>1058041.9700000002</v>
      </c>
      <c r="H139" s="14">
        <f>'A) Base RI'!E139</f>
        <v>0</v>
      </c>
      <c r="I139" s="14">
        <f>'A) Base RI'!F139</f>
        <v>0</v>
      </c>
      <c r="J139" s="14">
        <f>'A) Base RI'!G139+'A) Base RI'!H139</f>
        <v>14916.2</v>
      </c>
      <c r="K139" s="14">
        <f>'A) Base RI'!I139</f>
        <v>0</v>
      </c>
      <c r="L139" s="14">
        <f>'A) Base RI'!J139</f>
        <v>21649.25</v>
      </c>
      <c r="M139" s="14">
        <f>'A) Base RI'!K139</f>
        <v>859.5</v>
      </c>
      <c r="N139" s="14">
        <f>'A) Base RI'!Q139</f>
        <v>5148.6499999999996</v>
      </c>
      <c r="O139" s="14">
        <f t="shared" si="13"/>
        <v>81369.6875</v>
      </c>
      <c r="P139" s="14">
        <f>'A) Base RI'!L139</f>
        <v>65095.75</v>
      </c>
      <c r="Q139" s="44">
        <f>'A) Base RI'!AR139</f>
        <v>0.8</v>
      </c>
      <c r="R139" s="4">
        <f t="shared" si="14"/>
        <v>1181985.2575000001</v>
      </c>
      <c r="S139" s="43">
        <f>'A) Base RI'!AM139</f>
        <v>62</v>
      </c>
      <c r="T139" s="4">
        <f t="shared" si="15"/>
        <v>1099756.07</v>
      </c>
      <c r="U139" s="4">
        <f t="shared" si="16"/>
        <v>19064.278346774194</v>
      </c>
      <c r="V139" s="14">
        <f>'A) Base RI'!O139</f>
        <v>0</v>
      </c>
      <c r="W139" s="14">
        <f>'A) Base RI'!P139</f>
        <v>0</v>
      </c>
      <c r="X139" s="14">
        <f>'A) Base RI'!R139</f>
        <v>0</v>
      </c>
      <c r="Y139" s="4">
        <f t="shared" si="17"/>
        <v>0</v>
      </c>
      <c r="Z139" s="14">
        <f>'A) Base RI'!N139</f>
        <v>4636.45</v>
      </c>
      <c r="AA139" s="14">
        <f>'A) Base RI'!S139+'A) Base RI'!T139</f>
        <v>0</v>
      </c>
      <c r="AB139" s="14">
        <f>'A) Base RI'!U139</f>
        <v>0</v>
      </c>
      <c r="AC139" s="14">
        <f>'A) Base RI'!V139</f>
        <v>0</v>
      </c>
      <c r="AD139" s="14">
        <f>'A) Base RI'!W139</f>
        <v>0</v>
      </c>
      <c r="AE139" s="14">
        <f>'A) Base RI'!Y139</f>
        <v>15075</v>
      </c>
      <c r="AF139" s="14">
        <f>'A) Base RI'!Z139</f>
        <v>1917</v>
      </c>
      <c r="AG139" s="14">
        <f>'A) Base RI'!AA139</f>
        <v>66407.8</v>
      </c>
      <c r="AH139" s="14">
        <f>'A) Base RI'!AB139</f>
        <v>0</v>
      </c>
      <c r="AI139" s="14">
        <f>'A) Base RI'!AC139</f>
        <v>20526.7</v>
      </c>
      <c r="AJ139" s="14">
        <f>'A) Base RI'!AD139</f>
        <v>0</v>
      </c>
      <c r="AK139" s="14">
        <f>'A) Base RI'!AE139</f>
        <v>0</v>
      </c>
      <c r="AL139" s="14">
        <f>'A) Base RI'!AF139</f>
        <v>0</v>
      </c>
      <c r="AM139" s="14">
        <f>'A) Base RI'!AG139</f>
        <v>0</v>
      </c>
      <c r="AN139" s="14">
        <f>'A) Base RI'!AH139</f>
        <v>7632.35</v>
      </c>
      <c r="AO139" s="14">
        <f>'A) Base RI'!AI139</f>
        <v>0</v>
      </c>
      <c r="AP139" s="14">
        <f>'A) Base RI'!AJ139</f>
        <v>0</v>
      </c>
      <c r="AQ139" s="14">
        <f>'A) Base RI'!AK139</f>
        <v>0</v>
      </c>
      <c r="AR139" s="14">
        <f>'A) Base RI'!AN139</f>
        <v>331</v>
      </c>
    </row>
    <row r="140" spans="1:44" x14ac:dyDescent="0.25">
      <c r="A140" s="12">
        <f>'A) Base RI'!A140</f>
        <v>5629</v>
      </c>
      <c r="B140" s="42" t="str">
        <f>'A) Base RI'!B140</f>
        <v>Clarmont</v>
      </c>
      <c r="C140" s="14">
        <f>'A) Base RI'!C140+'A) Base RI'!D140</f>
        <v>540513.88</v>
      </c>
      <c r="D140" s="14">
        <f>'A) Base RI'!AO140</f>
        <v>-10.87</v>
      </c>
      <c r="E140" s="41">
        <f>'A) Base RI'!AP140</f>
        <v>0</v>
      </c>
      <c r="F140" s="41">
        <f>'A) Base RI'!AQ140</f>
        <v>0</v>
      </c>
      <c r="G140" s="4">
        <f t="shared" si="12"/>
        <v>540503.01</v>
      </c>
      <c r="H140" s="14">
        <f>'A) Base RI'!E140</f>
        <v>0</v>
      </c>
      <c r="I140" s="14">
        <f>'A) Base RI'!F140</f>
        <v>0</v>
      </c>
      <c r="J140" s="14">
        <f>'A) Base RI'!G140+'A) Base RI'!H140</f>
        <v>-925.50000000000011</v>
      </c>
      <c r="K140" s="14">
        <f>'A) Base RI'!I140</f>
        <v>0</v>
      </c>
      <c r="L140" s="14">
        <f>'A) Base RI'!J140</f>
        <v>-1380.18</v>
      </c>
      <c r="M140" s="14">
        <f>'A) Base RI'!K140</f>
        <v>458</v>
      </c>
      <c r="N140" s="14">
        <f>'A) Base RI'!Q140</f>
        <v>969</v>
      </c>
      <c r="O140" s="14">
        <f t="shared" si="13"/>
        <v>29018.1</v>
      </c>
      <c r="P140" s="14">
        <f>'A) Base RI'!L140</f>
        <v>29018.1</v>
      </c>
      <c r="Q140" s="44">
        <f>'A) Base RI'!AR140</f>
        <v>1</v>
      </c>
      <c r="R140" s="4">
        <f t="shared" si="14"/>
        <v>568642.42999999993</v>
      </c>
      <c r="S140" s="43">
        <f>'A) Base RI'!AM140</f>
        <v>75</v>
      </c>
      <c r="T140" s="4">
        <f t="shared" si="15"/>
        <v>539166.32999999996</v>
      </c>
      <c r="U140" s="4">
        <f t="shared" si="16"/>
        <v>7581.8990666666659</v>
      </c>
      <c r="V140" s="14">
        <f>'A) Base RI'!O140</f>
        <v>0</v>
      </c>
      <c r="W140" s="14">
        <f>'A) Base RI'!P140</f>
        <v>990</v>
      </c>
      <c r="X140" s="14">
        <f>'A) Base RI'!R140</f>
        <v>20246</v>
      </c>
      <c r="Y140" s="4">
        <f t="shared" si="17"/>
        <v>21236</v>
      </c>
      <c r="Z140" s="14">
        <f>'A) Base RI'!N140</f>
        <v>0</v>
      </c>
      <c r="AA140" s="14">
        <f>'A) Base RI'!S140+'A) Base RI'!T140</f>
        <v>0</v>
      </c>
      <c r="AB140" s="14">
        <f>'A) Base RI'!U140</f>
        <v>450</v>
      </c>
      <c r="AC140" s="14">
        <f>'A) Base RI'!V140</f>
        <v>0</v>
      </c>
      <c r="AD140" s="14">
        <f>'A) Base RI'!W140</f>
        <v>0</v>
      </c>
      <c r="AE140" s="14">
        <f>'A) Base RI'!Y140</f>
        <v>28108.6</v>
      </c>
      <c r="AF140" s="14">
        <f>'A) Base RI'!Z140</f>
        <v>0</v>
      </c>
      <c r="AG140" s="14">
        <f>'A) Base RI'!AA140</f>
        <v>34753.5</v>
      </c>
      <c r="AH140" s="14">
        <f>'A) Base RI'!AB140</f>
        <v>0</v>
      </c>
      <c r="AI140" s="14">
        <f>'A) Base RI'!AC140</f>
        <v>13255.85</v>
      </c>
      <c r="AJ140" s="14">
        <f>'A) Base RI'!AD140</f>
        <v>22121.7</v>
      </c>
      <c r="AK140" s="14">
        <f>'A) Base RI'!AE140</f>
        <v>0</v>
      </c>
      <c r="AL140" s="14">
        <f>'A) Base RI'!AF140</f>
        <v>0</v>
      </c>
      <c r="AM140" s="14">
        <f>'A) Base RI'!AG140</f>
        <v>0</v>
      </c>
      <c r="AN140" s="14">
        <f>'A) Base RI'!AH140</f>
        <v>0</v>
      </c>
      <c r="AO140" s="14">
        <f>'A) Base RI'!AI140</f>
        <v>0</v>
      </c>
      <c r="AP140" s="14">
        <f>'A) Base RI'!AJ140</f>
        <v>0</v>
      </c>
      <c r="AQ140" s="14">
        <f>'A) Base RI'!AK140</f>
        <v>0</v>
      </c>
      <c r="AR140" s="14">
        <f>'A) Base RI'!AN140</f>
        <v>160</v>
      </c>
    </row>
    <row r="141" spans="1:44" x14ac:dyDescent="0.25">
      <c r="A141" s="12">
        <f>'A) Base RI'!A141</f>
        <v>5631</v>
      </c>
      <c r="B141" s="42" t="str">
        <f>'A) Base RI'!B141</f>
        <v>Denens</v>
      </c>
      <c r="C141" s="14">
        <f>'A) Base RI'!C141+'A) Base RI'!D141</f>
        <v>1968646.2</v>
      </c>
      <c r="D141" s="14">
        <f>'A) Base RI'!AO141</f>
        <v>-28557.16</v>
      </c>
      <c r="E141" s="41">
        <f>'A) Base RI'!AP141</f>
        <v>0</v>
      </c>
      <c r="F141" s="41">
        <f>'A) Base RI'!AQ141</f>
        <v>-1508.4</v>
      </c>
      <c r="G141" s="4">
        <f t="shared" si="12"/>
        <v>1938580.6400000001</v>
      </c>
      <c r="H141" s="14">
        <f>'A) Base RI'!E141</f>
        <v>0</v>
      </c>
      <c r="I141" s="14">
        <f>'A) Base RI'!F141</f>
        <v>0</v>
      </c>
      <c r="J141" s="14">
        <f>'A) Base RI'!G141+'A) Base RI'!H141</f>
        <v>42046.1</v>
      </c>
      <c r="K141" s="14">
        <f>'A) Base RI'!I141</f>
        <v>107078.8</v>
      </c>
      <c r="L141" s="14">
        <f>'A) Base RI'!J141</f>
        <v>67396.210000000006</v>
      </c>
      <c r="M141" s="14">
        <f>'A) Base RI'!K141</f>
        <v>2290</v>
      </c>
      <c r="N141" s="14">
        <f>'A) Base RI'!Q141</f>
        <v>0</v>
      </c>
      <c r="O141" s="14">
        <f t="shared" si="13"/>
        <v>169456.7</v>
      </c>
      <c r="P141" s="14">
        <f>'A) Base RI'!L141</f>
        <v>169456.7</v>
      </c>
      <c r="Q141" s="44">
        <f>'A) Base RI'!AR141</f>
        <v>1</v>
      </c>
      <c r="R141" s="4">
        <f t="shared" si="14"/>
        <v>2326848.4500000007</v>
      </c>
      <c r="S141" s="43">
        <f>'A) Base RI'!AM141</f>
        <v>68</v>
      </c>
      <c r="T141" s="4">
        <f t="shared" si="15"/>
        <v>2155101.7500000005</v>
      </c>
      <c r="U141" s="4">
        <f t="shared" si="16"/>
        <v>34218.35955882354</v>
      </c>
      <c r="V141" s="14">
        <f>'A) Base RI'!O141</f>
        <v>83000</v>
      </c>
      <c r="W141" s="14">
        <f>'A) Base RI'!P141</f>
        <v>176193.6</v>
      </c>
      <c r="X141" s="14">
        <f>'A) Base RI'!R141</f>
        <v>288956.84999999998</v>
      </c>
      <c r="Y141" s="4">
        <f t="shared" si="17"/>
        <v>548150.44999999995</v>
      </c>
      <c r="Z141" s="14">
        <f>'A) Base RI'!N141</f>
        <v>0</v>
      </c>
      <c r="AA141" s="14">
        <f>'A) Base RI'!S141+'A) Base RI'!T141</f>
        <v>762.5</v>
      </c>
      <c r="AB141" s="14">
        <f>'A) Base RI'!U141</f>
        <v>1350</v>
      </c>
      <c r="AC141" s="14">
        <f>'A) Base RI'!V141</f>
        <v>0</v>
      </c>
      <c r="AD141" s="14">
        <f>'A) Base RI'!W141</f>
        <v>0</v>
      </c>
      <c r="AE141" s="14">
        <f>'A) Base RI'!Y141</f>
        <v>82025.600000000006</v>
      </c>
      <c r="AF141" s="14">
        <f>'A) Base RI'!Z141</f>
        <v>0</v>
      </c>
      <c r="AG141" s="14">
        <f>'A) Base RI'!AA141</f>
        <v>116557.7</v>
      </c>
      <c r="AH141" s="14">
        <f>'A) Base RI'!AB141</f>
        <v>0</v>
      </c>
      <c r="AI141" s="14">
        <f>'A) Base RI'!AC141</f>
        <v>45189.9</v>
      </c>
      <c r="AJ141" s="14">
        <f>'A) Base RI'!AD141</f>
        <v>0</v>
      </c>
      <c r="AK141" s="14">
        <f>'A) Base RI'!AE141</f>
        <v>0</v>
      </c>
      <c r="AL141" s="14">
        <f>'A) Base RI'!AF141</f>
        <v>0</v>
      </c>
      <c r="AM141" s="14">
        <f>'A) Base RI'!AG141</f>
        <v>0</v>
      </c>
      <c r="AN141" s="14">
        <f>'A) Base RI'!AH141</f>
        <v>0</v>
      </c>
      <c r="AO141" s="14">
        <f>'A) Base RI'!AI141</f>
        <v>0</v>
      </c>
      <c r="AP141" s="14">
        <f>'A) Base RI'!AJ141</f>
        <v>0</v>
      </c>
      <c r="AQ141" s="14">
        <f>'A) Base RI'!AK141</f>
        <v>0</v>
      </c>
      <c r="AR141" s="14">
        <f>'A) Base RI'!AN141</f>
        <v>714</v>
      </c>
    </row>
    <row r="142" spans="1:44" x14ac:dyDescent="0.25">
      <c r="A142" s="12">
        <f>'A) Base RI'!A142</f>
        <v>5632</v>
      </c>
      <c r="B142" s="42" t="str">
        <f>'A) Base RI'!B142</f>
        <v>Denges</v>
      </c>
      <c r="C142" s="14">
        <f>'A) Base RI'!C142+'A) Base RI'!D142</f>
        <v>3728600.9299999997</v>
      </c>
      <c r="D142" s="14">
        <f>'A) Base RI'!AO142</f>
        <v>-104862.68</v>
      </c>
      <c r="E142" s="41">
        <f>'A) Base RI'!AP142</f>
        <v>0</v>
      </c>
      <c r="F142" s="41">
        <f>'A) Base RI'!AQ142</f>
        <v>-314.43</v>
      </c>
      <c r="G142" s="4">
        <f t="shared" si="12"/>
        <v>3623423.8199999994</v>
      </c>
      <c r="H142" s="14">
        <f>'A) Base RI'!E142</f>
        <v>0</v>
      </c>
      <c r="I142" s="14">
        <f>'A) Base RI'!F142</f>
        <v>0</v>
      </c>
      <c r="J142" s="14">
        <f>'A) Base RI'!G142+'A) Base RI'!H142</f>
        <v>224631.25</v>
      </c>
      <c r="K142" s="14">
        <f>'A) Base RI'!I142</f>
        <v>0</v>
      </c>
      <c r="L142" s="14">
        <f>'A) Base RI'!J142</f>
        <v>141070.09</v>
      </c>
      <c r="M142" s="14">
        <f>'A) Base RI'!K142</f>
        <v>24259.5</v>
      </c>
      <c r="N142" s="14">
        <f>'A) Base RI'!Q142</f>
        <v>44285.74</v>
      </c>
      <c r="O142" s="14">
        <f t="shared" si="13"/>
        <v>319504.75</v>
      </c>
      <c r="P142" s="14">
        <f>'A) Base RI'!L142</f>
        <v>319504.75</v>
      </c>
      <c r="Q142" s="44">
        <f>'A) Base RI'!AR142</f>
        <v>1</v>
      </c>
      <c r="R142" s="4">
        <f t="shared" si="14"/>
        <v>4377175.1499999994</v>
      </c>
      <c r="S142" s="43">
        <f>'A) Base RI'!AM142</f>
        <v>62</v>
      </c>
      <c r="T142" s="4">
        <f t="shared" si="15"/>
        <v>4033410.8999999994</v>
      </c>
      <c r="U142" s="4">
        <f t="shared" si="16"/>
        <v>70599.599193548376</v>
      </c>
      <c r="V142" s="14">
        <f>'A) Base RI'!O142</f>
        <v>14846</v>
      </c>
      <c r="W142" s="14">
        <f>'A) Base RI'!P142</f>
        <v>147242.9</v>
      </c>
      <c r="X142" s="14">
        <f>'A) Base RI'!R142</f>
        <v>89450.3</v>
      </c>
      <c r="Y142" s="4">
        <f t="shared" si="17"/>
        <v>251539.20000000001</v>
      </c>
      <c r="Z142" s="14">
        <f>'A) Base RI'!N142</f>
        <v>63740.2</v>
      </c>
      <c r="AA142" s="14">
        <f>'A) Base RI'!S142+'A) Base RI'!T142</f>
        <v>0</v>
      </c>
      <c r="AB142" s="14">
        <f>'A) Base RI'!U142</f>
        <v>4025</v>
      </c>
      <c r="AC142" s="14">
        <f>'A) Base RI'!V142</f>
        <v>0</v>
      </c>
      <c r="AD142" s="14">
        <f>'A) Base RI'!W142</f>
        <v>0</v>
      </c>
      <c r="AE142" s="14">
        <f>'A) Base RI'!Y142</f>
        <v>10505</v>
      </c>
      <c r="AF142" s="14">
        <f>'A) Base RI'!Z142</f>
        <v>5422.3</v>
      </c>
      <c r="AG142" s="14">
        <f>'A) Base RI'!AA142</f>
        <v>217412.7</v>
      </c>
      <c r="AH142" s="14">
        <f>'A) Base RI'!AB142</f>
        <v>74135.5</v>
      </c>
      <c r="AI142" s="14">
        <f>'A) Base RI'!AC142</f>
        <v>110330</v>
      </c>
      <c r="AJ142" s="14">
        <f>'A) Base RI'!AD142</f>
        <v>0</v>
      </c>
      <c r="AK142" s="14">
        <f>'A) Base RI'!AE142</f>
        <v>0</v>
      </c>
      <c r="AL142" s="14">
        <f>'A) Base RI'!AF142</f>
        <v>0</v>
      </c>
      <c r="AM142" s="14">
        <f>'A) Base RI'!AG142</f>
        <v>0</v>
      </c>
      <c r="AN142" s="14">
        <f>'A) Base RI'!AH142</f>
        <v>57772.800000000003</v>
      </c>
      <c r="AO142" s="14">
        <f>'A) Base RI'!AI142</f>
        <v>0</v>
      </c>
      <c r="AP142" s="14">
        <f>'A) Base RI'!AJ142</f>
        <v>0</v>
      </c>
      <c r="AQ142" s="14">
        <f>'A) Base RI'!AK142</f>
        <v>0</v>
      </c>
      <c r="AR142" s="14">
        <f>'A) Base RI'!AN142</f>
        <v>1651</v>
      </c>
    </row>
    <row r="143" spans="1:44" x14ac:dyDescent="0.25">
      <c r="A143" s="12">
        <f>'A) Base RI'!A143</f>
        <v>5633</v>
      </c>
      <c r="B143" s="42" t="str">
        <f>'A) Base RI'!B143</f>
        <v>Echandens</v>
      </c>
      <c r="C143" s="14">
        <f>'A) Base RI'!C143+'A) Base RI'!D143</f>
        <v>6479333.5</v>
      </c>
      <c r="D143" s="14">
        <f>'A) Base RI'!AO143</f>
        <v>-42049.3</v>
      </c>
      <c r="E143" s="41">
        <f>'A) Base RI'!AP143</f>
        <v>0</v>
      </c>
      <c r="F143" s="41">
        <f>'A) Base RI'!AQ143</f>
        <v>0</v>
      </c>
      <c r="G143" s="4">
        <f t="shared" si="12"/>
        <v>6437284.2000000002</v>
      </c>
      <c r="H143" s="14">
        <f>'A) Base RI'!E143</f>
        <v>0</v>
      </c>
      <c r="I143" s="14">
        <f>'A) Base RI'!F143</f>
        <v>0</v>
      </c>
      <c r="J143" s="14">
        <f>'A) Base RI'!G143+'A) Base RI'!H143</f>
        <v>757330.9</v>
      </c>
      <c r="K143" s="14">
        <f>'A) Base RI'!I143</f>
        <v>0</v>
      </c>
      <c r="L143" s="14">
        <f>'A) Base RI'!J143</f>
        <v>-128977.85</v>
      </c>
      <c r="M143" s="14">
        <f>'A) Base RI'!K143</f>
        <v>21130</v>
      </c>
      <c r="N143" s="14">
        <f>'A) Base RI'!Q143</f>
        <v>8110.75</v>
      </c>
      <c r="O143" s="14">
        <f t="shared" si="13"/>
        <v>531956.30000000005</v>
      </c>
      <c r="P143" s="14">
        <f>'A) Base RI'!L143</f>
        <v>531956.30000000005</v>
      </c>
      <c r="Q143" s="44">
        <f>'A) Base RI'!AR143</f>
        <v>1</v>
      </c>
      <c r="R143" s="4">
        <f t="shared" si="14"/>
        <v>7626834.3000000007</v>
      </c>
      <c r="S143" s="43">
        <f>'A) Base RI'!AM143</f>
        <v>62</v>
      </c>
      <c r="T143" s="4">
        <f t="shared" si="15"/>
        <v>7073748.0000000009</v>
      </c>
      <c r="U143" s="4">
        <f t="shared" si="16"/>
        <v>123013.45645161292</v>
      </c>
      <c r="V143" s="14">
        <f>'A) Base RI'!O143</f>
        <v>51762.7</v>
      </c>
      <c r="W143" s="14">
        <f>'A) Base RI'!P143</f>
        <v>377820.75</v>
      </c>
      <c r="X143" s="14">
        <f>'A) Base RI'!R143</f>
        <v>153567.75</v>
      </c>
      <c r="Y143" s="4">
        <f t="shared" si="17"/>
        <v>583151.19999999995</v>
      </c>
      <c r="Z143" s="14">
        <f>'A) Base RI'!N143</f>
        <v>151361.35</v>
      </c>
      <c r="AA143" s="14">
        <f>'A) Base RI'!S143+'A) Base RI'!T143</f>
        <v>2670</v>
      </c>
      <c r="AB143" s="14">
        <f>'A) Base RI'!U143</f>
        <v>8082</v>
      </c>
      <c r="AC143" s="14">
        <f>'A) Base RI'!V143</f>
        <v>0</v>
      </c>
      <c r="AD143" s="14">
        <f>'A) Base RI'!W143</f>
        <v>0</v>
      </c>
      <c r="AE143" s="14">
        <f>'A) Base RI'!Y143</f>
        <v>148800</v>
      </c>
      <c r="AF143" s="14">
        <f>'A) Base RI'!Z143</f>
        <v>0</v>
      </c>
      <c r="AG143" s="14">
        <f>'A) Base RI'!AA143</f>
        <v>377290.47</v>
      </c>
      <c r="AH143" s="14">
        <f>'A) Base RI'!AB143</f>
        <v>0</v>
      </c>
      <c r="AI143" s="14">
        <f>'A) Base RI'!AC143</f>
        <v>130217.2</v>
      </c>
      <c r="AJ143" s="14">
        <f>'A) Base RI'!AD143</f>
        <v>0</v>
      </c>
      <c r="AK143" s="14">
        <f>'A) Base RI'!AE143</f>
        <v>0</v>
      </c>
      <c r="AL143" s="14">
        <f>'A) Base RI'!AF143</f>
        <v>0</v>
      </c>
      <c r="AM143" s="14">
        <f>'A) Base RI'!AG143</f>
        <v>0</v>
      </c>
      <c r="AN143" s="14">
        <f>'A) Base RI'!AH143</f>
        <v>0</v>
      </c>
      <c r="AO143" s="14">
        <f>'A) Base RI'!AI143</f>
        <v>0</v>
      </c>
      <c r="AP143" s="14">
        <f>'A) Base RI'!AJ143</f>
        <v>0</v>
      </c>
      <c r="AQ143" s="14">
        <f>'A) Base RI'!AK143</f>
        <v>0</v>
      </c>
      <c r="AR143" s="14">
        <f>'A) Base RI'!AN143</f>
        <v>2631</v>
      </c>
    </row>
    <row r="144" spans="1:44" x14ac:dyDescent="0.25">
      <c r="A144" s="12">
        <f>'A) Base RI'!A144</f>
        <v>5634</v>
      </c>
      <c r="B144" s="42" t="str">
        <f>'A) Base RI'!B144</f>
        <v>Echichens</v>
      </c>
      <c r="C144" s="14">
        <f>'A) Base RI'!C144+'A) Base RI'!D144</f>
        <v>7498825.4900000002</v>
      </c>
      <c r="D144" s="14">
        <f>'A) Base RI'!AO144</f>
        <v>-22422.2</v>
      </c>
      <c r="E144" s="41">
        <f>'A) Base RI'!AP144</f>
        <v>0</v>
      </c>
      <c r="F144" s="41">
        <f>'A) Base RI'!AQ144</f>
        <v>-1041.8800000000001</v>
      </c>
      <c r="G144" s="4">
        <f t="shared" si="12"/>
        <v>7475361.4100000001</v>
      </c>
      <c r="H144" s="14">
        <f>'A) Base RI'!E144</f>
        <v>0</v>
      </c>
      <c r="I144" s="14">
        <f>'A) Base RI'!F144</f>
        <v>0</v>
      </c>
      <c r="J144" s="14">
        <f>'A) Base RI'!G144+'A) Base RI'!H144</f>
        <v>146226.25</v>
      </c>
      <c r="K144" s="14">
        <f>'A) Base RI'!I144</f>
        <v>56786.5</v>
      </c>
      <c r="L144" s="14">
        <f>'A) Base RI'!J144</f>
        <v>94492.26</v>
      </c>
      <c r="M144" s="14">
        <f>'A) Base RI'!K144</f>
        <v>15918.5</v>
      </c>
      <c r="N144" s="14">
        <f>'A) Base RI'!Q144</f>
        <v>4932.6499999999996</v>
      </c>
      <c r="O144" s="14">
        <f t="shared" si="13"/>
        <v>479176.15</v>
      </c>
      <c r="P144" s="14">
        <f>'A) Base RI'!L144</f>
        <v>479176.15</v>
      </c>
      <c r="Q144" s="44">
        <f>'A) Base RI'!AR144</f>
        <v>1</v>
      </c>
      <c r="R144" s="4">
        <f t="shared" si="14"/>
        <v>8272893.7200000007</v>
      </c>
      <c r="S144" s="43">
        <f>'A) Base RI'!AM144</f>
        <v>68</v>
      </c>
      <c r="T144" s="4">
        <f t="shared" si="15"/>
        <v>7777799.0700000003</v>
      </c>
      <c r="U144" s="4">
        <f t="shared" si="16"/>
        <v>121660.2017647059</v>
      </c>
      <c r="V144" s="14">
        <f>'A) Base RI'!O144</f>
        <v>72319</v>
      </c>
      <c r="W144" s="14">
        <f>'A) Base RI'!P144</f>
        <v>260831.95</v>
      </c>
      <c r="X144" s="14">
        <f>'A) Base RI'!R144</f>
        <v>163959.54999999999</v>
      </c>
      <c r="Y144" s="4">
        <f t="shared" si="17"/>
        <v>497110.5</v>
      </c>
      <c r="Z144" s="14">
        <f>'A) Base RI'!N144</f>
        <v>12832.1</v>
      </c>
      <c r="AA144" s="14">
        <f>'A) Base RI'!S144+'A) Base RI'!T144</f>
        <v>1397</v>
      </c>
      <c r="AB144" s="14">
        <f>'A) Base RI'!U144</f>
        <v>7485</v>
      </c>
      <c r="AC144" s="14">
        <f>'A) Base RI'!V144</f>
        <v>0</v>
      </c>
      <c r="AD144" s="14">
        <f>'A) Base RI'!W144</f>
        <v>0</v>
      </c>
      <c r="AE144" s="14">
        <f>'A) Base RI'!Y144</f>
        <v>145114.9</v>
      </c>
      <c r="AF144" s="14">
        <f>'A) Base RI'!Z144</f>
        <v>0</v>
      </c>
      <c r="AG144" s="14">
        <f>'A) Base RI'!AA144</f>
        <v>530023.19999999995</v>
      </c>
      <c r="AH144" s="14">
        <f>'A) Base RI'!AB144</f>
        <v>0</v>
      </c>
      <c r="AI144" s="14">
        <f>'A) Base RI'!AC144</f>
        <v>173497.35</v>
      </c>
      <c r="AJ144" s="14">
        <f>'A) Base RI'!AD144</f>
        <v>96414.9</v>
      </c>
      <c r="AK144" s="14">
        <f>'A) Base RI'!AE144</f>
        <v>0</v>
      </c>
      <c r="AL144" s="14">
        <f>'A) Base RI'!AF144</f>
        <v>0</v>
      </c>
      <c r="AM144" s="14">
        <f>'A) Base RI'!AG144</f>
        <v>0</v>
      </c>
      <c r="AN144" s="14">
        <f>'A) Base RI'!AH144</f>
        <v>0</v>
      </c>
      <c r="AO144" s="14">
        <f>'A) Base RI'!AI144</f>
        <v>0</v>
      </c>
      <c r="AP144" s="14">
        <f>'A) Base RI'!AJ144</f>
        <v>0</v>
      </c>
      <c r="AQ144" s="14">
        <f>'A) Base RI'!AK144</f>
        <v>0</v>
      </c>
      <c r="AR144" s="14">
        <f>'A) Base RI'!AN144</f>
        <v>2585</v>
      </c>
    </row>
    <row r="145" spans="1:44" x14ac:dyDescent="0.25">
      <c r="A145" s="12">
        <f>'A) Base RI'!A145</f>
        <v>5635</v>
      </c>
      <c r="B145" s="42" t="str">
        <f>'A) Base RI'!B145</f>
        <v>Ecublens</v>
      </c>
      <c r="C145" s="14">
        <f>'A) Base RI'!C145+'A) Base RI'!D145</f>
        <v>20891931.629999999</v>
      </c>
      <c r="D145" s="14">
        <f>'A) Base RI'!AO145</f>
        <v>-248471.89</v>
      </c>
      <c r="E145" s="41">
        <f>'A) Base RI'!AP145</f>
        <v>0</v>
      </c>
      <c r="F145" s="41">
        <f>'A) Base RI'!AQ145</f>
        <v>-3623.97</v>
      </c>
      <c r="G145" s="4">
        <f t="shared" si="12"/>
        <v>20639835.77</v>
      </c>
      <c r="H145" s="14">
        <f>'A) Base RI'!E145</f>
        <v>0</v>
      </c>
      <c r="I145" s="14">
        <f>'A) Base RI'!F145</f>
        <v>0</v>
      </c>
      <c r="J145" s="14">
        <f>'A) Base RI'!G145+'A) Base RI'!H145</f>
        <v>4512256.05</v>
      </c>
      <c r="K145" s="14">
        <f>'A) Base RI'!I145</f>
        <v>-58726.91</v>
      </c>
      <c r="L145" s="14">
        <f>'A) Base RI'!J145</f>
        <v>1743764.18</v>
      </c>
      <c r="M145" s="14">
        <f>'A) Base RI'!K145</f>
        <v>237347.5</v>
      </c>
      <c r="N145" s="14">
        <f>'A) Base RI'!Q145</f>
        <v>86771.46</v>
      </c>
      <c r="O145" s="14">
        <f t="shared" si="13"/>
        <v>1984192.4736842108</v>
      </c>
      <c r="P145" s="14">
        <f>'A) Base RI'!L145</f>
        <v>1884982.85</v>
      </c>
      <c r="Q145" s="44">
        <f>'A) Base RI'!AR145</f>
        <v>0.95</v>
      </c>
      <c r="R145" s="4">
        <f t="shared" si="14"/>
        <v>29145440.523684211</v>
      </c>
      <c r="S145" s="43">
        <f>'A) Base RI'!AM145</f>
        <v>62</v>
      </c>
      <c r="T145" s="4">
        <f t="shared" si="15"/>
        <v>26923900.550000001</v>
      </c>
      <c r="U145" s="4">
        <f t="shared" si="16"/>
        <v>470087.75038200343</v>
      </c>
      <c r="V145" s="14">
        <f>'A) Base RI'!O145</f>
        <v>161281.29999999999</v>
      </c>
      <c r="W145" s="14">
        <f>'A) Base RI'!P145</f>
        <v>399090.4</v>
      </c>
      <c r="X145" s="14">
        <f>'A) Base RI'!R145</f>
        <v>376309.45</v>
      </c>
      <c r="Y145" s="4">
        <f t="shared" si="17"/>
        <v>936681.14999999991</v>
      </c>
      <c r="Z145" s="14">
        <f>'A) Base RI'!N145</f>
        <v>1941766.45</v>
      </c>
      <c r="AA145" s="14">
        <f>'A) Base RI'!S145+'A) Base RI'!T145</f>
        <v>47721.05</v>
      </c>
      <c r="AB145" s="14">
        <f>'A) Base RI'!U145</f>
        <v>39600</v>
      </c>
      <c r="AC145" s="14">
        <f>'A) Base RI'!V145</f>
        <v>98831.07</v>
      </c>
      <c r="AD145" s="14">
        <f>'A) Base RI'!W145</f>
        <v>0</v>
      </c>
      <c r="AE145" s="14">
        <f>'A) Base RI'!Y145</f>
        <v>137542.5</v>
      </c>
      <c r="AF145" s="14">
        <f>'A) Base RI'!Z145</f>
        <v>0</v>
      </c>
      <c r="AG145" s="14">
        <f>'A) Base RI'!AA145</f>
        <v>1388926.96</v>
      </c>
      <c r="AH145" s="14">
        <f>'A) Base RI'!AB145</f>
        <v>0</v>
      </c>
      <c r="AI145" s="14">
        <f>'A) Base RI'!AC145</f>
        <v>1270065.6000000001</v>
      </c>
      <c r="AJ145" s="14">
        <f>'A) Base RI'!AD145</f>
        <v>0</v>
      </c>
      <c r="AK145" s="14">
        <f>'A) Base RI'!AE145</f>
        <v>0</v>
      </c>
      <c r="AL145" s="14">
        <f>'A) Base RI'!AF145</f>
        <v>0</v>
      </c>
      <c r="AM145" s="14">
        <f>'A) Base RI'!AG145</f>
        <v>323157.5</v>
      </c>
      <c r="AN145" s="14">
        <f>'A) Base RI'!AH145</f>
        <v>1134285.1000000001</v>
      </c>
      <c r="AO145" s="14">
        <f>'A) Base RI'!AI145</f>
        <v>0</v>
      </c>
      <c r="AP145" s="14">
        <f>'A) Base RI'!AJ145</f>
        <v>0</v>
      </c>
      <c r="AQ145" s="14">
        <f>'A) Base RI'!AK145</f>
        <v>162040.5</v>
      </c>
      <c r="AR145" s="14">
        <f>'A) Base RI'!AN145</f>
        <v>12288</v>
      </c>
    </row>
    <row r="146" spans="1:44" x14ac:dyDescent="0.25">
      <c r="A146" s="12">
        <f>'A) Base RI'!A146</f>
        <v>5636</v>
      </c>
      <c r="B146" s="42" t="str">
        <f>'A) Base RI'!B146</f>
        <v>Etoy</v>
      </c>
      <c r="C146" s="14">
        <f>'A) Base RI'!C146+'A) Base RI'!D146</f>
        <v>6522245.0499999998</v>
      </c>
      <c r="D146" s="14">
        <f>'A) Base RI'!AO146</f>
        <v>-36164.75</v>
      </c>
      <c r="E146" s="41">
        <f>'A) Base RI'!AP146</f>
        <v>0</v>
      </c>
      <c r="F146" s="41">
        <f>'A) Base RI'!AQ146</f>
        <v>-5651.85</v>
      </c>
      <c r="G146" s="4">
        <f t="shared" si="12"/>
        <v>6480428.4500000002</v>
      </c>
      <c r="H146" s="14">
        <f>'A) Base RI'!E146</f>
        <v>0</v>
      </c>
      <c r="I146" s="14">
        <f>'A) Base RI'!F146</f>
        <v>0</v>
      </c>
      <c r="J146" s="14">
        <f>'A) Base RI'!G146+'A) Base RI'!H146</f>
        <v>1589566.05</v>
      </c>
      <c r="K146" s="14">
        <f>'A) Base RI'!I146</f>
        <v>68348.100000000006</v>
      </c>
      <c r="L146" s="14">
        <f>'A) Base RI'!J146</f>
        <v>441345.13</v>
      </c>
      <c r="M146" s="14">
        <f>'A) Base RI'!K146</f>
        <v>101585</v>
      </c>
      <c r="N146" s="14">
        <f>'A) Base RI'!Q146</f>
        <v>10612.7</v>
      </c>
      <c r="O146" s="14">
        <f t="shared" si="13"/>
        <v>993636.15</v>
      </c>
      <c r="P146" s="14">
        <f>'A) Base RI'!L146</f>
        <v>993636.15</v>
      </c>
      <c r="Q146" s="44">
        <f>'A) Base RI'!AR146</f>
        <v>1</v>
      </c>
      <c r="R146" s="4">
        <f t="shared" si="14"/>
        <v>9685521.5800000001</v>
      </c>
      <c r="S146" s="43">
        <f>'A) Base RI'!AM146</f>
        <v>61</v>
      </c>
      <c r="T146" s="4">
        <f t="shared" si="15"/>
        <v>8590300.4299999997</v>
      </c>
      <c r="U146" s="4">
        <f t="shared" si="16"/>
        <v>158779.04229508198</v>
      </c>
      <c r="V146" s="14">
        <f>'A) Base RI'!O146</f>
        <v>71537.399999999994</v>
      </c>
      <c r="W146" s="14">
        <f>'A) Base RI'!P146</f>
        <v>382246.35</v>
      </c>
      <c r="X146" s="14">
        <f>'A) Base RI'!R146</f>
        <v>113621.1</v>
      </c>
      <c r="Y146" s="4">
        <f t="shared" si="17"/>
        <v>567404.85</v>
      </c>
      <c r="Z146" s="14">
        <f>'A) Base RI'!N146</f>
        <v>581441.30000000005</v>
      </c>
      <c r="AA146" s="14">
        <f>'A) Base RI'!S146+'A) Base RI'!T146</f>
        <v>27931.1</v>
      </c>
      <c r="AB146" s="14">
        <f>'A) Base RI'!U146</f>
        <v>6900</v>
      </c>
      <c r="AC146" s="14">
        <f>'A) Base RI'!V146</f>
        <v>0</v>
      </c>
      <c r="AD146" s="14">
        <f>'A) Base RI'!W146</f>
        <v>0</v>
      </c>
      <c r="AE146" s="14">
        <f>'A) Base RI'!Y146</f>
        <v>150191.65</v>
      </c>
      <c r="AF146" s="14">
        <f>'A) Base RI'!Z146</f>
        <v>249037.9</v>
      </c>
      <c r="AG146" s="14">
        <f>'A) Base RI'!AA146</f>
        <v>214607.75</v>
      </c>
      <c r="AH146" s="14">
        <f>'A) Base RI'!AB146</f>
        <v>0</v>
      </c>
      <c r="AI146" s="14">
        <f>'A) Base RI'!AC146</f>
        <v>117713.5</v>
      </c>
      <c r="AJ146" s="14">
        <f>'A) Base RI'!AD146</f>
        <v>127144.2</v>
      </c>
      <c r="AK146" s="14">
        <f>'A) Base RI'!AE146</f>
        <v>0</v>
      </c>
      <c r="AL146" s="14">
        <f>'A) Base RI'!AF146</f>
        <v>0</v>
      </c>
      <c r="AM146" s="14">
        <f>'A) Base RI'!AG146</f>
        <v>0</v>
      </c>
      <c r="AN146" s="14">
        <f>'A) Base RI'!AH146</f>
        <v>172936.8</v>
      </c>
      <c r="AO146" s="14">
        <f>'A) Base RI'!AI146</f>
        <v>0</v>
      </c>
      <c r="AP146" s="14">
        <f>'A) Base RI'!AJ146</f>
        <v>0</v>
      </c>
      <c r="AQ146" s="14">
        <f>'A) Base RI'!AK146</f>
        <v>0</v>
      </c>
      <c r="AR146" s="14">
        <f>'A) Base RI'!AN146</f>
        <v>2932</v>
      </c>
    </row>
    <row r="147" spans="1:44" x14ac:dyDescent="0.25">
      <c r="A147" s="12">
        <f>'A) Base RI'!A147</f>
        <v>5637</v>
      </c>
      <c r="B147" s="42" t="str">
        <f>'A) Base RI'!B147</f>
        <v>Lavigny</v>
      </c>
      <c r="C147" s="14">
        <f>'A) Base RI'!C147+'A) Base RI'!D147</f>
        <v>2101681.2600000002</v>
      </c>
      <c r="D147" s="14">
        <f>'A) Base RI'!AO147</f>
        <v>-46022.7</v>
      </c>
      <c r="E147" s="41">
        <f>'A) Base RI'!AP147</f>
        <v>0</v>
      </c>
      <c r="F147" s="41">
        <f>'A) Base RI'!AQ147</f>
        <v>-229.79</v>
      </c>
      <c r="G147" s="4">
        <f t="shared" si="12"/>
        <v>2055428.7700000003</v>
      </c>
      <c r="H147" s="14">
        <f>'A) Base RI'!E147</f>
        <v>0</v>
      </c>
      <c r="I147" s="14">
        <f>'A) Base RI'!F147</f>
        <v>0</v>
      </c>
      <c r="J147" s="14">
        <f>'A) Base RI'!G147+'A) Base RI'!H147</f>
        <v>17415.099999999999</v>
      </c>
      <c r="K147" s="14">
        <f>'A) Base RI'!I147</f>
        <v>0</v>
      </c>
      <c r="L147" s="14">
        <f>'A) Base RI'!J147</f>
        <v>70350.11</v>
      </c>
      <c r="M147" s="14">
        <f>'A) Base RI'!K147</f>
        <v>3729.5</v>
      </c>
      <c r="N147" s="14">
        <f>'A) Base RI'!Q147</f>
        <v>-1836.62</v>
      </c>
      <c r="O147" s="14">
        <f t="shared" si="13"/>
        <v>170029.56666666668</v>
      </c>
      <c r="P147" s="14">
        <f>'A) Base RI'!L147</f>
        <v>255044.35</v>
      </c>
      <c r="Q147" s="44">
        <f>'A) Base RI'!AR147</f>
        <v>1.5</v>
      </c>
      <c r="R147" s="4">
        <f t="shared" si="14"/>
        <v>2315116.4266666672</v>
      </c>
      <c r="S147" s="43">
        <f>'A) Base RI'!AM147</f>
        <v>74.5</v>
      </c>
      <c r="T147" s="4">
        <f t="shared" si="15"/>
        <v>2141357.3600000003</v>
      </c>
      <c r="U147" s="4">
        <f t="shared" si="16"/>
        <v>31075.388277404931</v>
      </c>
      <c r="V147" s="14">
        <f>'A) Base RI'!O147</f>
        <v>50024</v>
      </c>
      <c r="W147" s="14">
        <f>'A) Base RI'!P147</f>
        <v>92665.65</v>
      </c>
      <c r="X147" s="14">
        <f>'A) Base RI'!R147</f>
        <v>99699.35</v>
      </c>
      <c r="Y147" s="4">
        <f t="shared" si="17"/>
        <v>242389</v>
      </c>
      <c r="Z147" s="14">
        <f>'A) Base RI'!N147</f>
        <v>254087.65</v>
      </c>
      <c r="AA147" s="14">
        <f>'A) Base RI'!S147+'A) Base RI'!T147</f>
        <v>782.5</v>
      </c>
      <c r="AB147" s="14">
        <f>'A) Base RI'!U147</f>
        <v>3000</v>
      </c>
      <c r="AC147" s="14">
        <f>'A) Base RI'!V147</f>
        <v>0</v>
      </c>
      <c r="AD147" s="14">
        <f>'A) Base RI'!W147</f>
        <v>0</v>
      </c>
      <c r="AE147" s="14">
        <f>'A) Base RI'!Y147</f>
        <v>13602.7</v>
      </c>
      <c r="AF147" s="14">
        <f>'A) Base RI'!Z147</f>
        <v>0</v>
      </c>
      <c r="AG147" s="14">
        <f>'A) Base RI'!AA147</f>
        <v>154610.5</v>
      </c>
      <c r="AH147" s="14">
        <f>'A) Base RI'!AB147</f>
        <v>0</v>
      </c>
      <c r="AI147" s="14">
        <f>'A) Base RI'!AC147</f>
        <v>89065.3</v>
      </c>
      <c r="AJ147" s="14">
        <f>'A) Base RI'!AD147</f>
        <v>14965.45</v>
      </c>
      <c r="AK147" s="14">
        <f>'A) Base RI'!AE147</f>
        <v>0</v>
      </c>
      <c r="AL147" s="14">
        <f>'A) Base RI'!AF147</f>
        <v>0</v>
      </c>
      <c r="AM147" s="14">
        <f>'A) Base RI'!AG147</f>
        <v>0</v>
      </c>
      <c r="AN147" s="14">
        <f>'A) Base RI'!AH147</f>
        <v>39634.300000000003</v>
      </c>
      <c r="AO147" s="14">
        <f>'A) Base RI'!AI147</f>
        <v>0</v>
      </c>
      <c r="AP147" s="14">
        <f>'A) Base RI'!AJ147</f>
        <v>0</v>
      </c>
      <c r="AQ147" s="14">
        <f>'A) Base RI'!AK147</f>
        <v>0</v>
      </c>
      <c r="AR147" s="14">
        <f>'A) Base RI'!AN147</f>
        <v>981</v>
      </c>
    </row>
    <row r="148" spans="1:44" x14ac:dyDescent="0.25">
      <c r="A148" s="12">
        <f>'A) Base RI'!A148</f>
        <v>5638</v>
      </c>
      <c r="B148" s="42" t="str">
        <f>'A) Base RI'!B148</f>
        <v>Lonay</v>
      </c>
      <c r="C148" s="14">
        <f>'A) Base RI'!C148+'A) Base RI'!D148</f>
        <v>6590955.9800000004</v>
      </c>
      <c r="D148" s="14">
        <f>'A) Base RI'!AO148</f>
        <v>-663.02</v>
      </c>
      <c r="E148" s="41">
        <f>'A) Base RI'!AP148</f>
        <v>0</v>
      </c>
      <c r="F148" s="41">
        <f>'A) Base RI'!AQ148</f>
        <v>-4172.17</v>
      </c>
      <c r="G148" s="4">
        <f t="shared" si="12"/>
        <v>6586120.790000001</v>
      </c>
      <c r="H148" s="14">
        <f>'A) Base RI'!E148</f>
        <v>0</v>
      </c>
      <c r="I148" s="14">
        <f>'A) Base RI'!F148</f>
        <v>0</v>
      </c>
      <c r="J148" s="14">
        <f>'A) Base RI'!G148+'A) Base RI'!H148</f>
        <v>868357.65</v>
      </c>
      <c r="K148" s="14">
        <f>'A) Base RI'!I148</f>
        <v>144011.41</v>
      </c>
      <c r="L148" s="14">
        <f>'A) Base RI'!J148</f>
        <v>146460.03</v>
      </c>
      <c r="M148" s="14">
        <f>'A) Base RI'!K148</f>
        <v>51758</v>
      </c>
      <c r="N148" s="14">
        <f>'A) Base RI'!Q148</f>
        <v>6848.1</v>
      </c>
      <c r="O148" s="14">
        <f t="shared" si="13"/>
        <v>582600.4</v>
      </c>
      <c r="P148" s="14">
        <f>'A) Base RI'!L148</f>
        <v>582600.4</v>
      </c>
      <c r="Q148" s="44">
        <f>'A) Base RI'!AR148</f>
        <v>1</v>
      </c>
      <c r="R148" s="4">
        <f t="shared" si="14"/>
        <v>8386156.3800000018</v>
      </c>
      <c r="S148" s="43">
        <f>'A) Base RI'!AM148</f>
        <v>55</v>
      </c>
      <c r="T148" s="4">
        <f t="shared" si="15"/>
        <v>7751797.9800000014</v>
      </c>
      <c r="U148" s="4">
        <f t="shared" si="16"/>
        <v>152475.57054545457</v>
      </c>
      <c r="V148" s="14">
        <f>'A) Base RI'!O148</f>
        <v>1503271.3</v>
      </c>
      <c r="W148" s="14">
        <f>'A) Base RI'!P148</f>
        <v>105204</v>
      </c>
      <c r="X148" s="14">
        <f>'A) Base RI'!R148</f>
        <v>175603.9</v>
      </c>
      <c r="Y148" s="4">
        <f t="shared" si="17"/>
        <v>1784079.2</v>
      </c>
      <c r="Z148" s="14">
        <f>'A) Base RI'!N148</f>
        <v>129820.9</v>
      </c>
      <c r="AA148" s="14">
        <f>'A) Base RI'!S148+'A) Base RI'!T148</f>
        <v>0</v>
      </c>
      <c r="AB148" s="14">
        <f>'A) Base RI'!U148</f>
        <v>12200</v>
      </c>
      <c r="AC148" s="14">
        <f>'A) Base RI'!V148</f>
        <v>0</v>
      </c>
      <c r="AD148" s="14">
        <f>'A) Base RI'!W148</f>
        <v>0</v>
      </c>
      <c r="AE148" s="14">
        <f>'A) Base RI'!Y148</f>
        <v>45086.400000000001</v>
      </c>
      <c r="AF148" s="14">
        <f>'A) Base RI'!Z148</f>
        <v>0</v>
      </c>
      <c r="AG148" s="14">
        <f>'A) Base RI'!AA148</f>
        <v>489061.2</v>
      </c>
      <c r="AH148" s="14">
        <f>'A) Base RI'!AB148</f>
        <v>0</v>
      </c>
      <c r="AI148" s="14">
        <f>'A) Base RI'!AC148</f>
        <v>281297.3</v>
      </c>
      <c r="AJ148" s="14">
        <f>'A) Base RI'!AD148</f>
        <v>0</v>
      </c>
      <c r="AK148" s="14">
        <f>'A) Base RI'!AE148</f>
        <v>0</v>
      </c>
      <c r="AL148" s="14">
        <f>'A) Base RI'!AF148</f>
        <v>0</v>
      </c>
      <c r="AM148" s="14">
        <f>'A) Base RI'!AG148</f>
        <v>0</v>
      </c>
      <c r="AN148" s="14">
        <f>'A) Base RI'!AH148</f>
        <v>0</v>
      </c>
      <c r="AO148" s="14">
        <f>'A) Base RI'!AI148</f>
        <v>0</v>
      </c>
      <c r="AP148" s="14">
        <f>'A) Base RI'!AJ148</f>
        <v>0</v>
      </c>
      <c r="AQ148" s="14">
        <f>'A) Base RI'!AK148</f>
        <v>0</v>
      </c>
      <c r="AR148" s="14">
        <f>'A) Base RI'!AN148</f>
        <v>2536</v>
      </c>
    </row>
    <row r="149" spans="1:44" x14ac:dyDescent="0.25">
      <c r="A149" s="12">
        <f>'A) Base RI'!A149</f>
        <v>5639</v>
      </c>
      <c r="B149" s="42" t="str">
        <f>'A) Base RI'!B149</f>
        <v>Lully</v>
      </c>
      <c r="C149" s="14">
        <f>'A) Base RI'!C149+'A) Base RI'!D149</f>
        <v>2295454.5299999998</v>
      </c>
      <c r="D149" s="14">
        <f>'A) Base RI'!AO149</f>
        <v>-6386.52</v>
      </c>
      <c r="E149" s="41">
        <f>'A) Base RI'!AP149</f>
        <v>0</v>
      </c>
      <c r="F149" s="41">
        <f>'A) Base RI'!AQ149</f>
        <v>0</v>
      </c>
      <c r="G149" s="4">
        <f t="shared" si="12"/>
        <v>2289068.0099999998</v>
      </c>
      <c r="H149" s="14">
        <f>'A) Base RI'!E149</f>
        <v>0</v>
      </c>
      <c r="I149" s="14">
        <f>'A) Base RI'!F149</f>
        <v>0</v>
      </c>
      <c r="J149" s="14">
        <f>'A) Base RI'!G149+'A) Base RI'!H149</f>
        <v>85413.65</v>
      </c>
      <c r="K149" s="14">
        <f>'A) Base RI'!I149</f>
        <v>0</v>
      </c>
      <c r="L149" s="14">
        <f>'A) Base RI'!J149</f>
        <v>27626.17</v>
      </c>
      <c r="M149" s="14">
        <f>'A) Base RI'!K149</f>
        <v>3232</v>
      </c>
      <c r="N149" s="14">
        <f>'A) Base RI'!Q149</f>
        <v>323.14</v>
      </c>
      <c r="O149" s="14">
        <f t="shared" si="13"/>
        <v>175761.16</v>
      </c>
      <c r="P149" s="14">
        <f>'A) Base RI'!L149</f>
        <v>219701.45</v>
      </c>
      <c r="Q149" s="44">
        <f>'A) Base RI'!AR149</f>
        <v>1.25</v>
      </c>
      <c r="R149" s="4">
        <f t="shared" si="14"/>
        <v>2581424.13</v>
      </c>
      <c r="S149" s="43">
        <f>'A) Base RI'!AM149</f>
        <v>61</v>
      </c>
      <c r="T149" s="4">
        <f t="shared" si="15"/>
        <v>2402430.9699999997</v>
      </c>
      <c r="U149" s="4">
        <f t="shared" si="16"/>
        <v>42318.428360655736</v>
      </c>
      <c r="V149" s="14">
        <f>'A) Base RI'!O149</f>
        <v>27528.6</v>
      </c>
      <c r="W149" s="14">
        <f>'A) Base RI'!P149</f>
        <v>122241.75</v>
      </c>
      <c r="X149" s="14">
        <f>'A) Base RI'!R149</f>
        <v>125088.4</v>
      </c>
      <c r="Y149" s="4">
        <f t="shared" si="17"/>
        <v>274858.75</v>
      </c>
      <c r="Z149" s="14">
        <f>'A) Base RI'!N149</f>
        <v>0</v>
      </c>
      <c r="AA149" s="14">
        <f>'A) Base RI'!S149+'A) Base RI'!T149</f>
        <v>0</v>
      </c>
      <c r="AB149" s="14">
        <f>'A) Base RI'!U149</f>
        <v>1975</v>
      </c>
      <c r="AC149" s="14">
        <f>'A) Base RI'!V149</f>
        <v>0</v>
      </c>
      <c r="AD149" s="14">
        <f>'A) Base RI'!W149</f>
        <v>0</v>
      </c>
      <c r="AE149" s="14">
        <f>'A) Base RI'!Y149</f>
        <v>40758.6</v>
      </c>
      <c r="AF149" s="14">
        <f>'A) Base RI'!Z149</f>
        <v>0</v>
      </c>
      <c r="AG149" s="14">
        <f>'A) Base RI'!AA149</f>
        <v>107295.7</v>
      </c>
      <c r="AH149" s="14">
        <f>'A) Base RI'!AB149</f>
        <v>0</v>
      </c>
      <c r="AI149" s="14">
        <f>'A) Base RI'!AC149</f>
        <v>60508.3</v>
      </c>
      <c r="AJ149" s="14">
        <f>'A) Base RI'!AD149</f>
        <v>0</v>
      </c>
      <c r="AK149" s="14">
        <f>'A) Base RI'!AE149</f>
        <v>0</v>
      </c>
      <c r="AL149" s="14">
        <f>'A) Base RI'!AF149</f>
        <v>0</v>
      </c>
      <c r="AM149" s="14">
        <f>'A) Base RI'!AG149</f>
        <v>0</v>
      </c>
      <c r="AN149" s="14">
        <f>'A) Base RI'!AH149</f>
        <v>0</v>
      </c>
      <c r="AO149" s="14">
        <f>'A) Base RI'!AI149</f>
        <v>0</v>
      </c>
      <c r="AP149" s="14">
        <f>'A) Base RI'!AJ149</f>
        <v>0</v>
      </c>
      <c r="AQ149" s="14">
        <f>'A) Base RI'!AK149</f>
        <v>0</v>
      </c>
      <c r="AR149" s="14">
        <f>'A) Base RI'!AN149</f>
        <v>760</v>
      </c>
    </row>
    <row r="150" spans="1:44" x14ac:dyDescent="0.25">
      <c r="A150" s="12">
        <f>'A) Base RI'!A150</f>
        <v>5640</v>
      </c>
      <c r="B150" s="42" t="str">
        <f>'A) Base RI'!B150</f>
        <v>Lussy-sur-Morges</v>
      </c>
      <c r="C150" s="14">
        <f>'A) Base RI'!C150+'A) Base RI'!D150</f>
        <v>2598648.8000000003</v>
      </c>
      <c r="D150" s="14">
        <f>'A) Base RI'!AO150</f>
        <v>-5784.96</v>
      </c>
      <c r="E150" s="41">
        <f>'A) Base RI'!AP150</f>
        <v>0</v>
      </c>
      <c r="F150" s="41">
        <f>'A) Base RI'!AQ150</f>
        <v>-3220.58</v>
      </c>
      <c r="G150" s="4">
        <f t="shared" si="12"/>
        <v>2589643.2600000002</v>
      </c>
      <c r="H150" s="14">
        <f>'A) Base RI'!E150</f>
        <v>0</v>
      </c>
      <c r="I150" s="14">
        <f>'A) Base RI'!F150</f>
        <v>0</v>
      </c>
      <c r="J150" s="14">
        <f>'A) Base RI'!G150+'A) Base RI'!H150</f>
        <v>202301.75</v>
      </c>
      <c r="K150" s="14">
        <f>'A) Base RI'!I150</f>
        <v>60120.82</v>
      </c>
      <c r="L150" s="14">
        <f>'A) Base RI'!J150</f>
        <v>-38575.050000000003</v>
      </c>
      <c r="M150" s="14">
        <f>'A) Base RI'!K150</f>
        <v>1498.5</v>
      </c>
      <c r="N150" s="14">
        <f>'A) Base RI'!Q150</f>
        <v>1796.8</v>
      </c>
      <c r="O150" s="14">
        <f t="shared" si="13"/>
        <v>173729.65</v>
      </c>
      <c r="P150" s="14">
        <f>'A) Base RI'!L150</f>
        <v>173729.65</v>
      </c>
      <c r="Q150" s="44">
        <f>'A) Base RI'!AR150</f>
        <v>1</v>
      </c>
      <c r="R150" s="4">
        <f t="shared" si="14"/>
        <v>2990515.73</v>
      </c>
      <c r="S150" s="43">
        <f>'A) Base RI'!AM150</f>
        <v>66</v>
      </c>
      <c r="T150" s="4">
        <f t="shared" si="15"/>
        <v>2815287.58</v>
      </c>
      <c r="U150" s="4">
        <f t="shared" si="16"/>
        <v>45310.844393939391</v>
      </c>
      <c r="V150" s="14">
        <f>'A) Base RI'!O150</f>
        <v>217086.5</v>
      </c>
      <c r="W150" s="14">
        <f>'A) Base RI'!P150</f>
        <v>37730</v>
      </c>
      <c r="X150" s="14">
        <f>'A) Base RI'!R150</f>
        <v>13027.6</v>
      </c>
      <c r="Y150" s="4">
        <f t="shared" si="17"/>
        <v>267844.09999999998</v>
      </c>
      <c r="Z150" s="14">
        <f>'A) Base RI'!N150</f>
        <v>18171.5</v>
      </c>
      <c r="AA150" s="14">
        <f>'A) Base RI'!S150+'A) Base RI'!T150</f>
        <v>0</v>
      </c>
      <c r="AB150" s="14">
        <f>'A) Base RI'!U150</f>
        <v>4700</v>
      </c>
      <c r="AC150" s="14">
        <f>'A) Base RI'!V150</f>
        <v>0</v>
      </c>
      <c r="AD150" s="14">
        <f>'A) Base RI'!W150</f>
        <v>0</v>
      </c>
      <c r="AE150" s="14">
        <f>'A) Base RI'!Y150</f>
        <v>22400</v>
      </c>
      <c r="AF150" s="14">
        <f>'A) Base RI'!Z150</f>
        <v>0</v>
      </c>
      <c r="AG150" s="14">
        <f>'A) Base RI'!AA150</f>
        <v>67498.100000000006</v>
      </c>
      <c r="AH150" s="14">
        <f>'A) Base RI'!AB150</f>
        <v>0</v>
      </c>
      <c r="AI150" s="14">
        <f>'A) Base RI'!AC150</f>
        <v>37290</v>
      </c>
      <c r="AJ150" s="14">
        <f>'A) Base RI'!AD150</f>
        <v>0</v>
      </c>
      <c r="AK150" s="14">
        <f>'A) Base RI'!AE150</f>
        <v>0</v>
      </c>
      <c r="AL150" s="14">
        <f>'A) Base RI'!AF150</f>
        <v>0</v>
      </c>
      <c r="AM150" s="14">
        <f>'A) Base RI'!AG150</f>
        <v>0</v>
      </c>
      <c r="AN150" s="14">
        <f>'A) Base RI'!AH150</f>
        <v>0</v>
      </c>
      <c r="AO150" s="14">
        <f>'A) Base RI'!AI150</f>
        <v>0</v>
      </c>
      <c r="AP150" s="14">
        <f>'A) Base RI'!AJ150</f>
        <v>0</v>
      </c>
      <c r="AQ150" s="14">
        <f>'A) Base RI'!AK150</f>
        <v>0</v>
      </c>
      <c r="AR150" s="14">
        <f>'A) Base RI'!AN150</f>
        <v>646</v>
      </c>
    </row>
    <row r="151" spans="1:44" x14ac:dyDescent="0.25">
      <c r="A151" s="12">
        <f>'A) Base RI'!A151</f>
        <v>5642</v>
      </c>
      <c r="B151" s="42" t="str">
        <f>'A) Base RI'!B151</f>
        <v>Morges</v>
      </c>
      <c r="C151" s="14">
        <f>'A) Base RI'!C151+'A) Base RI'!D151</f>
        <v>37410804.659999996</v>
      </c>
      <c r="D151" s="14">
        <f>'A) Base RI'!AO151</f>
        <v>-885440.77</v>
      </c>
      <c r="E151" s="41">
        <f>'A) Base RI'!AP151</f>
        <v>0</v>
      </c>
      <c r="F151" s="41">
        <f>'A) Base RI'!AQ151</f>
        <v>-14566.03</v>
      </c>
      <c r="G151" s="4">
        <f t="shared" si="12"/>
        <v>36510797.859999992</v>
      </c>
      <c r="H151" s="14">
        <f>'A) Base RI'!E151</f>
        <v>0</v>
      </c>
      <c r="I151" s="14">
        <f>'A) Base RI'!F151</f>
        <v>0</v>
      </c>
      <c r="J151" s="14">
        <f>'A) Base RI'!G151+'A) Base RI'!H151</f>
        <v>6497218.3500000006</v>
      </c>
      <c r="K151" s="14">
        <f>'A) Base RI'!I151</f>
        <v>320341</v>
      </c>
      <c r="L151" s="14">
        <f>'A) Base RI'!J151</f>
        <v>2230683.2000000002</v>
      </c>
      <c r="M151" s="14">
        <f>'A) Base RI'!K151</f>
        <v>397545.5</v>
      </c>
      <c r="N151" s="14">
        <f>'A) Base RI'!Q151</f>
        <v>122510.89</v>
      </c>
      <c r="O151" s="14">
        <f t="shared" si="13"/>
        <v>2924442.15</v>
      </c>
      <c r="P151" s="14">
        <f>'A) Base RI'!L151</f>
        <v>2924442.15</v>
      </c>
      <c r="Q151" s="44">
        <f>'A) Base RI'!AR151</f>
        <v>1</v>
      </c>
      <c r="R151" s="4">
        <f t="shared" si="14"/>
        <v>49003538.949999996</v>
      </c>
      <c r="S151" s="43">
        <f>'A) Base RI'!AM151</f>
        <v>68.5</v>
      </c>
      <c r="T151" s="4">
        <f t="shared" si="15"/>
        <v>45681551.299999997</v>
      </c>
      <c r="U151" s="4">
        <f t="shared" si="16"/>
        <v>715380.13065693423</v>
      </c>
      <c r="V151" s="14">
        <f>'A) Base RI'!O151</f>
        <v>2235649.4000000004</v>
      </c>
      <c r="W151" s="14">
        <f>'A) Base RI'!P151</f>
        <v>1141891.05</v>
      </c>
      <c r="X151" s="14">
        <f>'A) Base RI'!R151</f>
        <v>818165.3</v>
      </c>
      <c r="Y151" s="4">
        <f t="shared" si="17"/>
        <v>4195705.75</v>
      </c>
      <c r="Z151" s="14">
        <f>'A) Base RI'!N151</f>
        <v>1193384.05</v>
      </c>
      <c r="AA151" s="14">
        <f>'A) Base RI'!S151+'A) Base RI'!T151</f>
        <v>70813</v>
      </c>
      <c r="AB151" s="14">
        <f>'A) Base RI'!U151</f>
        <v>42530</v>
      </c>
      <c r="AC151" s="14">
        <f>'A) Base RI'!V151</f>
        <v>0</v>
      </c>
      <c r="AD151" s="14">
        <f>'A) Base RI'!W151</f>
        <v>0</v>
      </c>
      <c r="AE151" s="14">
        <f>'A) Base RI'!Y151</f>
        <v>178945.1</v>
      </c>
      <c r="AF151" s="14">
        <f>'A) Base RI'!Z151</f>
        <v>0</v>
      </c>
      <c r="AG151" s="14">
        <f>'A) Base RI'!AA151</f>
        <v>4267566.7</v>
      </c>
      <c r="AH151" s="14">
        <f>'A) Base RI'!AB151</f>
        <v>0</v>
      </c>
      <c r="AI151" s="14">
        <f>'A) Base RI'!AC151</f>
        <v>1058699.6000000001</v>
      </c>
      <c r="AJ151" s="14">
        <f>'A) Base RI'!AD151</f>
        <v>178945.1</v>
      </c>
      <c r="AK151" s="14">
        <f>'A) Base RI'!AE151</f>
        <v>0</v>
      </c>
      <c r="AL151" s="14">
        <f>'A) Base RI'!AF151</f>
        <v>0</v>
      </c>
      <c r="AM151" s="14">
        <f>'A) Base RI'!AG151</f>
        <v>213153.5</v>
      </c>
      <c r="AN151" s="14">
        <f>'A) Base RI'!AH151</f>
        <v>0</v>
      </c>
      <c r="AO151" s="14">
        <f>'A) Base RI'!AI151</f>
        <v>0</v>
      </c>
      <c r="AP151" s="14">
        <f>'A) Base RI'!AJ151</f>
        <v>0</v>
      </c>
      <c r="AQ151" s="14">
        <f>'A) Base RI'!AK151</f>
        <v>0</v>
      </c>
      <c r="AR151" s="14">
        <f>'A) Base RI'!AN151</f>
        <v>15623</v>
      </c>
    </row>
    <row r="152" spans="1:44" x14ac:dyDescent="0.25">
      <c r="A152" s="12">
        <f>'A) Base RI'!A152</f>
        <v>5643</v>
      </c>
      <c r="B152" s="42" t="str">
        <f>'A) Base RI'!B152</f>
        <v>Préverenges</v>
      </c>
      <c r="C152" s="14">
        <f>'A) Base RI'!C152+'A) Base RI'!D152</f>
        <v>13031452.689999999</v>
      </c>
      <c r="D152" s="14">
        <f>'A) Base RI'!AO152</f>
        <v>-171988.52</v>
      </c>
      <c r="E152" s="41">
        <f>'A) Base RI'!AP152</f>
        <v>0</v>
      </c>
      <c r="F152" s="41">
        <f>'A) Base RI'!AQ152</f>
        <v>-4282.45</v>
      </c>
      <c r="G152" s="4">
        <f t="shared" si="12"/>
        <v>12855181.720000001</v>
      </c>
      <c r="H152" s="14">
        <f>'A) Base RI'!E152</f>
        <v>0</v>
      </c>
      <c r="I152" s="14">
        <f>'A) Base RI'!F152</f>
        <v>0</v>
      </c>
      <c r="J152" s="14">
        <f>'A) Base RI'!G152+'A) Base RI'!H152</f>
        <v>1302976.25</v>
      </c>
      <c r="K152" s="14">
        <f>'A) Base RI'!I152</f>
        <v>233582.95</v>
      </c>
      <c r="L152" s="14">
        <f>'A) Base RI'!J152</f>
        <v>444402.24</v>
      </c>
      <c r="M152" s="14">
        <f>'A) Base RI'!K152</f>
        <v>77686.5</v>
      </c>
      <c r="N152" s="14">
        <f>'A) Base RI'!Q152</f>
        <v>45774.82</v>
      </c>
      <c r="O152" s="14">
        <f t="shared" si="13"/>
        <v>1027181.85</v>
      </c>
      <c r="P152" s="14">
        <f>'A) Base RI'!L152</f>
        <v>1027181.85</v>
      </c>
      <c r="Q152" s="44">
        <f>'A) Base RI'!AR152</f>
        <v>1</v>
      </c>
      <c r="R152" s="4">
        <f t="shared" si="14"/>
        <v>15986786.33</v>
      </c>
      <c r="S152" s="43">
        <f>'A) Base RI'!AM152</f>
        <v>64</v>
      </c>
      <c r="T152" s="4">
        <f t="shared" si="15"/>
        <v>14881917.98</v>
      </c>
      <c r="U152" s="4">
        <f t="shared" si="16"/>
        <v>249793.53640625</v>
      </c>
      <c r="V152" s="14">
        <f>'A) Base RI'!O152</f>
        <v>57979.1</v>
      </c>
      <c r="W152" s="14">
        <f>'A) Base RI'!P152</f>
        <v>466985.55</v>
      </c>
      <c r="X152" s="14">
        <f>'A) Base RI'!R152</f>
        <v>297315.55</v>
      </c>
      <c r="Y152" s="4">
        <f t="shared" si="17"/>
        <v>822280.2</v>
      </c>
      <c r="Z152" s="14">
        <f>'A) Base RI'!N152</f>
        <v>160776.25</v>
      </c>
      <c r="AA152" s="14">
        <f>'A) Base RI'!S152+'A) Base RI'!T152</f>
        <v>3792.5</v>
      </c>
      <c r="AB152" s="14">
        <f>'A) Base RI'!U152</f>
        <v>17640</v>
      </c>
      <c r="AC152" s="14">
        <f>'A) Base RI'!V152</f>
        <v>0</v>
      </c>
      <c r="AD152" s="14">
        <f>'A) Base RI'!W152</f>
        <v>0</v>
      </c>
      <c r="AE152" s="14">
        <f>'A) Base RI'!Y152</f>
        <v>238581.1</v>
      </c>
      <c r="AF152" s="14">
        <f>'A) Base RI'!Z152</f>
        <v>0</v>
      </c>
      <c r="AG152" s="14">
        <f>'A) Base RI'!AA152</f>
        <v>855481.02</v>
      </c>
      <c r="AH152" s="14">
        <f>'A) Base RI'!AB152</f>
        <v>0</v>
      </c>
      <c r="AI152" s="14">
        <f>'A) Base RI'!AC152</f>
        <v>406601.55</v>
      </c>
      <c r="AJ152" s="14">
        <f>'A) Base RI'!AD152</f>
        <v>0</v>
      </c>
      <c r="AK152" s="14">
        <f>'A) Base RI'!AE152</f>
        <v>0</v>
      </c>
      <c r="AL152" s="14">
        <f>'A) Base RI'!AF152</f>
        <v>0</v>
      </c>
      <c r="AM152" s="14">
        <f>'A) Base RI'!AG152</f>
        <v>0</v>
      </c>
      <c r="AN152" s="14">
        <f>'A) Base RI'!AH152</f>
        <v>110434.3</v>
      </c>
      <c r="AO152" s="14">
        <f>'A) Base RI'!AI152</f>
        <v>0</v>
      </c>
      <c r="AP152" s="14">
        <f>'A) Base RI'!AJ152</f>
        <v>0</v>
      </c>
      <c r="AQ152" s="14">
        <f>'A) Base RI'!AK152</f>
        <v>0</v>
      </c>
      <c r="AR152" s="14">
        <f>'A) Base RI'!AN152</f>
        <v>5263</v>
      </c>
    </row>
    <row r="153" spans="1:44" x14ac:dyDescent="0.25">
      <c r="A153" s="12">
        <f>'A) Base RI'!A153</f>
        <v>5644</v>
      </c>
      <c r="B153" s="42" t="str">
        <f>'A) Base RI'!B153</f>
        <v>Reverolle</v>
      </c>
      <c r="C153" s="14">
        <f>'A) Base RI'!C153+'A) Base RI'!D153</f>
        <v>1088128.07</v>
      </c>
      <c r="D153" s="14">
        <f>'A) Base RI'!AO153</f>
        <v>-1708.78</v>
      </c>
      <c r="E153" s="41">
        <f>'A) Base RI'!AP153</f>
        <v>0</v>
      </c>
      <c r="F153" s="41">
        <f>'A) Base RI'!AQ153</f>
        <v>-0.47</v>
      </c>
      <c r="G153" s="4">
        <f t="shared" si="12"/>
        <v>1086418.82</v>
      </c>
      <c r="H153" s="14">
        <f>'A) Base RI'!E153</f>
        <v>0</v>
      </c>
      <c r="I153" s="14">
        <f>'A) Base RI'!F153</f>
        <v>0</v>
      </c>
      <c r="J153" s="14">
        <f>'A) Base RI'!G153+'A) Base RI'!H153</f>
        <v>28641.699999999997</v>
      </c>
      <c r="K153" s="14">
        <f>'A) Base RI'!I153</f>
        <v>0</v>
      </c>
      <c r="L153" s="14">
        <f>'A) Base RI'!J153</f>
        <v>4237.1099999999997</v>
      </c>
      <c r="M153" s="14">
        <f>'A) Base RI'!K153</f>
        <v>366</v>
      </c>
      <c r="N153" s="14">
        <f>'A) Base RI'!Q153</f>
        <v>0</v>
      </c>
      <c r="O153" s="14">
        <f t="shared" si="13"/>
        <v>65545.55</v>
      </c>
      <c r="P153" s="14">
        <f>'A) Base RI'!L153</f>
        <v>65545.55</v>
      </c>
      <c r="Q153" s="44">
        <f>'A) Base RI'!AR153</f>
        <v>1</v>
      </c>
      <c r="R153" s="4">
        <f t="shared" si="14"/>
        <v>1185209.1800000002</v>
      </c>
      <c r="S153" s="43">
        <f>'A) Base RI'!AM153</f>
        <v>76</v>
      </c>
      <c r="T153" s="4">
        <f t="shared" si="15"/>
        <v>1119297.6300000001</v>
      </c>
      <c r="U153" s="4">
        <f t="shared" si="16"/>
        <v>15594.857631578949</v>
      </c>
      <c r="V153" s="14">
        <f>'A) Base RI'!O153</f>
        <v>0</v>
      </c>
      <c r="W153" s="14">
        <f>'A) Base RI'!P153</f>
        <v>44931</v>
      </c>
      <c r="X153" s="14">
        <f>'A) Base RI'!R153</f>
        <v>52721.599999999999</v>
      </c>
      <c r="Y153" s="4">
        <f t="shared" si="17"/>
        <v>97652.6</v>
      </c>
      <c r="Z153" s="14">
        <f>'A) Base RI'!N153</f>
        <v>7214.6</v>
      </c>
      <c r="AA153" s="14">
        <f>'A) Base RI'!S153+'A) Base RI'!T153</f>
        <v>560</v>
      </c>
      <c r="AB153" s="14">
        <f>'A) Base RI'!U153</f>
        <v>2600</v>
      </c>
      <c r="AC153" s="14">
        <f>'A) Base RI'!V153</f>
        <v>0</v>
      </c>
      <c r="AD153" s="14">
        <f>'A) Base RI'!W153</f>
        <v>0</v>
      </c>
      <c r="AE153" s="14">
        <f>'A) Base RI'!Y153</f>
        <v>12127</v>
      </c>
      <c r="AF153" s="14">
        <f>'A) Base RI'!Z153</f>
        <v>0</v>
      </c>
      <c r="AG153" s="14">
        <f>'A) Base RI'!AA153</f>
        <v>64140.2</v>
      </c>
      <c r="AH153" s="14">
        <f>'A) Base RI'!AB153</f>
        <v>0</v>
      </c>
      <c r="AI153" s="14">
        <f>'A) Base RI'!AC153</f>
        <v>30560</v>
      </c>
      <c r="AJ153" s="14">
        <f>'A) Base RI'!AD153</f>
        <v>7502</v>
      </c>
      <c r="AK153" s="14">
        <f>'A) Base RI'!AE153</f>
        <v>0</v>
      </c>
      <c r="AL153" s="14">
        <f>'A) Base RI'!AF153</f>
        <v>0</v>
      </c>
      <c r="AM153" s="14">
        <f>'A) Base RI'!AG153</f>
        <v>0</v>
      </c>
      <c r="AN153" s="14">
        <f>'A) Base RI'!AH153</f>
        <v>7223.7</v>
      </c>
      <c r="AO153" s="14">
        <f>'A) Base RI'!AI153</f>
        <v>0</v>
      </c>
      <c r="AP153" s="14">
        <f>'A) Base RI'!AJ153</f>
        <v>0</v>
      </c>
      <c r="AQ153" s="14">
        <f>'A) Base RI'!AK153</f>
        <v>0</v>
      </c>
      <c r="AR153" s="14">
        <f>'A) Base RI'!AN153</f>
        <v>360</v>
      </c>
    </row>
    <row r="154" spans="1:44" x14ac:dyDescent="0.25">
      <c r="A154" s="12">
        <f>'A) Base RI'!A154</f>
        <v>5645</v>
      </c>
      <c r="B154" s="42" t="str">
        <f>'A) Base RI'!B154</f>
        <v>Romanel-sur-Morges</v>
      </c>
      <c r="C154" s="14">
        <f>'A) Base RI'!C154+'A) Base RI'!D154</f>
        <v>989607.0199999999</v>
      </c>
      <c r="D154" s="14">
        <f>'A) Base RI'!AO154</f>
        <v>-10663.26</v>
      </c>
      <c r="E154" s="41">
        <f>'A) Base RI'!AP154</f>
        <v>0</v>
      </c>
      <c r="F154" s="41">
        <f>'A) Base RI'!AQ154</f>
        <v>-37.65</v>
      </c>
      <c r="G154" s="4">
        <f t="shared" si="12"/>
        <v>978906.10999999987</v>
      </c>
      <c r="H154" s="14">
        <f>'A) Base RI'!E154</f>
        <v>0</v>
      </c>
      <c r="I154" s="14">
        <f>'A) Base RI'!F154</f>
        <v>0</v>
      </c>
      <c r="J154" s="14">
        <f>'A) Base RI'!G154+'A) Base RI'!H154</f>
        <v>251016.45</v>
      </c>
      <c r="K154" s="14">
        <f>'A) Base RI'!I154</f>
        <v>0</v>
      </c>
      <c r="L154" s="14">
        <f>'A) Base RI'!J154</f>
        <v>43484.57</v>
      </c>
      <c r="M154" s="14">
        <f>'A) Base RI'!K154</f>
        <v>7817</v>
      </c>
      <c r="N154" s="14">
        <f>'A) Base RI'!Q154</f>
        <v>3685.64</v>
      </c>
      <c r="O154" s="14">
        <f t="shared" si="13"/>
        <v>136292.125</v>
      </c>
      <c r="P154" s="14">
        <f>'A) Base RI'!L154</f>
        <v>109033.7</v>
      </c>
      <c r="Q154" s="44">
        <f>'A) Base RI'!AR154</f>
        <v>0.8</v>
      </c>
      <c r="R154" s="4">
        <f t="shared" si="14"/>
        <v>1421201.8949999998</v>
      </c>
      <c r="S154" s="43">
        <f>'A) Base RI'!AM154</f>
        <v>56</v>
      </c>
      <c r="T154" s="4">
        <f t="shared" si="15"/>
        <v>1277092.7699999998</v>
      </c>
      <c r="U154" s="4">
        <f t="shared" si="16"/>
        <v>25378.60526785714</v>
      </c>
      <c r="V154" s="14">
        <f>'A) Base RI'!O154</f>
        <v>6750.3</v>
      </c>
      <c r="W154" s="14">
        <f>'A) Base RI'!P154</f>
        <v>18205</v>
      </c>
      <c r="X154" s="14">
        <f>'A) Base RI'!R154</f>
        <v>17342.95</v>
      </c>
      <c r="Y154" s="4">
        <f t="shared" si="17"/>
        <v>42298.25</v>
      </c>
      <c r="Z154" s="14">
        <f>'A) Base RI'!N154</f>
        <v>51663.6</v>
      </c>
      <c r="AA154" s="14">
        <f>'A) Base RI'!S154+'A) Base RI'!T154</f>
        <v>0</v>
      </c>
      <c r="AB154" s="14">
        <f>'A) Base RI'!U154</f>
        <v>750</v>
      </c>
      <c r="AC154" s="14">
        <f>'A) Base RI'!V154</f>
        <v>0</v>
      </c>
      <c r="AD154" s="14">
        <f>'A) Base RI'!W154</f>
        <v>0</v>
      </c>
      <c r="AE154" s="14">
        <f>'A) Base RI'!Y154</f>
        <v>12417.65</v>
      </c>
      <c r="AF154" s="14">
        <f>'A) Base RI'!Z154</f>
        <v>0</v>
      </c>
      <c r="AG154" s="14">
        <f>'A) Base RI'!AA154</f>
        <v>111386.9</v>
      </c>
      <c r="AH154" s="14">
        <f>'A) Base RI'!AB154</f>
        <v>0</v>
      </c>
      <c r="AI154" s="14">
        <f>'A) Base RI'!AC154</f>
        <v>48398</v>
      </c>
      <c r="AJ154" s="14">
        <f>'A) Base RI'!AD154</f>
        <v>17630.8</v>
      </c>
      <c r="AK154" s="14">
        <f>'A) Base RI'!AE154</f>
        <v>0</v>
      </c>
      <c r="AL154" s="14">
        <f>'A) Base RI'!AF154</f>
        <v>0</v>
      </c>
      <c r="AM154" s="14">
        <f>'A) Base RI'!AG154</f>
        <v>0</v>
      </c>
      <c r="AN154" s="14">
        <f>'A) Base RI'!AH154</f>
        <v>26594</v>
      </c>
      <c r="AO154" s="14">
        <f>'A) Base RI'!AI154</f>
        <v>0</v>
      </c>
      <c r="AP154" s="14">
        <f>'A) Base RI'!AJ154</f>
        <v>0</v>
      </c>
      <c r="AQ154" s="14">
        <f>'A) Base RI'!AK154</f>
        <v>0</v>
      </c>
      <c r="AR154" s="14">
        <f>'A) Base RI'!AN154</f>
        <v>459</v>
      </c>
    </row>
    <row r="155" spans="1:44" x14ac:dyDescent="0.25">
      <c r="A155" s="12">
        <f>'A) Base RI'!A155</f>
        <v>5646</v>
      </c>
      <c r="B155" s="42" t="str">
        <f>'A) Base RI'!B155</f>
        <v>Saint-Prex</v>
      </c>
      <c r="C155" s="14">
        <f>'A) Base RI'!C155+'A) Base RI'!D155</f>
        <v>12190119.210000001</v>
      </c>
      <c r="D155" s="14">
        <f>'A) Base RI'!AO155</f>
        <v>-350425.71</v>
      </c>
      <c r="E155" s="41">
        <f>'A) Base RI'!AP155</f>
        <v>0</v>
      </c>
      <c r="F155" s="41">
        <f>'A) Base RI'!AQ155</f>
        <v>-8749.7099999999991</v>
      </c>
      <c r="G155" s="4">
        <f t="shared" si="12"/>
        <v>11830943.789999999</v>
      </c>
      <c r="H155" s="14">
        <f>'A) Base RI'!E155</f>
        <v>0</v>
      </c>
      <c r="I155" s="14">
        <f>'A) Base RI'!F155</f>
        <v>0</v>
      </c>
      <c r="J155" s="14">
        <f>'A) Base RI'!G155+'A) Base RI'!H155</f>
        <v>2107112.65</v>
      </c>
      <c r="K155" s="14">
        <f>'A) Base RI'!I155</f>
        <v>624273.18000000005</v>
      </c>
      <c r="L155" s="14">
        <f>'A) Base RI'!J155</f>
        <v>734525.25</v>
      </c>
      <c r="M155" s="14">
        <f>'A) Base RI'!K155</f>
        <v>119824.5</v>
      </c>
      <c r="N155" s="14">
        <f>'A) Base RI'!Q155</f>
        <v>58825.46</v>
      </c>
      <c r="O155" s="14">
        <f t="shared" si="13"/>
        <v>1426965.45</v>
      </c>
      <c r="P155" s="14">
        <f>'A) Base RI'!L155</f>
        <v>1426965.45</v>
      </c>
      <c r="Q155" s="44">
        <f>'A) Base RI'!AR155</f>
        <v>1</v>
      </c>
      <c r="R155" s="4">
        <f t="shared" si="14"/>
        <v>16902470.280000001</v>
      </c>
      <c r="S155" s="43">
        <f>'A) Base RI'!AM155</f>
        <v>55</v>
      </c>
      <c r="T155" s="4">
        <f t="shared" si="15"/>
        <v>15355680.33</v>
      </c>
      <c r="U155" s="4">
        <f t="shared" si="16"/>
        <v>307317.64145454549</v>
      </c>
      <c r="V155" s="14">
        <f>'A) Base RI'!O155</f>
        <v>1443954.6</v>
      </c>
      <c r="W155" s="14">
        <f>'A) Base RI'!P155</f>
        <v>870874.45</v>
      </c>
      <c r="X155" s="14">
        <f>'A) Base RI'!R155</f>
        <v>623458.15</v>
      </c>
      <c r="Y155" s="4">
        <f t="shared" si="17"/>
        <v>2938287.1999999997</v>
      </c>
      <c r="Z155" s="14">
        <f>'A) Base RI'!N155</f>
        <v>493653.25</v>
      </c>
      <c r="AA155" s="14">
        <f>'A) Base RI'!S155+'A) Base RI'!T155</f>
        <v>4570</v>
      </c>
      <c r="AB155" s="14">
        <f>'A) Base RI'!U155</f>
        <v>48600</v>
      </c>
      <c r="AC155" s="14">
        <f>'A) Base RI'!V155</f>
        <v>0</v>
      </c>
      <c r="AD155" s="14">
        <f>'A) Base RI'!W155</f>
        <v>0</v>
      </c>
      <c r="AE155" s="14">
        <f>'A) Base RI'!Y155</f>
        <v>443693.77</v>
      </c>
      <c r="AF155" s="14">
        <f>'A) Base RI'!Z155</f>
        <v>0</v>
      </c>
      <c r="AG155" s="14">
        <f>'A) Base RI'!AA155</f>
        <v>866570.02</v>
      </c>
      <c r="AH155" s="14">
        <f>'A) Base RI'!AB155</f>
        <v>0</v>
      </c>
      <c r="AI155" s="14">
        <f>'A) Base RI'!AC155</f>
        <v>532039.05000000005</v>
      </c>
      <c r="AJ155" s="14">
        <f>'A) Base RI'!AD155</f>
        <v>185414.38</v>
      </c>
      <c r="AK155" s="14">
        <f>'A) Base RI'!AE155</f>
        <v>0</v>
      </c>
      <c r="AL155" s="14">
        <f>'A) Base RI'!AF155</f>
        <v>0</v>
      </c>
      <c r="AM155" s="14">
        <f>'A) Base RI'!AG155</f>
        <v>36772</v>
      </c>
      <c r="AN155" s="14">
        <f>'A) Base RI'!AH155</f>
        <v>0</v>
      </c>
      <c r="AO155" s="14">
        <f>'A) Base RI'!AI155</f>
        <v>0</v>
      </c>
      <c r="AP155" s="14">
        <f>'A) Base RI'!AJ155</f>
        <v>0</v>
      </c>
      <c r="AQ155" s="14">
        <f>'A) Base RI'!AK155</f>
        <v>0</v>
      </c>
      <c r="AR155" s="14">
        <f>'A) Base RI'!AN155</f>
        <v>5604</v>
      </c>
    </row>
    <row r="156" spans="1:44" x14ac:dyDescent="0.25">
      <c r="A156" s="12">
        <f>'A) Base RI'!A156</f>
        <v>5648</v>
      </c>
      <c r="B156" s="42" t="str">
        <f>'A) Base RI'!B156</f>
        <v>Saint-Sulpice</v>
      </c>
      <c r="C156" s="14">
        <f>'A) Base RI'!C156+'A) Base RI'!D156</f>
        <v>13988659.939999999</v>
      </c>
      <c r="D156" s="14">
        <f>'A) Base RI'!AO156</f>
        <v>-141302.87</v>
      </c>
      <c r="E156" s="41">
        <f>'A) Base RI'!AP156</f>
        <v>0</v>
      </c>
      <c r="F156" s="41">
        <f>'A) Base RI'!AQ156</f>
        <v>-9904.2900000000009</v>
      </c>
      <c r="G156" s="4">
        <f t="shared" si="12"/>
        <v>13837452.780000001</v>
      </c>
      <c r="H156" s="14">
        <f>'A) Base RI'!E156</f>
        <v>0</v>
      </c>
      <c r="I156" s="14">
        <f>'A) Base RI'!F156</f>
        <v>0</v>
      </c>
      <c r="J156" s="14">
        <f>'A) Base RI'!G156+'A) Base RI'!H156</f>
        <v>627850.31000000006</v>
      </c>
      <c r="K156" s="14">
        <f>'A) Base RI'!I156</f>
        <v>666665.6</v>
      </c>
      <c r="L156" s="14">
        <f>'A) Base RI'!J156</f>
        <v>564645</v>
      </c>
      <c r="M156" s="14">
        <f>'A) Base RI'!K156</f>
        <v>92465.5</v>
      </c>
      <c r="N156" s="14">
        <f>'A) Base RI'!Q156</f>
        <v>-3712.22</v>
      </c>
      <c r="O156" s="14">
        <f t="shared" si="13"/>
        <v>1118091.7249999999</v>
      </c>
      <c r="P156" s="14">
        <f>'A) Base RI'!L156</f>
        <v>894473.38</v>
      </c>
      <c r="Q156" s="44">
        <f>'A) Base RI'!AR156</f>
        <v>0.8</v>
      </c>
      <c r="R156" s="4">
        <f t="shared" si="14"/>
        <v>16903458.695</v>
      </c>
      <c r="S156" s="43">
        <f>'A) Base RI'!AM156</f>
        <v>55</v>
      </c>
      <c r="T156" s="4">
        <f t="shared" si="15"/>
        <v>15692901.470000001</v>
      </c>
      <c r="U156" s="4">
        <f t="shared" si="16"/>
        <v>307335.61263636366</v>
      </c>
      <c r="V156" s="14">
        <f>'A) Base RI'!O156</f>
        <v>0</v>
      </c>
      <c r="W156" s="14">
        <f>'A) Base RI'!P156</f>
        <v>1284511.93</v>
      </c>
      <c r="X156" s="14">
        <f>'A) Base RI'!R156</f>
        <v>1296740.3</v>
      </c>
      <c r="Y156" s="4">
        <f t="shared" si="17"/>
        <v>2581252.23</v>
      </c>
      <c r="Z156" s="14">
        <f>'A) Base RI'!N156</f>
        <v>71491.8</v>
      </c>
      <c r="AA156" s="14">
        <f>'A) Base RI'!S156+'A) Base RI'!T156</f>
        <v>0</v>
      </c>
      <c r="AB156" s="14">
        <f>'A) Base RI'!U156</f>
        <v>15650</v>
      </c>
      <c r="AC156" s="14">
        <f>'A) Base RI'!V156</f>
        <v>0</v>
      </c>
      <c r="AD156" s="14">
        <f>'A) Base RI'!W156</f>
        <v>0</v>
      </c>
      <c r="AE156" s="14">
        <f>'A) Base RI'!Y156</f>
        <v>1098973.3</v>
      </c>
      <c r="AF156" s="14">
        <f>'A) Base RI'!Z156</f>
        <v>0</v>
      </c>
      <c r="AG156" s="14">
        <f>'A) Base RI'!AA156</f>
        <v>902691.65</v>
      </c>
      <c r="AH156" s="14">
        <f>'A) Base RI'!AB156</f>
        <v>0</v>
      </c>
      <c r="AI156" s="14">
        <f>'A) Base RI'!AC156</f>
        <v>303541.03000000003</v>
      </c>
      <c r="AJ156" s="14">
        <f>'A) Base RI'!AD156</f>
        <v>0</v>
      </c>
      <c r="AK156" s="14">
        <f>'A) Base RI'!AE156</f>
        <v>0</v>
      </c>
      <c r="AL156" s="14">
        <f>'A) Base RI'!AF156</f>
        <v>0</v>
      </c>
      <c r="AM156" s="14">
        <f>'A) Base RI'!AG156</f>
        <v>132507.72</v>
      </c>
      <c r="AN156" s="14">
        <f>'A) Base RI'!AH156</f>
        <v>132632.51999999999</v>
      </c>
      <c r="AO156" s="14">
        <f>'A) Base RI'!AI156</f>
        <v>0</v>
      </c>
      <c r="AP156" s="14">
        <f>'A) Base RI'!AJ156</f>
        <v>0</v>
      </c>
      <c r="AQ156" s="14">
        <f>'A) Base RI'!AK156</f>
        <v>0</v>
      </c>
      <c r="AR156" s="14">
        <f>'A) Base RI'!AN156</f>
        <v>3898</v>
      </c>
    </row>
    <row r="157" spans="1:44" x14ac:dyDescent="0.25">
      <c r="A157" s="12">
        <f>'A) Base RI'!A157</f>
        <v>5649</v>
      </c>
      <c r="B157" s="42" t="str">
        <f>'A) Base RI'!B157</f>
        <v>Tolochenaz</v>
      </c>
      <c r="C157" s="14">
        <f>'A) Base RI'!C157+'A) Base RI'!D157</f>
        <v>4205656.3100000005</v>
      </c>
      <c r="D157" s="14">
        <f>'A) Base RI'!AO157</f>
        <v>-83826.570000000007</v>
      </c>
      <c r="E157" s="41">
        <f>'A) Base RI'!AP157</f>
        <v>0</v>
      </c>
      <c r="F157" s="41">
        <f>'A) Base RI'!AQ157</f>
        <v>-472.53</v>
      </c>
      <c r="G157" s="4">
        <f t="shared" si="12"/>
        <v>4121357.2100000009</v>
      </c>
      <c r="H157" s="14">
        <f>'A) Base RI'!E157</f>
        <v>0</v>
      </c>
      <c r="I157" s="14">
        <f>'A) Base RI'!F157</f>
        <v>0</v>
      </c>
      <c r="J157" s="14">
        <f>'A) Base RI'!G157+'A) Base RI'!H157</f>
        <v>1887534.2999999998</v>
      </c>
      <c r="K157" s="14">
        <f>'A) Base RI'!I157</f>
        <v>41286.5</v>
      </c>
      <c r="L157" s="14">
        <f>'A) Base RI'!J157</f>
        <v>478624.57</v>
      </c>
      <c r="M157" s="14">
        <f>'A) Base RI'!K157</f>
        <v>59599.5</v>
      </c>
      <c r="N157" s="14">
        <f>'A) Base RI'!Q157</f>
        <v>2758.39</v>
      </c>
      <c r="O157" s="14">
        <f t="shared" si="13"/>
        <v>517247.6</v>
      </c>
      <c r="P157" s="14">
        <f>'A) Base RI'!L157</f>
        <v>517247.6</v>
      </c>
      <c r="Q157" s="44">
        <f>'A) Base RI'!AR157</f>
        <v>1</v>
      </c>
      <c r="R157" s="4">
        <f t="shared" si="14"/>
        <v>7108408.0700000003</v>
      </c>
      <c r="S157" s="43">
        <f>'A) Base RI'!AM157</f>
        <v>65</v>
      </c>
      <c r="T157" s="4">
        <f t="shared" si="15"/>
        <v>6531560.9700000007</v>
      </c>
      <c r="U157" s="4">
        <f t="shared" si="16"/>
        <v>109360.12415384616</v>
      </c>
      <c r="V157" s="14">
        <f>'A) Base RI'!O157</f>
        <v>77493.600000000006</v>
      </c>
      <c r="W157" s="14">
        <f>'A) Base RI'!P157</f>
        <v>170195.45</v>
      </c>
      <c r="X157" s="14">
        <f>'A) Base RI'!R157</f>
        <v>140839.70000000001</v>
      </c>
      <c r="Y157" s="4">
        <f t="shared" si="17"/>
        <v>388528.75</v>
      </c>
      <c r="Z157" s="14">
        <f>'A) Base RI'!N157</f>
        <v>438479.5</v>
      </c>
      <c r="AA157" s="14">
        <f>'A) Base RI'!S157+'A) Base RI'!T157</f>
        <v>0</v>
      </c>
      <c r="AB157" s="14">
        <f>'A) Base RI'!U157</f>
        <v>3345</v>
      </c>
      <c r="AC157" s="14">
        <f>'A) Base RI'!V157</f>
        <v>0</v>
      </c>
      <c r="AD157" s="14">
        <f>'A) Base RI'!W157</f>
        <v>0</v>
      </c>
      <c r="AE157" s="14">
        <f>'A) Base RI'!Y157</f>
        <v>71099.649999999994</v>
      </c>
      <c r="AF157" s="14">
        <f>'A) Base RI'!Z157</f>
        <v>0</v>
      </c>
      <c r="AG157" s="14">
        <f>'A) Base RI'!AA157</f>
        <v>441701.5</v>
      </c>
      <c r="AH157" s="14">
        <f>'A) Base RI'!AB157</f>
        <v>0</v>
      </c>
      <c r="AI157" s="14">
        <f>'A) Base RI'!AC157</f>
        <v>95055</v>
      </c>
      <c r="AJ157" s="14">
        <f>'A) Base RI'!AD157</f>
        <v>0</v>
      </c>
      <c r="AK157" s="14">
        <f>'A) Base RI'!AE157</f>
        <v>0</v>
      </c>
      <c r="AL157" s="14">
        <f>'A) Base RI'!AF157</f>
        <v>0</v>
      </c>
      <c r="AM157" s="14">
        <f>'A) Base RI'!AG157</f>
        <v>0</v>
      </c>
      <c r="AN157" s="14">
        <f>'A) Base RI'!AH157</f>
        <v>128558.9</v>
      </c>
      <c r="AO157" s="14">
        <f>'A) Base RI'!AI157</f>
        <v>0</v>
      </c>
      <c r="AP157" s="14">
        <f>'A) Base RI'!AJ157</f>
        <v>0</v>
      </c>
      <c r="AQ157" s="14">
        <f>'A) Base RI'!AK157</f>
        <v>0</v>
      </c>
      <c r="AR157" s="14">
        <f>'A) Base RI'!AN157</f>
        <v>1855</v>
      </c>
    </row>
    <row r="158" spans="1:44" x14ac:dyDescent="0.25">
      <c r="A158" s="12">
        <f>'A) Base RI'!A158</f>
        <v>5650</v>
      </c>
      <c r="B158" s="42" t="str">
        <f>'A) Base RI'!B158</f>
        <v>Vaux-sur-Morges</v>
      </c>
      <c r="C158" s="14">
        <f>'A) Base RI'!C158+'A) Base RI'!D158</f>
        <v>7162218.0800000001</v>
      </c>
      <c r="D158" s="14">
        <f>'A) Base RI'!AO158</f>
        <v>-2.82</v>
      </c>
      <c r="E158" s="41">
        <f>'A) Base RI'!AP158</f>
        <v>0</v>
      </c>
      <c r="F158" s="41">
        <f>'A) Base RI'!AQ158</f>
        <v>0</v>
      </c>
      <c r="G158" s="4">
        <f t="shared" si="12"/>
        <v>7162215.2599999998</v>
      </c>
      <c r="H158" s="14">
        <f>'A) Base RI'!E158</f>
        <v>0</v>
      </c>
      <c r="I158" s="14">
        <f>'A) Base RI'!F158</f>
        <v>0</v>
      </c>
      <c r="J158" s="14">
        <f>'A) Base RI'!G158+'A) Base RI'!H158</f>
        <v>11573.349999999999</v>
      </c>
      <c r="K158" s="14">
        <f>'A) Base RI'!I158</f>
        <v>0</v>
      </c>
      <c r="L158" s="14">
        <f>'A) Base RI'!J158</f>
        <v>1427.62</v>
      </c>
      <c r="M158" s="14">
        <f>'A) Base RI'!K158</f>
        <v>0</v>
      </c>
      <c r="N158" s="14">
        <f>'A) Base RI'!Q158</f>
        <v>0</v>
      </c>
      <c r="O158" s="14">
        <f t="shared" si="13"/>
        <v>42181.04</v>
      </c>
      <c r="P158" s="14">
        <f>'A) Base RI'!L158</f>
        <v>52726.3</v>
      </c>
      <c r="Q158" s="44">
        <f>'A) Base RI'!AR158</f>
        <v>1.25</v>
      </c>
      <c r="R158" s="4">
        <f t="shared" si="14"/>
        <v>7217397.2699999996</v>
      </c>
      <c r="S158" s="43">
        <f>'A) Base RI'!AM158</f>
        <v>39</v>
      </c>
      <c r="T158" s="4">
        <f t="shared" si="15"/>
        <v>7175216.2299999995</v>
      </c>
      <c r="U158" s="4">
        <f t="shared" si="16"/>
        <v>185061.46846153846</v>
      </c>
      <c r="V158" s="14">
        <f>'A) Base RI'!O158</f>
        <v>71154.3</v>
      </c>
      <c r="W158" s="14">
        <f>'A) Base RI'!P158</f>
        <v>0</v>
      </c>
      <c r="X158" s="14">
        <f>'A) Base RI'!R158</f>
        <v>0</v>
      </c>
      <c r="Y158" s="4">
        <f t="shared" si="17"/>
        <v>71154.3</v>
      </c>
      <c r="Z158" s="14">
        <f>'A) Base RI'!N158</f>
        <v>0</v>
      </c>
      <c r="AA158" s="14">
        <f>'A) Base RI'!S158+'A) Base RI'!T158</f>
        <v>0</v>
      </c>
      <c r="AB158" s="14">
        <f>'A) Base RI'!U158</f>
        <v>510</v>
      </c>
      <c r="AC158" s="14">
        <f>'A) Base RI'!V158</f>
        <v>0</v>
      </c>
      <c r="AD158" s="14">
        <f>'A) Base RI'!W158</f>
        <v>0</v>
      </c>
      <c r="AE158" s="14">
        <f>'A) Base RI'!Y158</f>
        <v>0</v>
      </c>
      <c r="AF158" s="14">
        <f>'A) Base RI'!Z158</f>
        <v>0</v>
      </c>
      <c r="AG158" s="14">
        <f>'A) Base RI'!AA158</f>
        <v>26646.05</v>
      </c>
      <c r="AH158" s="14">
        <f>'A) Base RI'!AB158</f>
        <v>0</v>
      </c>
      <c r="AI158" s="14">
        <f>'A) Base RI'!AC158</f>
        <v>21113.9</v>
      </c>
      <c r="AJ158" s="14">
        <f>'A) Base RI'!AD158</f>
        <v>0</v>
      </c>
      <c r="AK158" s="14">
        <f>'A) Base RI'!AE158</f>
        <v>0</v>
      </c>
      <c r="AL158" s="14">
        <f>'A) Base RI'!AF158</f>
        <v>0</v>
      </c>
      <c r="AM158" s="14">
        <f>'A) Base RI'!AG158</f>
        <v>0</v>
      </c>
      <c r="AN158" s="14">
        <f>'A) Base RI'!AH158</f>
        <v>0</v>
      </c>
      <c r="AO158" s="14">
        <f>'A) Base RI'!AI158</f>
        <v>0</v>
      </c>
      <c r="AP158" s="14">
        <f>'A) Base RI'!AJ158</f>
        <v>0</v>
      </c>
      <c r="AQ158" s="14">
        <f>'A) Base RI'!AK158</f>
        <v>0</v>
      </c>
      <c r="AR158" s="14">
        <f>'A) Base RI'!AN158</f>
        <v>203</v>
      </c>
    </row>
    <row r="159" spans="1:44" x14ac:dyDescent="0.25">
      <c r="A159" s="12">
        <f>'A) Base RI'!A159</f>
        <v>5651</v>
      </c>
      <c r="B159" s="42" t="str">
        <f>'A) Base RI'!B159</f>
        <v>Villars-Sainte-Croix</v>
      </c>
      <c r="C159" s="14">
        <f>'A) Base RI'!C159+'A) Base RI'!D159</f>
        <v>1770971.53</v>
      </c>
      <c r="D159" s="14">
        <f>'A) Base RI'!AO159</f>
        <v>-102556.47</v>
      </c>
      <c r="E159" s="41">
        <f>'A) Base RI'!AP159</f>
        <v>0</v>
      </c>
      <c r="F159" s="41">
        <f>'A) Base RI'!AQ159</f>
        <v>-17.239999999999998</v>
      </c>
      <c r="G159" s="4">
        <f t="shared" si="12"/>
        <v>1668397.82</v>
      </c>
      <c r="H159" s="14">
        <f>'A) Base RI'!E159</f>
        <v>0</v>
      </c>
      <c r="I159" s="14">
        <f>'A) Base RI'!F159</f>
        <v>0</v>
      </c>
      <c r="J159" s="14">
        <f>'A) Base RI'!G159+'A) Base RI'!H159</f>
        <v>247611.6</v>
      </c>
      <c r="K159" s="14">
        <f>'A) Base RI'!I159</f>
        <v>0</v>
      </c>
      <c r="L159" s="14">
        <f>'A) Base RI'!J159</f>
        <v>22047.200000000001</v>
      </c>
      <c r="M159" s="14">
        <f>'A) Base RI'!K159</f>
        <v>13268</v>
      </c>
      <c r="N159" s="14">
        <f>'A) Base RI'!Q159</f>
        <v>79586.55</v>
      </c>
      <c r="O159" s="14">
        <f t="shared" si="13"/>
        <v>200663.4</v>
      </c>
      <c r="P159" s="14">
        <f>'A) Base RI'!L159</f>
        <v>200663.4</v>
      </c>
      <c r="Q159" s="44">
        <f>'A) Base RI'!AR159</f>
        <v>1</v>
      </c>
      <c r="R159" s="4">
        <f t="shared" si="14"/>
        <v>2231574.5700000003</v>
      </c>
      <c r="S159" s="43">
        <f>'A) Base RI'!AM159</f>
        <v>59</v>
      </c>
      <c r="T159" s="4">
        <f t="shared" si="15"/>
        <v>2017643.1700000002</v>
      </c>
      <c r="U159" s="4">
        <f t="shared" si="16"/>
        <v>37823.297796610175</v>
      </c>
      <c r="V159" s="14">
        <f>'A) Base RI'!O159</f>
        <v>0</v>
      </c>
      <c r="W159" s="14">
        <f>'A) Base RI'!P159</f>
        <v>221104.3</v>
      </c>
      <c r="X159" s="14">
        <f>'A) Base RI'!R159</f>
        <v>228523.35</v>
      </c>
      <c r="Y159" s="4">
        <f t="shared" si="17"/>
        <v>449627.65</v>
      </c>
      <c r="Z159" s="14">
        <f>'A) Base RI'!N159</f>
        <v>128413.05</v>
      </c>
      <c r="AA159" s="14">
        <f>'A) Base RI'!S159+'A) Base RI'!T159</f>
        <v>0</v>
      </c>
      <c r="AB159" s="14">
        <f>'A) Base RI'!U159</f>
        <v>3760</v>
      </c>
      <c r="AC159" s="14">
        <f>'A) Base RI'!V159</f>
        <v>0</v>
      </c>
      <c r="AD159" s="14">
        <f>'A) Base RI'!W159</f>
        <v>0</v>
      </c>
      <c r="AE159" s="14">
        <f>'A) Base RI'!Y159</f>
        <v>476225.45</v>
      </c>
      <c r="AF159" s="14">
        <f>'A) Base RI'!Z159</f>
        <v>0</v>
      </c>
      <c r="AG159" s="14">
        <f>'A) Base RI'!AA159</f>
        <v>86554.55</v>
      </c>
      <c r="AH159" s="14">
        <f>'A) Base RI'!AB159</f>
        <v>0</v>
      </c>
      <c r="AI159" s="14">
        <f>'A) Base RI'!AC159</f>
        <v>97823.85</v>
      </c>
      <c r="AJ159" s="14">
        <f>'A) Base RI'!AD159</f>
        <v>271239.3</v>
      </c>
      <c r="AK159" s="14">
        <f>'A) Base RI'!AE159</f>
        <v>0</v>
      </c>
      <c r="AL159" s="14">
        <f>'A) Base RI'!AF159</f>
        <v>0</v>
      </c>
      <c r="AM159" s="14">
        <f>'A) Base RI'!AG159</f>
        <v>0</v>
      </c>
      <c r="AN159" s="14">
        <f>'A) Base RI'!AH159</f>
        <v>41370.800000000003</v>
      </c>
      <c r="AO159" s="14">
        <f>'A) Base RI'!AI159</f>
        <v>0</v>
      </c>
      <c r="AP159" s="14">
        <f>'A) Base RI'!AJ159</f>
        <v>0</v>
      </c>
      <c r="AQ159" s="14">
        <f>'A) Base RI'!AK159</f>
        <v>0</v>
      </c>
      <c r="AR159" s="14">
        <f>'A) Base RI'!AN159</f>
        <v>709</v>
      </c>
    </row>
    <row r="160" spans="1:44" x14ac:dyDescent="0.25">
      <c r="A160" s="12">
        <f>'A) Base RI'!A160</f>
        <v>5652</v>
      </c>
      <c r="B160" s="42" t="str">
        <f>'A) Base RI'!B160</f>
        <v>Villars-sous-Yens</v>
      </c>
      <c r="C160" s="14">
        <f>'A) Base RI'!C160+'A) Base RI'!D160</f>
        <v>1659219.21</v>
      </c>
      <c r="D160" s="14">
        <f>'A) Base RI'!AO160</f>
        <v>-589.14</v>
      </c>
      <c r="E160" s="41">
        <f>'A) Base RI'!AP160</f>
        <v>0</v>
      </c>
      <c r="F160" s="41">
        <f>'A) Base RI'!AQ160</f>
        <v>-62.45</v>
      </c>
      <c r="G160" s="4">
        <f t="shared" si="12"/>
        <v>1658567.62</v>
      </c>
      <c r="H160" s="14">
        <f>'A) Base RI'!E160</f>
        <v>0</v>
      </c>
      <c r="I160" s="14">
        <f>'A) Base RI'!F160</f>
        <v>0</v>
      </c>
      <c r="J160" s="14">
        <f>'A) Base RI'!G160+'A) Base RI'!H160</f>
        <v>15235.45</v>
      </c>
      <c r="K160" s="14">
        <f>'A) Base RI'!I160</f>
        <v>0</v>
      </c>
      <c r="L160" s="14">
        <f>'A) Base RI'!J160</f>
        <v>26229.4</v>
      </c>
      <c r="M160" s="14">
        <f>'A) Base RI'!K160</f>
        <v>1104</v>
      </c>
      <c r="N160" s="14">
        <f>'A) Base RI'!Q160</f>
        <v>0</v>
      </c>
      <c r="O160" s="14">
        <f t="shared" si="13"/>
        <v>95524.916666666672</v>
      </c>
      <c r="P160" s="14">
        <f>'A) Base RI'!L160</f>
        <v>114629.9</v>
      </c>
      <c r="Q160" s="44">
        <f>'A) Base RI'!AR160</f>
        <v>1.2</v>
      </c>
      <c r="R160" s="4">
        <f t="shared" si="14"/>
        <v>1796661.3866666667</v>
      </c>
      <c r="S160" s="43">
        <f>'A) Base RI'!AM160</f>
        <v>76</v>
      </c>
      <c r="T160" s="4">
        <f t="shared" si="15"/>
        <v>1700032.47</v>
      </c>
      <c r="U160" s="4">
        <f t="shared" si="16"/>
        <v>23640.281403508772</v>
      </c>
      <c r="V160" s="14">
        <f>'A) Base RI'!O160</f>
        <v>0.7</v>
      </c>
      <c r="W160" s="14">
        <f>'A) Base RI'!P160</f>
        <v>55316.15</v>
      </c>
      <c r="X160" s="14">
        <f>'A) Base RI'!R160</f>
        <v>0</v>
      </c>
      <c r="Y160" s="4">
        <f t="shared" si="17"/>
        <v>55316.85</v>
      </c>
      <c r="Z160" s="14">
        <f>'A) Base RI'!N160</f>
        <v>2164.85</v>
      </c>
      <c r="AA160" s="14">
        <f>'A) Base RI'!S160+'A) Base RI'!T160</f>
        <v>0</v>
      </c>
      <c r="AB160" s="14">
        <f>'A) Base RI'!U160</f>
        <v>3250</v>
      </c>
      <c r="AC160" s="14">
        <f>'A) Base RI'!V160</f>
        <v>0</v>
      </c>
      <c r="AD160" s="14">
        <f>'A) Base RI'!W160</f>
        <v>0</v>
      </c>
      <c r="AE160" s="14">
        <f>'A) Base RI'!Y160</f>
        <v>33370</v>
      </c>
      <c r="AF160" s="14">
        <f>'A) Base RI'!Z160</f>
        <v>-1457.4</v>
      </c>
      <c r="AG160" s="14">
        <f>'A) Base RI'!AA160</f>
        <v>76184.45</v>
      </c>
      <c r="AH160" s="14">
        <f>'A) Base RI'!AB160</f>
        <v>0</v>
      </c>
      <c r="AI160" s="14">
        <f>'A) Base RI'!AC160</f>
        <v>38875</v>
      </c>
      <c r="AJ160" s="14">
        <f>'A) Base RI'!AD160</f>
        <v>0</v>
      </c>
      <c r="AK160" s="14">
        <f>'A) Base RI'!AE160</f>
        <v>0</v>
      </c>
      <c r="AL160" s="14">
        <f>'A) Base RI'!AF160</f>
        <v>0</v>
      </c>
      <c r="AM160" s="14">
        <f>'A) Base RI'!AG160</f>
        <v>0</v>
      </c>
      <c r="AN160" s="14">
        <f>'A) Base RI'!AH160</f>
        <v>0</v>
      </c>
      <c r="AO160" s="14">
        <f>'A) Base RI'!AI160</f>
        <v>0</v>
      </c>
      <c r="AP160" s="14">
        <f>'A) Base RI'!AJ160</f>
        <v>0</v>
      </c>
      <c r="AQ160" s="14">
        <f>'A) Base RI'!AK160</f>
        <v>0</v>
      </c>
      <c r="AR160" s="14">
        <f>'A) Base RI'!AN160</f>
        <v>564</v>
      </c>
    </row>
    <row r="161" spans="1:44" x14ac:dyDescent="0.25">
      <c r="A161" s="12">
        <f>'A) Base RI'!A161</f>
        <v>5653</v>
      </c>
      <c r="B161" s="42" t="str">
        <f>'A) Base RI'!B161</f>
        <v>Vufflens-le-Château</v>
      </c>
      <c r="C161" s="14">
        <f>'A) Base RI'!C161+'A) Base RI'!D161</f>
        <v>3007865.7199999997</v>
      </c>
      <c r="D161" s="14">
        <f>'A) Base RI'!AO161</f>
        <v>-8565.82</v>
      </c>
      <c r="E161" s="41">
        <f>'A) Base RI'!AP161</f>
        <v>0</v>
      </c>
      <c r="F161" s="41">
        <f>'A) Base RI'!AQ161</f>
        <v>-2688.78</v>
      </c>
      <c r="G161" s="4">
        <f t="shared" si="12"/>
        <v>2996611.12</v>
      </c>
      <c r="H161" s="14">
        <f>'A) Base RI'!E161</f>
        <v>0</v>
      </c>
      <c r="I161" s="14">
        <f>'A) Base RI'!F161</f>
        <v>0</v>
      </c>
      <c r="J161" s="14">
        <f>'A) Base RI'!G161+'A) Base RI'!H161</f>
        <v>4823.6000000000004</v>
      </c>
      <c r="K161" s="14">
        <f>'A) Base RI'!I161</f>
        <v>101621.3</v>
      </c>
      <c r="L161" s="14">
        <f>'A) Base RI'!J161</f>
        <v>-34165.269999999997</v>
      </c>
      <c r="M161" s="14">
        <f>'A) Base RI'!K161</f>
        <v>2764.5</v>
      </c>
      <c r="N161" s="14">
        <f>'A) Base RI'!Q161</f>
        <v>0</v>
      </c>
      <c r="O161" s="14">
        <f t="shared" si="13"/>
        <v>217892.37499999997</v>
      </c>
      <c r="P161" s="14">
        <f>'A) Base RI'!L161</f>
        <v>174313.9</v>
      </c>
      <c r="Q161" s="44">
        <f>'A) Base RI'!AR161</f>
        <v>0.8</v>
      </c>
      <c r="R161" s="4">
        <f t="shared" si="14"/>
        <v>3289547.625</v>
      </c>
      <c r="S161" s="43">
        <f>'A) Base RI'!AM161</f>
        <v>55</v>
      </c>
      <c r="T161" s="4">
        <f t="shared" si="15"/>
        <v>3068890.75</v>
      </c>
      <c r="U161" s="4">
        <f t="shared" si="16"/>
        <v>59809.956818181818</v>
      </c>
      <c r="V161" s="14">
        <f>'A) Base RI'!O161</f>
        <v>0</v>
      </c>
      <c r="W161" s="14">
        <f>'A) Base RI'!P161</f>
        <v>106254.2</v>
      </c>
      <c r="X161" s="14">
        <f>'A) Base RI'!R161</f>
        <v>59381.1</v>
      </c>
      <c r="Y161" s="4">
        <f t="shared" si="17"/>
        <v>165635.29999999999</v>
      </c>
      <c r="Z161" s="14">
        <f>'A) Base RI'!N161</f>
        <v>1822.2</v>
      </c>
      <c r="AA161" s="14">
        <f>'A) Base RI'!S161+'A) Base RI'!T161</f>
        <v>400</v>
      </c>
      <c r="AB161" s="14">
        <f>'A) Base RI'!U161</f>
        <v>5600</v>
      </c>
      <c r="AC161" s="14">
        <f>'A) Base RI'!V161</f>
        <v>0</v>
      </c>
      <c r="AD161" s="14">
        <f>'A) Base RI'!W161</f>
        <v>0</v>
      </c>
      <c r="AE161" s="14">
        <f>'A) Base RI'!Y161</f>
        <v>82136.2</v>
      </c>
      <c r="AF161" s="14">
        <f>'A) Base RI'!Z161</f>
        <v>0</v>
      </c>
      <c r="AG161" s="14">
        <f>'A) Base RI'!AA161</f>
        <v>100498.9</v>
      </c>
      <c r="AH161" s="14">
        <f>'A) Base RI'!AB161</f>
        <v>0</v>
      </c>
      <c r="AI161" s="14">
        <f>'A) Base RI'!AC161</f>
        <v>44764.9</v>
      </c>
      <c r="AJ161" s="14">
        <f>'A) Base RI'!AD161</f>
        <v>0</v>
      </c>
      <c r="AK161" s="14">
        <f>'A) Base RI'!AE161</f>
        <v>0</v>
      </c>
      <c r="AL161" s="14">
        <f>'A) Base RI'!AF161</f>
        <v>0</v>
      </c>
      <c r="AM161" s="14">
        <f>'A) Base RI'!AG161</f>
        <v>0</v>
      </c>
      <c r="AN161" s="14">
        <f>'A) Base RI'!AH161</f>
        <v>0</v>
      </c>
      <c r="AO161" s="14">
        <f>'A) Base RI'!AI161</f>
        <v>0</v>
      </c>
      <c r="AP161" s="14">
        <f>'A) Base RI'!AJ161</f>
        <v>0</v>
      </c>
      <c r="AQ161" s="14">
        <f>'A) Base RI'!AK161</f>
        <v>0</v>
      </c>
      <c r="AR161" s="14">
        <f>'A) Base RI'!AN161</f>
        <v>821</v>
      </c>
    </row>
    <row r="162" spans="1:44" x14ac:dyDescent="0.25">
      <c r="A162" s="12">
        <f>'A) Base RI'!A162</f>
        <v>5654</v>
      </c>
      <c r="B162" s="42" t="str">
        <f>'A) Base RI'!B162</f>
        <v>Vullierens</v>
      </c>
      <c r="C162" s="14">
        <f>'A) Base RI'!C162+'A) Base RI'!D162</f>
        <v>1175545.6300000001</v>
      </c>
      <c r="D162" s="14">
        <f>'A) Base RI'!AO162</f>
        <v>-6531.73</v>
      </c>
      <c r="E162" s="41">
        <f>'A) Base RI'!AP162</f>
        <v>0</v>
      </c>
      <c r="F162" s="41">
        <f>'A) Base RI'!AQ162</f>
        <v>-1165.55</v>
      </c>
      <c r="G162" s="4">
        <f t="shared" si="12"/>
        <v>1167848.3500000001</v>
      </c>
      <c r="H162" s="14">
        <f>'A) Base RI'!E162</f>
        <v>0</v>
      </c>
      <c r="I162" s="14">
        <f>'A) Base RI'!F162</f>
        <v>0</v>
      </c>
      <c r="J162" s="14">
        <f>'A) Base RI'!G162+'A) Base RI'!H162</f>
        <v>26397.550000000003</v>
      </c>
      <c r="K162" s="14">
        <f>'A) Base RI'!I162</f>
        <v>0</v>
      </c>
      <c r="L162" s="14">
        <f>'A) Base RI'!J162</f>
        <v>11184.62</v>
      </c>
      <c r="M162" s="14">
        <f>'A) Base RI'!K162</f>
        <v>729</v>
      </c>
      <c r="N162" s="14">
        <f>'A) Base RI'!Q162</f>
        <v>0</v>
      </c>
      <c r="O162" s="14">
        <f t="shared" si="13"/>
        <v>81956.149999999994</v>
      </c>
      <c r="P162" s="14">
        <f>'A) Base RI'!L162</f>
        <v>81956.149999999994</v>
      </c>
      <c r="Q162" s="44">
        <f>'A) Base RI'!AR162</f>
        <v>1</v>
      </c>
      <c r="R162" s="4">
        <f t="shared" si="14"/>
        <v>1288115.6700000002</v>
      </c>
      <c r="S162" s="43">
        <f>'A) Base RI'!AM162</f>
        <v>76</v>
      </c>
      <c r="T162" s="4">
        <f t="shared" si="15"/>
        <v>1205430.5200000003</v>
      </c>
      <c r="U162" s="4">
        <f t="shared" si="16"/>
        <v>16948.890394736845</v>
      </c>
      <c r="V162" s="14">
        <f>'A) Base RI'!O162</f>
        <v>120000</v>
      </c>
      <c r="W162" s="14">
        <f>'A) Base RI'!P162</f>
        <v>2150.5</v>
      </c>
      <c r="X162" s="14">
        <f>'A) Base RI'!R162</f>
        <v>12917.7</v>
      </c>
      <c r="Y162" s="4">
        <f t="shared" si="17"/>
        <v>135068.20000000001</v>
      </c>
      <c r="Z162" s="14">
        <f>'A) Base RI'!N162</f>
        <v>0</v>
      </c>
      <c r="AA162" s="14">
        <f>'A) Base RI'!S162+'A) Base RI'!T162</f>
        <v>2069.5</v>
      </c>
      <c r="AB162" s="14">
        <f>'A) Base RI'!U162</f>
        <v>3100</v>
      </c>
      <c r="AC162" s="14">
        <f>'A) Base RI'!V162</f>
        <v>0</v>
      </c>
      <c r="AD162" s="14">
        <f>'A) Base RI'!W162</f>
        <v>0</v>
      </c>
      <c r="AE162" s="14">
        <f>'A) Base RI'!Y162</f>
        <v>40000</v>
      </c>
      <c r="AF162" s="14">
        <f>'A) Base RI'!Z162</f>
        <v>0</v>
      </c>
      <c r="AG162" s="14">
        <f>'A) Base RI'!AA162</f>
        <v>144523.95000000001</v>
      </c>
      <c r="AH162" s="14">
        <f>'A) Base RI'!AB162</f>
        <v>0</v>
      </c>
      <c r="AI162" s="14">
        <f>'A) Base RI'!AC162</f>
        <v>19001.45</v>
      </c>
      <c r="AJ162" s="14">
        <f>'A) Base RI'!AD162</f>
        <v>8000</v>
      </c>
      <c r="AK162" s="14">
        <f>'A) Base RI'!AE162</f>
        <v>0</v>
      </c>
      <c r="AL162" s="14">
        <f>'A) Base RI'!AF162</f>
        <v>0</v>
      </c>
      <c r="AM162" s="14">
        <f>'A) Base RI'!AG162</f>
        <v>0</v>
      </c>
      <c r="AN162" s="14">
        <f>'A) Base RI'!AH162</f>
        <v>13536.85</v>
      </c>
      <c r="AO162" s="14">
        <f>'A) Base RI'!AI162</f>
        <v>0</v>
      </c>
      <c r="AP162" s="14">
        <f>'A) Base RI'!AJ162</f>
        <v>0</v>
      </c>
      <c r="AQ162" s="14">
        <f>'A) Base RI'!AK162</f>
        <v>0</v>
      </c>
      <c r="AR162" s="14">
        <f>'A) Base RI'!AN162</f>
        <v>460</v>
      </c>
    </row>
    <row r="163" spans="1:44" x14ac:dyDescent="0.25">
      <c r="A163" s="12">
        <f>'A) Base RI'!A163</f>
        <v>5655</v>
      </c>
      <c r="B163" s="42" t="str">
        <f>'A) Base RI'!B163</f>
        <v>Yens</v>
      </c>
      <c r="C163" s="14">
        <f>'A) Base RI'!C163+'A) Base RI'!D163</f>
        <v>4163833.88</v>
      </c>
      <c r="D163" s="14">
        <f>'A) Base RI'!AO163</f>
        <v>-38671.760000000002</v>
      </c>
      <c r="E163" s="41">
        <f>'A) Base RI'!AP163</f>
        <v>0</v>
      </c>
      <c r="F163" s="41">
        <f>'A) Base RI'!AQ163</f>
        <v>-944.31</v>
      </c>
      <c r="G163" s="4">
        <f t="shared" si="12"/>
        <v>4124217.81</v>
      </c>
      <c r="H163" s="14">
        <f>'A) Base RI'!E163</f>
        <v>0</v>
      </c>
      <c r="I163" s="14">
        <f>'A) Base RI'!F163</f>
        <v>0</v>
      </c>
      <c r="J163" s="14">
        <f>'A) Base RI'!G163+'A) Base RI'!H163</f>
        <v>116120.3</v>
      </c>
      <c r="K163" s="14">
        <f>'A) Base RI'!I163</f>
        <v>256403.75</v>
      </c>
      <c r="L163" s="14">
        <f>'A) Base RI'!J163</f>
        <v>139768.19</v>
      </c>
      <c r="M163" s="14">
        <f>'A) Base RI'!K163</f>
        <v>5616.5</v>
      </c>
      <c r="N163" s="14">
        <f>'A) Base RI'!Q163</f>
        <v>0</v>
      </c>
      <c r="O163" s="14">
        <f t="shared" si="13"/>
        <v>329705.05</v>
      </c>
      <c r="P163" s="14">
        <f>'A) Base RI'!L163</f>
        <v>329705.05</v>
      </c>
      <c r="Q163" s="44">
        <f>'A) Base RI'!AR163</f>
        <v>1</v>
      </c>
      <c r="R163" s="4">
        <f t="shared" si="14"/>
        <v>4971831.6000000006</v>
      </c>
      <c r="S163" s="43">
        <f>'A) Base RI'!AM163</f>
        <v>73</v>
      </c>
      <c r="T163" s="4">
        <f t="shared" si="15"/>
        <v>4636510.0500000007</v>
      </c>
      <c r="U163" s="4">
        <f t="shared" si="16"/>
        <v>68107.282191780832</v>
      </c>
      <c r="V163" s="14">
        <f>'A) Base RI'!O163</f>
        <v>7736.9</v>
      </c>
      <c r="W163" s="14">
        <f>'A) Base RI'!P163</f>
        <v>390493.5</v>
      </c>
      <c r="X163" s="14">
        <f>'A) Base RI'!R163</f>
        <v>403147.95</v>
      </c>
      <c r="Y163" s="4">
        <f t="shared" si="17"/>
        <v>801378.35000000009</v>
      </c>
      <c r="Z163" s="14">
        <f>'A) Base RI'!N163</f>
        <v>51970.45</v>
      </c>
      <c r="AA163" s="14">
        <f>'A) Base RI'!S163+'A) Base RI'!T163</f>
        <v>275</v>
      </c>
      <c r="AB163" s="14">
        <f>'A) Base RI'!U163</f>
        <v>6810</v>
      </c>
      <c r="AC163" s="14">
        <f>'A) Base RI'!V163</f>
        <v>1160</v>
      </c>
      <c r="AD163" s="14">
        <f>'A) Base RI'!W163</f>
        <v>0</v>
      </c>
      <c r="AE163" s="14">
        <f>'A) Base RI'!Y163</f>
        <v>45922.5</v>
      </c>
      <c r="AF163" s="14">
        <f>'A) Base RI'!Z163</f>
        <v>0</v>
      </c>
      <c r="AG163" s="14">
        <f>'A) Base RI'!AA163</f>
        <v>182101.25</v>
      </c>
      <c r="AH163" s="14">
        <f>'A) Base RI'!AB163</f>
        <v>0</v>
      </c>
      <c r="AI163" s="14">
        <f>'A) Base RI'!AC163</f>
        <v>73048.5</v>
      </c>
      <c r="AJ163" s="14">
        <f>'A) Base RI'!AD163</f>
        <v>74984.2</v>
      </c>
      <c r="AK163" s="14">
        <f>'A) Base RI'!AE163</f>
        <v>0</v>
      </c>
      <c r="AL163" s="14">
        <f>'A) Base RI'!AF163</f>
        <v>0</v>
      </c>
      <c r="AM163" s="14">
        <f>'A) Base RI'!AG163</f>
        <v>0</v>
      </c>
      <c r="AN163" s="14">
        <f>'A) Base RI'!AH163</f>
        <v>0</v>
      </c>
      <c r="AO163" s="14">
        <f>'A) Base RI'!AI163</f>
        <v>0</v>
      </c>
      <c r="AP163" s="14">
        <f>'A) Base RI'!AJ163</f>
        <v>0</v>
      </c>
      <c r="AQ163" s="14">
        <f>'A) Base RI'!AK163</f>
        <v>0</v>
      </c>
      <c r="AR163" s="14">
        <f>'A) Base RI'!AN163</f>
        <v>1405</v>
      </c>
    </row>
    <row r="164" spans="1:44" x14ac:dyDescent="0.25">
      <c r="A164" s="12">
        <f>'A) Base RI'!A164</f>
        <v>5661</v>
      </c>
      <c r="B164" s="42" t="str">
        <f>'A) Base RI'!B164</f>
        <v>Boulens</v>
      </c>
      <c r="C164" s="14">
        <f>'A) Base RI'!C164+'A) Base RI'!D164</f>
        <v>529094.52</v>
      </c>
      <c r="D164" s="14">
        <f>'A) Base RI'!AO164</f>
        <v>-18806.599999999999</v>
      </c>
      <c r="E164" s="41">
        <f>'A) Base RI'!AP164</f>
        <v>0</v>
      </c>
      <c r="F164" s="41">
        <f>'A) Base RI'!AQ164</f>
        <v>0</v>
      </c>
      <c r="G164" s="4">
        <f t="shared" si="12"/>
        <v>510287.92000000004</v>
      </c>
      <c r="H164" s="14">
        <f>'A) Base RI'!E164</f>
        <v>0</v>
      </c>
      <c r="I164" s="14">
        <f>'A) Base RI'!F164</f>
        <v>1530</v>
      </c>
      <c r="J164" s="14">
        <f>'A) Base RI'!G164+'A) Base RI'!H164</f>
        <v>16656.3</v>
      </c>
      <c r="K164" s="14">
        <f>'A) Base RI'!I164</f>
        <v>0</v>
      </c>
      <c r="L164" s="14">
        <f>'A) Base RI'!J164</f>
        <v>6417.22</v>
      </c>
      <c r="M164" s="14">
        <f>'A) Base RI'!K164</f>
        <v>312</v>
      </c>
      <c r="N164" s="14">
        <f>'A) Base RI'!Q164</f>
        <v>1200</v>
      </c>
      <c r="O164" s="14">
        <f t="shared" si="13"/>
        <v>38517.1</v>
      </c>
      <c r="P164" s="14">
        <f>'A) Base RI'!L164</f>
        <v>38517.1</v>
      </c>
      <c r="Q164" s="44">
        <f>'A) Base RI'!AR164</f>
        <v>1</v>
      </c>
      <c r="R164" s="4">
        <f t="shared" si="14"/>
        <v>574920.54</v>
      </c>
      <c r="S164" s="43">
        <f>'A) Base RI'!AM164</f>
        <v>79</v>
      </c>
      <c r="T164" s="4">
        <f t="shared" si="15"/>
        <v>534561.44000000006</v>
      </c>
      <c r="U164" s="4">
        <f t="shared" si="16"/>
        <v>7277.4751898734185</v>
      </c>
      <c r="V164" s="14">
        <f>'A) Base RI'!O164</f>
        <v>0</v>
      </c>
      <c r="W164" s="14">
        <f>'A) Base RI'!P164</f>
        <v>21114.5</v>
      </c>
      <c r="X164" s="14">
        <f>'A) Base RI'!R164</f>
        <v>8426.5</v>
      </c>
      <c r="Y164" s="4">
        <f t="shared" si="17"/>
        <v>29541</v>
      </c>
      <c r="Z164" s="14">
        <f>'A) Base RI'!N164</f>
        <v>13789.55</v>
      </c>
      <c r="AA164" s="14">
        <f>'A) Base RI'!S164+'A) Base RI'!T164</f>
        <v>0</v>
      </c>
      <c r="AB164" s="14">
        <f>'A) Base RI'!U164</f>
        <v>1800</v>
      </c>
      <c r="AC164" s="14">
        <f>'A) Base RI'!V164</f>
        <v>0</v>
      </c>
      <c r="AD164" s="14">
        <f>'A) Base RI'!W164</f>
        <v>0</v>
      </c>
      <c r="AE164" s="14">
        <f>'A) Base RI'!Y164</f>
        <v>63000</v>
      </c>
      <c r="AF164" s="14">
        <f>'A) Base RI'!Z164</f>
        <v>0</v>
      </c>
      <c r="AG164" s="14">
        <f>'A) Base RI'!AA164</f>
        <v>29626.85</v>
      </c>
      <c r="AH164" s="14">
        <f>'A) Base RI'!AB164</f>
        <v>0</v>
      </c>
      <c r="AI164" s="14">
        <f>'A) Base RI'!AC164</f>
        <v>23556.799999999999</v>
      </c>
      <c r="AJ164" s="14">
        <f>'A) Base RI'!AD164</f>
        <v>0</v>
      </c>
      <c r="AK164" s="14">
        <f>'A) Base RI'!AE164</f>
        <v>0</v>
      </c>
      <c r="AL164" s="14">
        <f>'A) Base RI'!AF164</f>
        <v>0</v>
      </c>
      <c r="AM164" s="14">
        <f>'A) Base RI'!AG164</f>
        <v>0</v>
      </c>
      <c r="AN164" s="14">
        <f>'A) Base RI'!AH164</f>
        <v>0</v>
      </c>
      <c r="AO164" s="14">
        <f>'A) Base RI'!AI164</f>
        <v>0</v>
      </c>
      <c r="AP164" s="14">
        <f>'A) Base RI'!AJ164</f>
        <v>0</v>
      </c>
      <c r="AQ164" s="14">
        <f>'A) Base RI'!AK164</f>
        <v>0</v>
      </c>
      <c r="AR164" s="14">
        <f>'A) Base RI'!AN164</f>
        <v>325</v>
      </c>
    </row>
    <row r="165" spans="1:44" x14ac:dyDescent="0.25">
      <c r="A165" s="12">
        <f>'A) Base RI'!A165</f>
        <v>5663</v>
      </c>
      <c r="B165" s="42" t="str">
        <f>'A) Base RI'!B165</f>
        <v>Bussy-sur-Moudon</v>
      </c>
      <c r="C165" s="14">
        <f>'A) Base RI'!C165+'A) Base RI'!D165</f>
        <v>371922.11</v>
      </c>
      <c r="D165" s="14">
        <f>'A) Base RI'!AO165</f>
        <v>-2948.65</v>
      </c>
      <c r="E165" s="41">
        <f>'A) Base RI'!AP165</f>
        <v>0</v>
      </c>
      <c r="F165" s="41">
        <f>'A) Base RI'!AQ165</f>
        <v>0</v>
      </c>
      <c r="G165" s="4">
        <f t="shared" si="12"/>
        <v>368973.45999999996</v>
      </c>
      <c r="H165" s="14">
        <f>'A) Base RI'!E165</f>
        <v>0</v>
      </c>
      <c r="I165" s="14">
        <f>'A) Base RI'!F165</f>
        <v>1260</v>
      </c>
      <c r="J165" s="14">
        <f>'A) Base RI'!G165+'A) Base RI'!H165</f>
        <v>6925.8</v>
      </c>
      <c r="K165" s="14">
        <f>'A) Base RI'!I165</f>
        <v>0</v>
      </c>
      <c r="L165" s="14">
        <f>'A) Base RI'!J165</f>
        <v>2558.2600000000002</v>
      </c>
      <c r="M165" s="14">
        <f>'A) Base RI'!K165</f>
        <v>-4752</v>
      </c>
      <c r="N165" s="14">
        <f>'A) Base RI'!Q165</f>
        <v>0</v>
      </c>
      <c r="O165" s="14">
        <f t="shared" si="13"/>
        <v>24962.799999999999</v>
      </c>
      <c r="P165" s="14">
        <f>'A) Base RI'!L165</f>
        <v>24962.799999999999</v>
      </c>
      <c r="Q165" s="44">
        <f>'A) Base RI'!AR165</f>
        <v>1</v>
      </c>
      <c r="R165" s="4">
        <f t="shared" si="14"/>
        <v>399928.31999999995</v>
      </c>
      <c r="S165" s="43">
        <f>'A) Base RI'!AM165</f>
        <v>80</v>
      </c>
      <c r="T165" s="4">
        <f t="shared" si="15"/>
        <v>378457.51999999996</v>
      </c>
      <c r="U165" s="4">
        <f t="shared" si="16"/>
        <v>4999.1039999999994</v>
      </c>
      <c r="V165" s="14">
        <f>'A) Base RI'!O165</f>
        <v>0</v>
      </c>
      <c r="W165" s="14">
        <f>'A) Base RI'!P165</f>
        <v>34419</v>
      </c>
      <c r="X165" s="14">
        <f>'A) Base RI'!R165</f>
        <v>27108.3</v>
      </c>
      <c r="Y165" s="4">
        <f t="shared" si="17"/>
        <v>61527.3</v>
      </c>
      <c r="Z165" s="14">
        <f>'A) Base RI'!N165</f>
        <v>0</v>
      </c>
      <c r="AA165" s="14">
        <f>'A) Base RI'!S165+'A) Base RI'!T165</f>
        <v>0</v>
      </c>
      <c r="AB165" s="14">
        <f>'A) Base RI'!U165</f>
        <v>1320</v>
      </c>
      <c r="AC165" s="14">
        <f>'A) Base RI'!V165</f>
        <v>0</v>
      </c>
      <c r="AD165" s="14">
        <f>'A) Base RI'!W165</f>
        <v>0</v>
      </c>
      <c r="AE165" s="14">
        <f>'A) Base RI'!Y165</f>
        <v>2597</v>
      </c>
      <c r="AF165" s="14">
        <f>'A) Base RI'!Z165</f>
        <v>0</v>
      </c>
      <c r="AG165" s="14">
        <f>'A) Base RI'!AA165</f>
        <v>24083.3</v>
      </c>
      <c r="AH165" s="14">
        <f>'A) Base RI'!AB165</f>
        <v>0</v>
      </c>
      <c r="AI165" s="14">
        <f>'A) Base RI'!AC165</f>
        <v>16885.5</v>
      </c>
      <c r="AJ165" s="14">
        <f>'A) Base RI'!AD165</f>
        <v>0</v>
      </c>
      <c r="AK165" s="14">
        <f>'A) Base RI'!AE165</f>
        <v>0</v>
      </c>
      <c r="AL165" s="14">
        <f>'A) Base RI'!AF165</f>
        <v>0</v>
      </c>
      <c r="AM165" s="14">
        <f>'A) Base RI'!AG165</f>
        <v>0</v>
      </c>
      <c r="AN165" s="14">
        <f>'A) Base RI'!AH165</f>
        <v>0</v>
      </c>
      <c r="AO165" s="14">
        <f>'A) Base RI'!AI165</f>
        <v>0</v>
      </c>
      <c r="AP165" s="14">
        <f>'A) Base RI'!AJ165</f>
        <v>0</v>
      </c>
      <c r="AQ165" s="14">
        <f>'A) Base RI'!AK165</f>
        <v>0</v>
      </c>
      <c r="AR165" s="14">
        <f>'A) Base RI'!AN165</f>
        <v>198</v>
      </c>
    </row>
    <row r="166" spans="1:44" x14ac:dyDescent="0.25">
      <c r="A166" s="12">
        <f>'A) Base RI'!A166</f>
        <v>5665</v>
      </c>
      <c r="B166" s="42" t="str">
        <f>'A) Base RI'!B166</f>
        <v>Chavannes-sur-Moudon</v>
      </c>
      <c r="C166" s="14">
        <f>'A) Base RI'!C166+'A) Base RI'!D166</f>
        <v>322178.01</v>
      </c>
      <c r="D166" s="14">
        <f>'A) Base RI'!AO166</f>
        <v>-493.37</v>
      </c>
      <c r="E166" s="41">
        <f>'A) Base RI'!AP166</f>
        <v>0</v>
      </c>
      <c r="F166" s="41">
        <f>'A) Base RI'!AQ166</f>
        <v>0</v>
      </c>
      <c r="G166" s="4">
        <f t="shared" si="12"/>
        <v>321684.64</v>
      </c>
      <c r="H166" s="14">
        <f>'A) Base RI'!E166</f>
        <v>0</v>
      </c>
      <c r="I166" s="14">
        <f>'A) Base RI'!F166</f>
        <v>0</v>
      </c>
      <c r="J166" s="14">
        <f>'A) Base RI'!G166+'A) Base RI'!H166</f>
        <v>3352.6</v>
      </c>
      <c r="K166" s="14">
        <f>'A) Base RI'!I166</f>
        <v>0</v>
      </c>
      <c r="L166" s="14">
        <f>'A) Base RI'!J166</f>
        <v>457.6</v>
      </c>
      <c r="M166" s="14">
        <f>'A) Base RI'!K166</f>
        <v>4.5</v>
      </c>
      <c r="N166" s="14">
        <f>'A) Base RI'!Q166</f>
        <v>0</v>
      </c>
      <c r="O166" s="14">
        <f t="shared" si="13"/>
        <v>22585.8</v>
      </c>
      <c r="P166" s="14">
        <f>'A) Base RI'!L166</f>
        <v>22585.8</v>
      </c>
      <c r="Q166" s="44">
        <f>'A) Base RI'!AR166</f>
        <v>1</v>
      </c>
      <c r="R166" s="4">
        <f t="shared" si="14"/>
        <v>348085.13999999996</v>
      </c>
      <c r="S166" s="43">
        <f>'A) Base RI'!AM166</f>
        <v>72</v>
      </c>
      <c r="T166" s="4">
        <f t="shared" si="15"/>
        <v>325494.83999999997</v>
      </c>
      <c r="U166" s="4">
        <f t="shared" si="16"/>
        <v>4834.5158333333329</v>
      </c>
      <c r="V166" s="14">
        <f>'A) Base RI'!O166</f>
        <v>0</v>
      </c>
      <c r="W166" s="14">
        <f>'A) Base RI'!P166</f>
        <v>0</v>
      </c>
      <c r="X166" s="14">
        <f>'A) Base RI'!R166</f>
        <v>0</v>
      </c>
      <c r="Y166" s="4">
        <f t="shared" si="17"/>
        <v>0</v>
      </c>
      <c r="Z166" s="14">
        <f>'A) Base RI'!N166</f>
        <v>0</v>
      </c>
      <c r="AA166" s="14">
        <f>'A) Base RI'!S166+'A) Base RI'!T166</f>
        <v>200</v>
      </c>
      <c r="AB166" s="14">
        <f>'A) Base RI'!U166</f>
        <v>720</v>
      </c>
      <c r="AC166" s="14">
        <f>'A) Base RI'!V166</f>
        <v>0</v>
      </c>
      <c r="AD166" s="14">
        <f>'A) Base RI'!W166</f>
        <v>0</v>
      </c>
      <c r="AE166" s="14">
        <f>'A) Base RI'!Y166</f>
        <v>0</v>
      </c>
      <c r="AF166" s="14">
        <f>'A) Base RI'!Z166</f>
        <v>0</v>
      </c>
      <c r="AG166" s="14">
        <f>'A) Base RI'!AA166</f>
        <v>12530.4</v>
      </c>
      <c r="AH166" s="14">
        <f>'A) Base RI'!AB166</f>
        <v>0</v>
      </c>
      <c r="AI166" s="14">
        <f>'A) Base RI'!AC166</f>
        <v>20392.099999999999</v>
      </c>
      <c r="AJ166" s="14">
        <f>'A) Base RI'!AD166</f>
        <v>0</v>
      </c>
      <c r="AK166" s="14">
        <f>'A) Base RI'!AE166</f>
        <v>0</v>
      </c>
      <c r="AL166" s="14">
        <f>'A) Base RI'!AF166</f>
        <v>0</v>
      </c>
      <c r="AM166" s="14">
        <f>'A) Base RI'!AG166</f>
        <v>0</v>
      </c>
      <c r="AN166" s="14">
        <f>'A) Base RI'!AH166</f>
        <v>0</v>
      </c>
      <c r="AO166" s="14">
        <f>'A) Base RI'!AI166</f>
        <v>0</v>
      </c>
      <c r="AP166" s="14">
        <f>'A) Base RI'!AJ166</f>
        <v>0</v>
      </c>
      <c r="AQ166" s="14">
        <f>'A) Base RI'!AK166</f>
        <v>0</v>
      </c>
      <c r="AR166" s="14">
        <f>'A) Base RI'!AN166</f>
        <v>224</v>
      </c>
    </row>
    <row r="167" spans="1:44" x14ac:dyDescent="0.25">
      <c r="A167" s="12">
        <f>'A) Base RI'!A167</f>
        <v>5669</v>
      </c>
      <c r="B167" s="42" t="str">
        <f>'A) Base RI'!B167</f>
        <v>Curtilles</v>
      </c>
      <c r="C167" s="14">
        <f>'A) Base RI'!C167+'A) Base RI'!D167</f>
        <v>562365.46</v>
      </c>
      <c r="D167" s="14">
        <f>'A) Base RI'!AO167</f>
        <v>-6331.51</v>
      </c>
      <c r="E167" s="41">
        <f>'A) Base RI'!AP167</f>
        <v>0</v>
      </c>
      <c r="F167" s="41">
        <f>'A) Base RI'!AQ167</f>
        <v>-88.23</v>
      </c>
      <c r="G167" s="4">
        <f t="shared" si="12"/>
        <v>555945.72</v>
      </c>
      <c r="H167" s="14">
        <f>'A) Base RI'!E167</f>
        <v>0</v>
      </c>
      <c r="I167" s="14">
        <f>'A) Base RI'!F167</f>
        <v>0</v>
      </c>
      <c r="J167" s="14">
        <f>'A) Base RI'!G167+'A) Base RI'!H167</f>
        <v>10351.9</v>
      </c>
      <c r="K167" s="14">
        <f>'A) Base RI'!I167</f>
        <v>0</v>
      </c>
      <c r="L167" s="14">
        <f>'A) Base RI'!J167</f>
        <v>18198.57</v>
      </c>
      <c r="M167" s="14">
        <f>'A) Base RI'!K167</f>
        <v>337</v>
      </c>
      <c r="N167" s="14">
        <f>'A) Base RI'!Q167</f>
        <v>0</v>
      </c>
      <c r="O167" s="14">
        <f t="shared" si="13"/>
        <v>42128.4</v>
      </c>
      <c r="P167" s="14">
        <f>'A) Base RI'!L167</f>
        <v>21064.2</v>
      </c>
      <c r="Q167" s="44">
        <f>'A) Base RI'!AR167</f>
        <v>0.5</v>
      </c>
      <c r="R167" s="4">
        <f t="shared" si="14"/>
        <v>626961.59</v>
      </c>
      <c r="S167" s="43">
        <f>'A) Base RI'!AM167</f>
        <v>72</v>
      </c>
      <c r="T167" s="4">
        <f t="shared" si="15"/>
        <v>584496.18999999994</v>
      </c>
      <c r="U167" s="4">
        <f t="shared" si="16"/>
        <v>8707.7998611111107</v>
      </c>
      <c r="V167" s="14">
        <f>'A) Base RI'!O167</f>
        <v>0</v>
      </c>
      <c r="W167" s="14">
        <f>'A) Base RI'!P167</f>
        <v>45632.4</v>
      </c>
      <c r="X167" s="14">
        <f>'A) Base RI'!R167</f>
        <v>40462.65</v>
      </c>
      <c r="Y167" s="4">
        <f t="shared" si="17"/>
        <v>86095.05</v>
      </c>
      <c r="Z167" s="14">
        <f>'A) Base RI'!N167</f>
        <v>0</v>
      </c>
      <c r="AA167" s="14">
        <f>'A) Base RI'!S167+'A) Base RI'!T167</f>
        <v>140</v>
      </c>
      <c r="AB167" s="14">
        <f>'A) Base RI'!U167</f>
        <v>3600</v>
      </c>
      <c r="AC167" s="14">
        <f>'A) Base RI'!V167</f>
        <v>0</v>
      </c>
      <c r="AD167" s="14">
        <f>'A) Base RI'!W167</f>
        <v>0</v>
      </c>
      <c r="AE167" s="14">
        <f>'A) Base RI'!Y167</f>
        <v>0</v>
      </c>
      <c r="AF167" s="14">
        <f>'A) Base RI'!Z167</f>
        <v>0</v>
      </c>
      <c r="AG167" s="14">
        <f>'A) Base RI'!AA167</f>
        <v>20511.650000000001</v>
      </c>
      <c r="AH167" s="14">
        <f>'A) Base RI'!AB167</f>
        <v>0</v>
      </c>
      <c r="AI167" s="14">
        <f>'A) Base RI'!AC167</f>
        <v>19561.400000000001</v>
      </c>
      <c r="AJ167" s="14">
        <f>'A) Base RI'!AD167</f>
        <v>0</v>
      </c>
      <c r="AK167" s="14">
        <f>'A) Base RI'!AE167</f>
        <v>0</v>
      </c>
      <c r="AL167" s="14">
        <f>'A) Base RI'!AF167</f>
        <v>0</v>
      </c>
      <c r="AM167" s="14">
        <f>'A) Base RI'!AG167</f>
        <v>0</v>
      </c>
      <c r="AN167" s="14">
        <f>'A) Base RI'!AH167</f>
        <v>0</v>
      </c>
      <c r="AO167" s="14">
        <f>'A) Base RI'!AI167</f>
        <v>0</v>
      </c>
      <c r="AP167" s="14">
        <f>'A) Base RI'!AJ167</f>
        <v>0</v>
      </c>
      <c r="AQ167" s="14">
        <f>'A) Base RI'!AK167</f>
        <v>0</v>
      </c>
      <c r="AR167" s="14">
        <f>'A) Base RI'!AN167</f>
        <v>311</v>
      </c>
    </row>
    <row r="168" spans="1:44" x14ac:dyDescent="0.25">
      <c r="A168" s="12">
        <f>'A) Base RI'!A168</f>
        <v>5671</v>
      </c>
      <c r="B168" s="42" t="str">
        <f>'A) Base RI'!B168</f>
        <v>Dompierre</v>
      </c>
      <c r="C168" s="14">
        <f>'A) Base RI'!C168+'A) Base RI'!D168</f>
        <v>435769.08999999997</v>
      </c>
      <c r="D168" s="14">
        <f>'A) Base RI'!AO168</f>
        <v>-1146.17</v>
      </c>
      <c r="E168" s="41">
        <f>'A) Base RI'!AP168</f>
        <v>0</v>
      </c>
      <c r="F168" s="41">
        <f>'A) Base RI'!AQ168</f>
        <v>0</v>
      </c>
      <c r="G168" s="4">
        <f t="shared" si="12"/>
        <v>434622.92</v>
      </c>
      <c r="H168" s="14">
        <f>'A) Base RI'!E168</f>
        <v>0</v>
      </c>
      <c r="I168" s="14">
        <f>'A) Base RI'!F168</f>
        <v>0</v>
      </c>
      <c r="J168" s="14">
        <f>'A) Base RI'!G168+'A) Base RI'!H168</f>
        <v>20690.7</v>
      </c>
      <c r="K168" s="14">
        <f>'A) Base RI'!I168</f>
        <v>0</v>
      </c>
      <c r="L168" s="14">
        <f>'A) Base RI'!J168</f>
        <v>10761.46</v>
      </c>
      <c r="M168" s="14">
        <f>'A) Base RI'!K168</f>
        <v>61.5</v>
      </c>
      <c r="N168" s="14">
        <f>'A) Base RI'!Q168</f>
        <v>0</v>
      </c>
      <c r="O168" s="14">
        <f t="shared" si="13"/>
        <v>31999</v>
      </c>
      <c r="P168" s="14">
        <f>'A) Base RI'!L168</f>
        <v>31999</v>
      </c>
      <c r="Q168" s="44">
        <f>'A) Base RI'!AR168</f>
        <v>1</v>
      </c>
      <c r="R168" s="4">
        <f t="shared" si="14"/>
        <v>498135.58</v>
      </c>
      <c r="S168" s="43">
        <f>'A) Base RI'!AM168</f>
        <v>80</v>
      </c>
      <c r="T168" s="4">
        <f t="shared" si="15"/>
        <v>466075.08</v>
      </c>
      <c r="U168" s="4">
        <f t="shared" si="16"/>
        <v>6226.6947500000006</v>
      </c>
      <c r="V168" s="14">
        <f>'A) Base RI'!O168</f>
        <v>0</v>
      </c>
      <c r="W168" s="14">
        <f>'A) Base RI'!P168</f>
        <v>24709.85</v>
      </c>
      <c r="X168" s="14">
        <f>'A) Base RI'!R168</f>
        <v>36998.449999999997</v>
      </c>
      <c r="Y168" s="4">
        <f t="shared" si="17"/>
        <v>61708.299999999996</v>
      </c>
      <c r="Z168" s="14">
        <f>'A) Base RI'!N168</f>
        <v>0</v>
      </c>
      <c r="AA168" s="14">
        <f>'A) Base RI'!S168+'A) Base RI'!T168</f>
        <v>0</v>
      </c>
      <c r="AB168" s="14">
        <f>'A) Base RI'!U168</f>
        <v>2430</v>
      </c>
      <c r="AC168" s="14">
        <f>'A) Base RI'!V168</f>
        <v>0</v>
      </c>
      <c r="AD168" s="14">
        <f>'A) Base RI'!W168</f>
        <v>0</v>
      </c>
      <c r="AE168" s="14">
        <f>'A) Base RI'!Y168</f>
        <v>0</v>
      </c>
      <c r="AF168" s="14">
        <f>'A) Base RI'!Z168</f>
        <v>0</v>
      </c>
      <c r="AG168" s="14">
        <f>'A) Base RI'!AA168</f>
        <v>0</v>
      </c>
      <c r="AH168" s="14">
        <f>'A) Base RI'!AB168</f>
        <v>11673.8</v>
      </c>
      <c r="AI168" s="14">
        <f>'A) Base RI'!AC168</f>
        <v>15135</v>
      </c>
      <c r="AJ168" s="14">
        <f>'A) Base RI'!AD168</f>
        <v>0</v>
      </c>
      <c r="AK168" s="14">
        <f>'A) Base RI'!AE168</f>
        <v>0</v>
      </c>
      <c r="AL168" s="14">
        <f>'A) Base RI'!AF168</f>
        <v>0</v>
      </c>
      <c r="AM168" s="14">
        <f>'A) Base RI'!AG168</f>
        <v>0</v>
      </c>
      <c r="AN168" s="14">
        <f>'A) Base RI'!AH168</f>
        <v>0</v>
      </c>
      <c r="AO168" s="14">
        <f>'A) Base RI'!AI168</f>
        <v>0</v>
      </c>
      <c r="AP168" s="14">
        <f>'A) Base RI'!AJ168</f>
        <v>0</v>
      </c>
      <c r="AQ168" s="14">
        <f>'A) Base RI'!AK168</f>
        <v>0</v>
      </c>
      <c r="AR168" s="14">
        <f>'A) Base RI'!AN168</f>
        <v>247</v>
      </c>
    </row>
    <row r="169" spans="1:44" x14ac:dyDescent="0.25">
      <c r="A169" s="12">
        <f>'A) Base RI'!A169</f>
        <v>5673</v>
      </c>
      <c r="B169" s="42" t="str">
        <f>'A) Base RI'!B169</f>
        <v>Hermenches</v>
      </c>
      <c r="C169" s="14">
        <f>'A) Base RI'!C169+'A) Base RI'!D169</f>
        <v>617466.73</v>
      </c>
      <c r="D169" s="14">
        <f>'A) Base RI'!AO169</f>
        <v>-12318.87</v>
      </c>
      <c r="E169" s="41">
        <f>'A) Base RI'!AP169</f>
        <v>0</v>
      </c>
      <c r="F169" s="41">
        <f>'A) Base RI'!AQ169</f>
        <v>-9</v>
      </c>
      <c r="G169" s="4">
        <f t="shared" si="12"/>
        <v>605138.86</v>
      </c>
      <c r="H169" s="14">
        <f>'A) Base RI'!E169</f>
        <v>0</v>
      </c>
      <c r="I169" s="14">
        <f>'A) Base RI'!F169</f>
        <v>2050</v>
      </c>
      <c r="J169" s="14">
        <f>'A) Base RI'!G169+'A) Base RI'!H169</f>
        <v>6304.8</v>
      </c>
      <c r="K169" s="14">
        <f>'A) Base RI'!I169</f>
        <v>0</v>
      </c>
      <c r="L169" s="14">
        <f>'A) Base RI'!J169</f>
        <v>8899.26</v>
      </c>
      <c r="M169" s="14">
        <f>'A) Base RI'!K169</f>
        <v>7.5</v>
      </c>
      <c r="N169" s="14">
        <f>'A) Base RI'!Q169</f>
        <v>0</v>
      </c>
      <c r="O169" s="14">
        <f t="shared" si="13"/>
        <v>41671.666666666672</v>
      </c>
      <c r="P169" s="14">
        <f>'A) Base RI'!L169</f>
        <v>25003</v>
      </c>
      <c r="Q169" s="44">
        <f>'A) Base RI'!AR169</f>
        <v>0.6</v>
      </c>
      <c r="R169" s="4">
        <f t="shared" si="14"/>
        <v>664072.08666666667</v>
      </c>
      <c r="S169" s="43">
        <f>'A) Base RI'!AM169</f>
        <v>75</v>
      </c>
      <c r="T169" s="4">
        <f t="shared" si="15"/>
        <v>620342.92000000004</v>
      </c>
      <c r="U169" s="4">
        <f t="shared" si="16"/>
        <v>8854.2944888888887</v>
      </c>
      <c r="V169" s="14">
        <f>'A) Base RI'!O169</f>
        <v>0</v>
      </c>
      <c r="W169" s="14">
        <f>'A) Base RI'!P169</f>
        <v>13329.6</v>
      </c>
      <c r="X169" s="14">
        <f>'A) Base RI'!R169</f>
        <v>43285.8</v>
      </c>
      <c r="Y169" s="4">
        <f t="shared" si="17"/>
        <v>56615.4</v>
      </c>
      <c r="Z169" s="14">
        <f>'A) Base RI'!N169</f>
        <v>7878.25</v>
      </c>
      <c r="AA169" s="14">
        <f>'A) Base RI'!S169+'A) Base RI'!T169</f>
        <v>0</v>
      </c>
      <c r="AB169" s="14">
        <f>'A) Base RI'!U169</f>
        <v>1400</v>
      </c>
      <c r="AC169" s="14">
        <f>'A) Base RI'!V169</f>
        <v>0</v>
      </c>
      <c r="AD169" s="14">
        <f>'A) Base RI'!W169</f>
        <v>0</v>
      </c>
      <c r="AE169" s="14">
        <f>'A) Base RI'!Y169</f>
        <v>3500</v>
      </c>
      <c r="AF169" s="14">
        <f>'A) Base RI'!Z169</f>
        <v>0</v>
      </c>
      <c r="AG169" s="14">
        <f>'A) Base RI'!AA169</f>
        <v>63441.599999999999</v>
      </c>
      <c r="AH169" s="14">
        <f>'A) Base RI'!AB169</f>
        <v>0</v>
      </c>
      <c r="AI169" s="14">
        <f>'A) Base RI'!AC169</f>
        <v>23263.4</v>
      </c>
      <c r="AJ169" s="14">
        <f>'A) Base RI'!AD169</f>
        <v>1960</v>
      </c>
      <c r="AK169" s="14">
        <f>'A) Base RI'!AE169</f>
        <v>7051.45</v>
      </c>
      <c r="AL169" s="14">
        <f>'A) Base RI'!AF169</f>
        <v>0</v>
      </c>
      <c r="AM169" s="14">
        <f>'A) Base RI'!AG169</f>
        <v>0</v>
      </c>
      <c r="AN169" s="14">
        <f>'A) Base RI'!AH169</f>
        <v>0</v>
      </c>
      <c r="AO169" s="14">
        <f>'A) Base RI'!AI169</f>
        <v>0</v>
      </c>
      <c r="AP169" s="14">
        <f>'A) Base RI'!AJ169</f>
        <v>0</v>
      </c>
      <c r="AQ169" s="14">
        <f>'A) Base RI'!AK169</f>
        <v>0</v>
      </c>
      <c r="AR169" s="14">
        <f>'A) Base RI'!AN169</f>
        <v>382</v>
      </c>
    </row>
    <row r="170" spans="1:44" x14ac:dyDescent="0.25">
      <c r="A170" s="12">
        <f>'A) Base RI'!A170</f>
        <v>5674</v>
      </c>
      <c r="B170" s="42" t="str">
        <f>'A) Base RI'!B170</f>
        <v>Lovatens</v>
      </c>
      <c r="C170" s="14">
        <f>'A) Base RI'!C170+'A) Base RI'!D170</f>
        <v>229001.38</v>
      </c>
      <c r="D170" s="14">
        <f>'A) Base RI'!AO170</f>
        <v>-0.27</v>
      </c>
      <c r="E170" s="41">
        <f>'A) Base RI'!AP170</f>
        <v>0</v>
      </c>
      <c r="F170" s="41">
        <f>'A) Base RI'!AQ170</f>
        <v>0</v>
      </c>
      <c r="G170" s="4">
        <f t="shared" si="12"/>
        <v>229001.11000000002</v>
      </c>
      <c r="H170" s="14">
        <f>'A) Base RI'!E170</f>
        <v>0</v>
      </c>
      <c r="I170" s="14">
        <f>'A) Base RI'!F170</f>
        <v>0</v>
      </c>
      <c r="J170" s="14">
        <f>'A) Base RI'!G170+'A) Base RI'!H170</f>
        <v>1157.05</v>
      </c>
      <c r="K170" s="14">
        <f>'A) Base RI'!I170</f>
        <v>0</v>
      </c>
      <c r="L170" s="14">
        <f>'A) Base RI'!J170</f>
        <v>4247.22</v>
      </c>
      <c r="M170" s="14">
        <f>'A) Base RI'!K170</f>
        <v>64</v>
      </c>
      <c r="N170" s="14">
        <f>'A) Base RI'!Q170</f>
        <v>0</v>
      </c>
      <c r="O170" s="14">
        <f t="shared" si="13"/>
        <v>16588</v>
      </c>
      <c r="P170" s="14">
        <f>'A) Base RI'!L170</f>
        <v>11611.6</v>
      </c>
      <c r="Q170" s="44">
        <f>'A) Base RI'!AR170</f>
        <v>0.7</v>
      </c>
      <c r="R170" s="4">
        <f t="shared" si="14"/>
        <v>251057.38</v>
      </c>
      <c r="S170" s="43">
        <f>'A) Base RI'!AM170</f>
        <v>75</v>
      </c>
      <c r="T170" s="4">
        <f t="shared" si="15"/>
        <v>234405.38</v>
      </c>
      <c r="U170" s="4">
        <f t="shared" si="16"/>
        <v>3347.4317333333333</v>
      </c>
      <c r="V170" s="14">
        <f>'A) Base RI'!O170</f>
        <v>2197</v>
      </c>
      <c r="W170" s="14">
        <f>'A) Base RI'!P170</f>
        <v>0</v>
      </c>
      <c r="X170" s="14">
        <f>'A) Base RI'!R170</f>
        <v>0</v>
      </c>
      <c r="Y170" s="4">
        <f t="shared" si="17"/>
        <v>2197</v>
      </c>
      <c r="Z170" s="14">
        <f>'A) Base RI'!N170</f>
        <v>0</v>
      </c>
      <c r="AA170" s="14">
        <f>'A) Base RI'!S170+'A) Base RI'!T170</f>
        <v>0</v>
      </c>
      <c r="AB170" s="14">
        <f>'A) Base RI'!U170</f>
        <v>587.5</v>
      </c>
      <c r="AC170" s="14">
        <f>'A) Base RI'!V170</f>
        <v>0</v>
      </c>
      <c r="AD170" s="14">
        <f>'A) Base RI'!W170</f>
        <v>0</v>
      </c>
      <c r="AE170" s="14">
        <f>'A) Base RI'!Y170</f>
        <v>0</v>
      </c>
      <c r="AF170" s="14">
        <f>'A) Base RI'!Z170</f>
        <v>0</v>
      </c>
      <c r="AG170" s="14">
        <f>'A) Base RI'!AA170</f>
        <v>8135.05</v>
      </c>
      <c r="AH170" s="14">
        <f>'A) Base RI'!AB170</f>
        <v>0</v>
      </c>
      <c r="AI170" s="14">
        <f>'A) Base RI'!AC170</f>
        <v>11603.25</v>
      </c>
      <c r="AJ170" s="14">
        <f>'A) Base RI'!AD170</f>
        <v>0</v>
      </c>
      <c r="AK170" s="14">
        <f>'A) Base RI'!AE170</f>
        <v>0</v>
      </c>
      <c r="AL170" s="14">
        <f>'A) Base RI'!AF170</f>
        <v>0</v>
      </c>
      <c r="AM170" s="14">
        <f>'A) Base RI'!AG170</f>
        <v>0</v>
      </c>
      <c r="AN170" s="14">
        <f>'A) Base RI'!AH170</f>
        <v>3420.55</v>
      </c>
      <c r="AO170" s="14">
        <f>'A) Base RI'!AI170</f>
        <v>0</v>
      </c>
      <c r="AP170" s="14">
        <f>'A) Base RI'!AJ170</f>
        <v>0</v>
      </c>
      <c r="AQ170" s="14">
        <f>'A) Base RI'!AK170</f>
        <v>0</v>
      </c>
      <c r="AR170" s="14">
        <f>'A) Base RI'!AN170</f>
        <v>151</v>
      </c>
    </row>
    <row r="171" spans="1:44" x14ac:dyDescent="0.25">
      <c r="A171" s="12">
        <f>'A) Base RI'!A171</f>
        <v>5675</v>
      </c>
      <c r="B171" s="42" t="str">
        <f>'A) Base RI'!B171</f>
        <v>Lucens</v>
      </c>
      <c r="C171" s="14">
        <f>'A) Base RI'!C171+'A) Base RI'!D171</f>
        <v>4883170.3</v>
      </c>
      <c r="D171" s="14">
        <f>'A) Base RI'!AO171</f>
        <v>-188600.66</v>
      </c>
      <c r="E171" s="41">
        <f>'A) Base RI'!AP171</f>
        <v>0</v>
      </c>
      <c r="F171" s="41">
        <f>'A) Base RI'!AQ171</f>
        <v>-424.61</v>
      </c>
      <c r="G171" s="4">
        <f t="shared" si="12"/>
        <v>4694145.0299999993</v>
      </c>
      <c r="H171" s="14">
        <f>'A) Base RI'!E171</f>
        <v>0</v>
      </c>
      <c r="I171" s="14">
        <f>'A) Base RI'!F171</f>
        <v>0</v>
      </c>
      <c r="J171" s="14">
        <f>'A) Base RI'!G171+'A) Base RI'!H171</f>
        <v>636225.6</v>
      </c>
      <c r="K171" s="14">
        <f>'A) Base RI'!I171</f>
        <v>0</v>
      </c>
      <c r="L171" s="14">
        <f>'A) Base RI'!J171</f>
        <v>311531.03999999998</v>
      </c>
      <c r="M171" s="14">
        <f>'A) Base RI'!K171</f>
        <v>28434</v>
      </c>
      <c r="N171" s="14">
        <f>'A) Base RI'!Q171</f>
        <v>17582.71</v>
      </c>
      <c r="O171" s="14">
        <f t="shared" si="13"/>
        <v>529499</v>
      </c>
      <c r="P171" s="14">
        <f>'A) Base RI'!L171</f>
        <v>529499</v>
      </c>
      <c r="Q171" s="44">
        <f>'A) Base RI'!AR171</f>
        <v>1</v>
      </c>
      <c r="R171" s="4">
        <f t="shared" si="14"/>
        <v>6217417.379999999</v>
      </c>
      <c r="S171" s="43">
        <f>'A) Base RI'!AM171</f>
        <v>67.8</v>
      </c>
      <c r="T171" s="4">
        <f t="shared" si="15"/>
        <v>5659484.379999999</v>
      </c>
      <c r="U171" s="4">
        <f t="shared" si="16"/>
        <v>91702.321238938035</v>
      </c>
      <c r="V171" s="14">
        <f>'A) Base RI'!O171</f>
        <v>37698.199999999997</v>
      </c>
      <c r="W171" s="14">
        <f>'A) Base RI'!P171</f>
        <v>580603.69999999995</v>
      </c>
      <c r="X171" s="14">
        <f>'A) Base RI'!R171</f>
        <v>279415.34999999998</v>
      </c>
      <c r="Y171" s="4">
        <f t="shared" si="17"/>
        <v>897717.24999999988</v>
      </c>
      <c r="Z171" s="14">
        <f>'A) Base RI'!N171</f>
        <v>35023.699999999997</v>
      </c>
      <c r="AA171" s="14">
        <f>'A) Base RI'!S171+'A) Base RI'!T171</f>
        <v>5712.5</v>
      </c>
      <c r="AB171" s="14">
        <f>'A) Base RI'!U171</f>
        <v>23345</v>
      </c>
      <c r="AC171" s="14">
        <f>'A) Base RI'!V171</f>
        <v>0</v>
      </c>
      <c r="AD171" s="14">
        <f>'A) Base RI'!W171</f>
        <v>0</v>
      </c>
      <c r="AE171" s="14">
        <f>'A) Base RI'!Y171</f>
        <v>90927.55</v>
      </c>
      <c r="AF171" s="14">
        <f>'A) Base RI'!Z171</f>
        <v>0</v>
      </c>
      <c r="AG171" s="14">
        <f>'A) Base RI'!AA171</f>
        <v>280197.25</v>
      </c>
      <c r="AH171" s="14">
        <f>'A) Base RI'!AB171</f>
        <v>0</v>
      </c>
      <c r="AI171" s="14">
        <f>'A) Base RI'!AC171</f>
        <v>393736.14999999997</v>
      </c>
      <c r="AJ171" s="14">
        <f>'A) Base RI'!AD171</f>
        <v>57525.05</v>
      </c>
      <c r="AK171" s="14">
        <f>'A) Base RI'!AE171</f>
        <v>0</v>
      </c>
      <c r="AL171" s="14">
        <f>'A) Base RI'!AF171</f>
        <v>0</v>
      </c>
      <c r="AM171" s="14">
        <f>'A) Base RI'!AG171</f>
        <v>0</v>
      </c>
      <c r="AN171" s="14">
        <f>'A) Base RI'!AH171</f>
        <v>397063.15</v>
      </c>
      <c r="AO171" s="14">
        <f>'A) Base RI'!AI171</f>
        <v>0</v>
      </c>
      <c r="AP171" s="14">
        <f>'A) Base RI'!AJ171</f>
        <v>0</v>
      </c>
      <c r="AQ171" s="14">
        <f>'A) Base RI'!AK171</f>
        <v>0</v>
      </c>
      <c r="AR171" s="14">
        <f>'A) Base RI'!AN171</f>
        <v>3890</v>
      </c>
    </row>
    <row r="172" spans="1:44" x14ac:dyDescent="0.25">
      <c r="A172" s="12">
        <f>'A) Base RI'!A172</f>
        <v>5678</v>
      </c>
      <c r="B172" s="42" t="str">
        <f>'A) Base RI'!B172</f>
        <v>Moudon</v>
      </c>
      <c r="C172" s="14">
        <f>'A) Base RI'!C172+'A) Base RI'!D172</f>
        <v>7216119.71</v>
      </c>
      <c r="D172" s="14">
        <f>'A) Base RI'!AO172</f>
        <v>-371272.65</v>
      </c>
      <c r="E172" s="41">
        <f>'A) Base RI'!AP172</f>
        <v>0</v>
      </c>
      <c r="F172" s="41">
        <f>'A) Base RI'!AQ172</f>
        <v>-14695.08</v>
      </c>
      <c r="G172" s="4">
        <f t="shared" si="12"/>
        <v>6830151.9799999995</v>
      </c>
      <c r="H172" s="14">
        <f>'A) Base RI'!E172</f>
        <v>0</v>
      </c>
      <c r="I172" s="14">
        <f>'A) Base RI'!F172</f>
        <v>25150</v>
      </c>
      <c r="J172" s="14">
        <f>'A) Base RI'!G172+'A) Base RI'!H172</f>
        <v>873766.95</v>
      </c>
      <c r="K172" s="14">
        <f>'A) Base RI'!I172</f>
        <v>0</v>
      </c>
      <c r="L172" s="14">
        <f>'A) Base RI'!J172</f>
        <v>586123.5</v>
      </c>
      <c r="M172" s="14">
        <f>'A) Base RI'!K172</f>
        <v>54797.5</v>
      </c>
      <c r="N172" s="14">
        <f>'A) Base RI'!Q172</f>
        <v>83554.350000000006</v>
      </c>
      <c r="O172" s="14">
        <f t="shared" si="13"/>
        <v>700989.95</v>
      </c>
      <c r="P172" s="14">
        <f>'A) Base RI'!L172</f>
        <v>700989.95</v>
      </c>
      <c r="Q172" s="44">
        <f>'A) Base RI'!AR172</f>
        <v>1</v>
      </c>
      <c r="R172" s="4">
        <f t="shared" si="14"/>
        <v>9154534.2299999986</v>
      </c>
      <c r="S172" s="43">
        <f>'A) Base RI'!AM172</f>
        <v>75</v>
      </c>
      <c r="T172" s="4">
        <f t="shared" si="15"/>
        <v>8373596.7799999993</v>
      </c>
      <c r="U172" s="4">
        <f t="shared" si="16"/>
        <v>122060.45639999998</v>
      </c>
      <c r="V172" s="14">
        <f>'A) Base RI'!O172</f>
        <v>106420.8</v>
      </c>
      <c r="W172" s="14">
        <f>'A) Base RI'!P172</f>
        <v>420747.4</v>
      </c>
      <c r="X172" s="14">
        <f>'A) Base RI'!R172</f>
        <v>190961.3</v>
      </c>
      <c r="Y172" s="4">
        <f t="shared" si="17"/>
        <v>718129.5</v>
      </c>
      <c r="Z172" s="14">
        <f>'A) Base RI'!N172</f>
        <v>114233.35</v>
      </c>
      <c r="AA172" s="14">
        <f>'A) Base RI'!S172+'A) Base RI'!T172</f>
        <v>24718.3</v>
      </c>
      <c r="AB172" s="14">
        <f>'A) Base RI'!U172</f>
        <v>32220</v>
      </c>
      <c r="AC172" s="14">
        <f>'A) Base RI'!V172</f>
        <v>20461.25</v>
      </c>
      <c r="AD172" s="14">
        <f>'A) Base RI'!W172</f>
        <v>1021</v>
      </c>
      <c r="AE172" s="14">
        <f>'A) Base RI'!Y172</f>
        <v>34590.699999999997</v>
      </c>
      <c r="AF172" s="14">
        <f>'A) Base RI'!Z172</f>
        <v>0</v>
      </c>
      <c r="AG172" s="14">
        <f>'A) Base RI'!AA172</f>
        <v>857507.2</v>
      </c>
      <c r="AH172" s="14">
        <f>'A) Base RI'!AB172</f>
        <v>0</v>
      </c>
      <c r="AI172" s="14">
        <f>'A) Base RI'!AC172</f>
        <v>559129.26</v>
      </c>
      <c r="AJ172" s="14">
        <f>'A) Base RI'!AD172</f>
        <v>15646.5</v>
      </c>
      <c r="AK172" s="14">
        <f>'A) Base RI'!AE172</f>
        <v>0</v>
      </c>
      <c r="AL172" s="14">
        <f>'A) Base RI'!AF172</f>
        <v>0</v>
      </c>
      <c r="AM172" s="14">
        <f>'A) Base RI'!AG172</f>
        <v>4944.1000000000004</v>
      </c>
      <c r="AN172" s="14">
        <f>'A) Base RI'!AH172</f>
        <v>200359.85</v>
      </c>
      <c r="AO172" s="14">
        <f>'A) Base RI'!AI172</f>
        <v>0</v>
      </c>
      <c r="AP172" s="14">
        <f>'A) Base RI'!AJ172</f>
        <v>0</v>
      </c>
      <c r="AQ172" s="14">
        <f>'A) Base RI'!AK172</f>
        <v>0</v>
      </c>
      <c r="AR172" s="14">
        <f>'A) Base RI'!AN172</f>
        <v>5770</v>
      </c>
    </row>
    <row r="173" spans="1:44" x14ac:dyDescent="0.25">
      <c r="A173" s="12">
        <f>'A) Base RI'!A173</f>
        <v>5680</v>
      </c>
      <c r="B173" s="42" t="str">
        <f>'A) Base RI'!B173</f>
        <v>Ogens</v>
      </c>
      <c r="C173" s="14">
        <f>'A) Base RI'!C173+'A) Base RI'!D173</f>
        <v>588213.80000000005</v>
      </c>
      <c r="D173" s="14">
        <f>'A) Base RI'!AO173</f>
        <v>-2441.46</v>
      </c>
      <c r="E173" s="41">
        <f>'A) Base RI'!AP173</f>
        <v>0</v>
      </c>
      <c r="F173" s="41">
        <f>'A) Base RI'!AQ173</f>
        <v>-4.01</v>
      </c>
      <c r="G173" s="4">
        <f t="shared" si="12"/>
        <v>585768.33000000007</v>
      </c>
      <c r="H173" s="14">
        <f>'A) Base RI'!E173</f>
        <v>0</v>
      </c>
      <c r="I173" s="14">
        <f>'A) Base RI'!F173</f>
        <v>0</v>
      </c>
      <c r="J173" s="14">
        <f>'A) Base RI'!G173+'A) Base RI'!H173</f>
        <v>8594.6999999999989</v>
      </c>
      <c r="K173" s="14">
        <f>'A) Base RI'!I173</f>
        <v>0</v>
      </c>
      <c r="L173" s="14">
        <f>'A) Base RI'!J173</f>
        <v>4274.45</v>
      </c>
      <c r="M173" s="14">
        <f>'A) Base RI'!K173</f>
        <v>55</v>
      </c>
      <c r="N173" s="14">
        <f>'A) Base RI'!Q173</f>
        <v>1790.03</v>
      </c>
      <c r="O173" s="14">
        <f t="shared" si="13"/>
        <v>36260.26666666667</v>
      </c>
      <c r="P173" s="14">
        <f>'A) Base RI'!L173</f>
        <v>54390.400000000001</v>
      </c>
      <c r="Q173" s="44">
        <f>'A) Base RI'!AR173</f>
        <v>1.5</v>
      </c>
      <c r="R173" s="4">
        <f t="shared" si="14"/>
        <v>636742.77666666673</v>
      </c>
      <c r="S173" s="43">
        <f>'A) Base RI'!AM173</f>
        <v>78</v>
      </c>
      <c r="T173" s="4">
        <f t="shared" si="15"/>
        <v>600427.51</v>
      </c>
      <c r="U173" s="4">
        <f t="shared" si="16"/>
        <v>8163.3689316239324</v>
      </c>
      <c r="V173" s="14">
        <f>'A) Base RI'!O173</f>
        <v>4236.8999999999996</v>
      </c>
      <c r="W173" s="14">
        <f>'A) Base RI'!P173</f>
        <v>4620</v>
      </c>
      <c r="X173" s="14">
        <f>'A) Base RI'!R173</f>
        <v>4444.7</v>
      </c>
      <c r="Y173" s="4">
        <f t="shared" si="17"/>
        <v>13301.599999999999</v>
      </c>
      <c r="Z173" s="14">
        <f>'A) Base RI'!N173</f>
        <v>0</v>
      </c>
      <c r="AA173" s="14">
        <f>'A) Base RI'!S173+'A) Base RI'!T173</f>
        <v>30</v>
      </c>
      <c r="AB173" s="14">
        <f>'A) Base RI'!U173</f>
        <v>2300</v>
      </c>
      <c r="AC173" s="14">
        <f>'A) Base RI'!V173</f>
        <v>0</v>
      </c>
      <c r="AD173" s="14">
        <f>'A) Base RI'!W173</f>
        <v>0</v>
      </c>
      <c r="AE173" s="14">
        <f>'A) Base RI'!Y173</f>
        <v>0</v>
      </c>
      <c r="AF173" s="14">
        <f>'A) Base RI'!Z173</f>
        <v>0</v>
      </c>
      <c r="AG173" s="14">
        <f>'A) Base RI'!AA173</f>
        <v>27521.5</v>
      </c>
      <c r="AH173" s="14">
        <f>'A) Base RI'!AB173</f>
        <v>0</v>
      </c>
      <c r="AI173" s="14">
        <f>'A) Base RI'!AC173</f>
        <v>15496.65</v>
      </c>
      <c r="AJ173" s="14">
        <f>'A) Base RI'!AD173</f>
        <v>0</v>
      </c>
      <c r="AK173" s="14">
        <f>'A) Base RI'!AE173</f>
        <v>0</v>
      </c>
      <c r="AL173" s="14">
        <f>'A) Base RI'!AF173</f>
        <v>0</v>
      </c>
      <c r="AM173" s="14">
        <f>'A) Base RI'!AG173</f>
        <v>0</v>
      </c>
      <c r="AN173" s="14">
        <f>'A) Base RI'!AH173</f>
        <v>5454.6</v>
      </c>
      <c r="AO173" s="14">
        <f>'A) Base RI'!AI173</f>
        <v>0</v>
      </c>
      <c r="AP173" s="14">
        <f>'A) Base RI'!AJ173</f>
        <v>0</v>
      </c>
      <c r="AQ173" s="14">
        <f>'A) Base RI'!AK173</f>
        <v>0</v>
      </c>
      <c r="AR173" s="14">
        <f>'A) Base RI'!AN173</f>
        <v>283</v>
      </c>
    </row>
    <row r="174" spans="1:44" x14ac:dyDescent="0.25">
      <c r="A174" s="12">
        <f>'A) Base RI'!A174</f>
        <v>5683</v>
      </c>
      <c r="B174" s="42" t="str">
        <f>'A) Base RI'!B174</f>
        <v>Prévonloup</v>
      </c>
      <c r="C174" s="14">
        <f>'A) Base RI'!C174+'A) Base RI'!D174</f>
        <v>250929.01</v>
      </c>
      <c r="D174" s="14">
        <f>'A) Base RI'!AO174</f>
        <v>-32226</v>
      </c>
      <c r="E174" s="41">
        <f>'A) Base RI'!AP174</f>
        <v>0</v>
      </c>
      <c r="F174" s="41">
        <f>'A) Base RI'!AQ174</f>
        <v>0</v>
      </c>
      <c r="G174" s="4">
        <f t="shared" si="12"/>
        <v>218703.01</v>
      </c>
      <c r="H174" s="14">
        <f>'A) Base RI'!E174</f>
        <v>0</v>
      </c>
      <c r="I174" s="14">
        <f>'A) Base RI'!F174</f>
        <v>0</v>
      </c>
      <c r="J174" s="14">
        <f>'A) Base RI'!G174+'A) Base RI'!H174</f>
        <v>19437.349999999999</v>
      </c>
      <c r="K174" s="14">
        <f>'A) Base RI'!I174</f>
        <v>0</v>
      </c>
      <c r="L174" s="14">
        <f>'A) Base RI'!J174</f>
        <v>10233.530000000001</v>
      </c>
      <c r="M174" s="14">
        <f>'A) Base RI'!K174</f>
        <v>28</v>
      </c>
      <c r="N174" s="14">
        <f>'A) Base RI'!Q174</f>
        <v>0</v>
      </c>
      <c r="O174" s="14">
        <f t="shared" si="13"/>
        <v>19367.25</v>
      </c>
      <c r="P174" s="14">
        <f>'A) Base RI'!L174</f>
        <v>19367.25</v>
      </c>
      <c r="Q174" s="44">
        <f>'A) Base RI'!AR174</f>
        <v>1</v>
      </c>
      <c r="R174" s="4">
        <f t="shared" si="14"/>
        <v>267769.14</v>
      </c>
      <c r="S174" s="43">
        <f>'A) Base RI'!AM174</f>
        <v>74</v>
      </c>
      <c r="T174" s="4">
        <f t="shared" si="15"/>
        <v>248373.89</v>
      </c>
      <c r="U174" s="4">
        <f t="shared" si="16"/>
        <v>3618.5018918918922</v>
      </c>
      <c r="V174" s="14">
        <f>'A) Base RI'!O174</f>
        <v>0</v>
      </c>
      <c r="W174" s="14">
        <f>'A) Base RI'!P174</f>
        <v>6648.4</v>
      </c>
      <c r="X174" s="14">
        <f>'A) Base RI'!R174</f>
        <v>8668.7000000000007</v>
      </c>
      <c r="Y174" s="4">
        <f t="shared" si="17"/>
        <v>15317.1</v>
      </c>
      <c r="Z174" s="14">
        <f>'A) Base RI'!N174</f>
        <v>0</v>
      </c>
      <c r="AA174" s="14">
        <f>'A) Base RI'!S174+'A) Base RI'!T174</f>
        <v>0</v>
      </c>
      <c r="AB174" s="14">
        <f>'A) Base RI'!U174</f>
        <v>1100</v>
      </c>
      <c r="AC174" s="14">
        <f>'A) Base RI'!V174</f>
        <v>0</v>
      </c>
      <c r="AD174" s="14">
        <f>'A) Base RI'!W174</f>
        <v>0</v>
      </c>
      <c r="AE174" s="14">
        <f>'A) Base RI'!Y174</f>
        <v>0</v>
      </c>
      <c r="AF174" s="14">
        <f>'A) Base RI'!Z174</f>
        <v>0</v>
      </c>
      <c r="AG174" s="14">
        <f>'A) Base RI'!AA174</f>
        <v>9571.25</v>
      </c>
      <c r="AH174" s="14">
        <f>'A) Base RI'!AB174</f>
        <v>4133.8999999999996</v>
      </c>
      <c r="AI174" s="14">
        <f>'A) Base RI'!AC174</f>
        <v>8223.75</v>
      </c>
      <c r="AJ174" s="14">
        <f>'A) Base RI'!AD174</f>
        <v>0</v>
      </c>
      <c r="AK174" s="14">
        <f>'A) Base RI'!AE174</f>
        <v>0</v>
      </c>
      <c r="AL174" s="14">
        <f>'A) Base RI'!AF174</f>
        <v>0</v>
      </c>
      <c r="AM174" s="14">
        <f>'A) Base RI'!AG174</f>
        <v>0</v>
      </c>
      <c r="AN174" s="14">
        <f>'A) Base RI'!AH174</f>
        <v>0</v>
      </c>
      <c r="AO174" s="14">
        <f>'A) Base RI'!AI174</f>
        <v>0</v>
      </c>
      <c r="AP174" s="14">
        <f>'A) Base RI'!AJ174</f>
        <v>0</v>
      </c>
      <c r="AQ174" s="14">
        <f>'A) Base RI'!AK174</f>
        <v>0</v>
      </c>
      <c r="AR174" s="14">
        <f>'A) Base RI'!AN174</f>
        <v>172</v>
      </c>
    </row>
    <row r="175" spans="1:44" x14ac:dyDescent="0.25">
      <c r="A175" s="12">
        <f>'A) Base RI'!A175</f>
        <v>5684</v>
      </c>
      <c r="B175" s="42" t="str">
        <f>'A) Base RI'!B175</f>
        <v>Rossenges</v>
      </c>
      <c r="C175" s="14">
        <f>'A) Base RI'!C175+'A) Base RI'!D175</f>
        <v>148091.29</v>
      </c>
      <c r="D175" s="14">
        <f>'A) Base RI'!AO175</f>
        <v>-171.92</v>
      </c>
      <c r="E175" s="41">
        <f>'A) Base RI'!AP175</f>
        <v>0</v>
      </c>
      <c r="F175" s="41">
        <f>'A) Base RI'!AQ175</f>
        <v>-0.79</v>
      </c>
      <c r="G175" s="4">
        <f t="shared" si="12"/>
        <v>147918.57999999999</v>
      </c>
      <c r="H175" s="14">
        <f>'A) Base RI'!E175</f>
        <v>0</v>
      </c>
      <c r="I175" s="14">
        <f>'A) Base RI'!F175</f>
        <v>0</v>
      </c>
      <c r="J175" s="14">
        <f>'A) Base RI'!G175+'A) Base RI'!H175</f>
        <v>1285.8</v>
      </c>
      <c r="K175" s="14">
        <f>'A) Base RI'!I175</f>
        <v>0</v>
      </c>
      <c r="L175" s="14">
        <f>'A) Base RI'!J175</f>
        <v>0</v>
      </c>
      <c r="M175" s="14">
        <f>'A) Base RI'!K175</f>
        <v>0</v>
      </c>
      <c r="N175" s="14">
        <f>'A) Base RI'!Q175</f>
        <v>0</v>
      </c>
      <c r="O175" s="14">
        <f t="shared" si="13"/>
        <v>7500</v>
      </c>
      <c r="P175" s="14">
        <f>'A) Base RI'!L175</f>
        <v>6000</v>
      </c>
      <c r="Q175" s="44">
        <f>'A) Base RI'!AR175</f>
        <v>0.8</v>
      </c>
      <c r="R175" s="4">
        <f t="shared" si="14"/>
        <v>156704.37999999998</v>
      </c>
      <c r="S175" s="43">
        <f>'A) Base RI'!AM175</f>
        <v>60</v>
      </c>
      <c r="T175" s="4">
        <f t="shared" si="15"/>
        <v>149204.37999999998</v>
      </c>
      <c r="U175" s="4">
        <f t="shared" si="16"/>
        <v>2611.7396666666664</v>
      </c>
      <c r="V175" s="14">
        <f>'A) Base RI'!O175</f>
        <v>0</v>
      </c>
      <c r="W175" s="14">
        <f>'A) Base RI'!P175</f>
        <v>0</v>
      </c>
      <c r="X175" s="14">
        <f>'A) Base RI'!R175</f>
        <v>0</v>
      </c>
      <c r="Y175" s="4">
        <f t="shared" si="17"/>
        <v>0</v>
      </c>
      <c r="Z175" s="14">
        <f>'A) Base RI'!N175</f>
        <v>0</v>
      </c>
      <c r="AA175" s="14">
        <f>'A) Base RI'!S175+'A) Base RI'!T175</f>
        <v>0</v>
      </c>
      <c r="AB175" s="14">
        <f>'A) Base RI'!U175</f>
        <v>20</v>
      </c>
      <c r="AC175" s="14">
        <f>'A) Base RI'!V175</f>
        <v>0</v>
      </c>
      <c r="AD175" s="14">
        <f>'A) Base RI'!W175</f>
        <v>0</v>
      </c>
      <c r="AE175" s="14">
        <f>'A) Base RI'!Y175</f>
        <v>0</v>
      </c>
      <c r="AF175" s="14">
        <f>'A) Base RI'!Z175</f>
        <v>0</v>
      </c>
      <c r="AG175" s="14">
        <f>'A) Base RI'!AA175</f>
        <v>2000</v>
      </c>
      <c r="AH175" s="14">
        <f>'A) Base RI'!AB175</f>
        <v>0</v>
      </c>
      <c r="AI175" s="14">
        <f>'A) Base RI'!AC175</f>
        <v>8284</v>
      </c>
      <c r="AJ175" s="14">
        <f>'A) Base RI'!AD175</f>
        <v>0</v>
      </c>
      <c r="AK175" s="14">
        <f>'A) Base RI'!AE175</f>
        <v>0</v>
      </c>
      <c r="AL175" s="14">
        <f>'A) Base RI'!AF175</f>
        <v>0</v>
      </c>
      <c r="AM175" s="14">
        <f>'A) Base RI'!AG175</f>
        <v>0</v>
      </c>
      <c r="AN175" s="14">
        <f>'A) Base RI'!AH175</f>
        <v>0</v>
      </c>
      <c r="AO175" s="14">
        <f>'A) Base RI'!AI175</f>
        <v>0</v>
      </c>
      <c r="AP175" s="14">
        <f>'A) Base RI'!AJ175</f>
        <v>0</v>
      </c>
      <c r="AQ175" s="14">
        <f>'A) Base RI'!AK175</f>
        <v>0</v>
      </c>
      <c r="AR175" s="14">
        <f>'A) Base RI'!AN175</f>
        <v>65</v>
      </c>
    </row>
    <row r="176" spans="1:44" x14ac:dyDescent="0.25">
      <c r="A176" s="12">
        <f>'A) Base RI'!A176</f>
        <v>5688</v>
      </c>
      <c r="B176" s="42" t="str">
        <f>'A) Base RI'!B176</f>
        <v>Syens</v>
      </c>
      <c r="C176" s="14">
        <f>'A) Base RI'!C176+'A) Base RI'!D176</f>
        <v>321565.88</v>
      </c>
      <c r="D176" s="14">
        <f>'A) Base RI'!AO176</f>
        <v>-2154.29</v>
      </c>
      <c r="E176" s="41">
        <f>'A) Base RI'!AP176</f>
        <v>0</v>
      </c>
      <c r="F176" s="41">
        <f>'A) Base RI'!AQ176</f>
        <v>0</v>
      </c>
      <c r="G176" s="4">
        <f t="shared" si="12"/>
        <v>319411.59000000003</v>
      </c>
      <c r="H176" s="14">
        <f>'A) Base RI'!E176</f>
        <v>0</v>
      </c>
      <c r="I176" s="14">
        <f>'A) Base RI'!F176</f>
        <v>0</v>
      </c>
      <c r="J176" s="14">
        <f>'A) Base RI'!G176+'A) Base RI'!H176</f>
        <v>46672.600000000006</v>
      </c>
      <c r="K176" s="14">
        <f>'A) Base RI'!I176</f>
        <v>0</v>
      </c>
      <c r="L176" s="14">
        <f>'A) Base RI'!J176</f>
        <v>19968.03</v>
      </c>
      <c r="M176" s="14">
        <f>'A) Base RI'!K176</f>
        <v>348</v>
      </c>
      <c r="N176" s="14">
        <f>'A) Base RI'!Q176</f>
        <v>2144.52</v>
      </c>
      <c r="O176" s="14">
        <f t="shared" si="13"/>
        <v>18609.400000000001</v>
      </c>
      <c r="P176" s="14">
        <f>'A) Base RI'!L176</f>
        <v>18609.400000000001</v>
      </c>
      <c r="Q176" s="44">
        <f>'A) Base RI'!AR176</f>
        <v>1</v>
      </c>
      <c r="R176" s="4">
        <f t="shared" si="14"/>
        <v>407154.14000000013</v>
      </c>
      <c r="S176" s="43">
        <f>'A) Base RI'!AM176</f>
        <v>75.599999999999994</v>
      </c>
      <c r="T176" s="4">
        <f t="shared" si="15"/>
        <v>388196.74000000011</v>
      </c>
      <c r="U176" s="4">
        <f t="shared" si="16"/>
        <v>5385.636772486775</v>
      </c>
      <c r="V176" s="14">
        <f>'A) Base RI'!O176</f>
        <v>0</v>
      </c>
      <c r="W176" s="14">
        <f>'A) Base RI'!P176</f>
        <v>22889.1</v>
      </c>
      <c r="X176" s="14">
        <f>'A) Base RI'!R176</f>
        <v>5384.15</v>
      </c>
      <c r="Y176" s="4">
        <f t="shared" si="17"/>
        <v>28273.25</v>
      </c>
      <c r="Z176" s="14">
        <f>'A) Base RI'!N176</f>
        <v>0</v>
      </c>
      <c r="AA176" s="14">
        <f>'A) Base RI'!S176+'A) Base RI'!T176</f>
        <v>0</v>
      </c>
      <c r="AB176" s="14">
        <f>'A) Base RI'!U176</f>
        <v>360</v>
      </c>
      <c r="AC176" s="14">
        <f>'A) Base RI'!V176</f>
        <v>0</v>
      </c>
      <c r="AD176" s="14">
        <f>'A) Base RI'!W176</f>
        <v>0</v>
      </c>
      <c r="AE176" s="14">
        <f>'A) Base RI'!Y176</f>
        <v>14200</v>
      </c>
      <c r="AF176" s="14">
        <f>'A) Base RI'!Z176</f>
        <v>0</v>
      </c>
      <c r="AG176" s="14">
        <f>'A) Base RI'!AA176</f>
        <v>6255</v>
      </c>
      <c r="AH176" s="14">
        <f>'A) Base RI'!AB176</f>
        <v>0</v>
      </c>
      <c r="AI176" s="14">
        <f>'A) Base RI'!AC176</f>
        <v>13370.55</v>
      </c>
      <c r="AJ176" s="14">
        <f>'A) Base RI'!AD176</f>
        <v>0</v>
      </c>
      <c r="AK176" s="14">
        <f>'A) Base RI'!AE176</f>
        <v>0</v>
      </c>
      <c r="AL176" s="14">
        <f>'A) Base RI'!AF176</f>
        <v>0</v>
      </c>
      <c r="AM176" s="14">
        <f>'A) Base RI'!AG176</f>
        <v>0</v>
      </c>
      <c r="AN176" s="14">
        <f>'A) Base RI'!AH176</f>
        <v>0</v>
      </c>
      <c r="AO176" s="14">
        <f>'A) Base RI'!AI176</f>
        <v>0</v>
      </c>
      <c r="AP176" s="14">
        <f>'A) Base RI'!AJ176</f>
        <v>0</v>
      </c>
      <c r="AQ176" s="14">
        <f>'A) Base RI'!AK176</f>
        <v>0</v>
      </c>
      <c r="AR176" s="14">
        <f>'A) Base RI'!AN176</f>
        <v>139</v>
      </c>
    </row>
    <row r="177" spans="1:44" x14ac:dyDescent="0.25">
      <c r="A177" s="12">
        <f>'A) Base RI'!A177</f>
        <v>5690</v>
      </c>
      <c r="B177" s="42" t="str">
        <f>'A) Base RI'!B177</f>
        <v>Villars-le-Comte</v>
      </c>
      <c r="C177" s="14">
        <f>'A) Base RI'!C177+'A) Base RI'!D177</f>
        <v>237193.93</v>
      </c>
      <c r="D177" s="14">
        <f>'A) Base RI'!AO177</f>
        <v>-522.66999999999996</v>
      </c>
      <c r="E177" s="41">
        <f>'A) Base RI'!AP177</f>
        <v>0</v>
      </c>
      <c r="F177" s="41">
        <f>'A) Base RI'!AQ177</f>
        <v>0</v>
      </c>
      <c r="G177" s="4">
        <f t="shared" si="12"/>
        <v>236671.25999999998</v>
      </c>
      <c r="H177" s="14">
        <f>'A) Base RI'!E177</f>
        <v>0</v>
      </c>
      <c r="I177" s="14">
        <f>'A) Base RI'!F177</f>
        <v>880</v>
      </c>
      <c r="J177" s="14">
        <f>'A) Base RI'!G177+'A) Base RI'!H177</f>
        <v>779.95</v>
      </c>
      <c r="K177" s="14">
        <f>'A) Base RI'!I177</f>
        <v>0</v>
      </c>
      <c r="L177" s="14">
        <f>'A) Base RI'!J177</f>
        <v>0</v>
      </c>
      <c r="M177" s="14">
        <f>'A) Base RI'!K177</f>
        <v>184</v>
      </c>
      <c r="N177" s="14">
        <f>'A) Base RI'!Q177</f>
        <v>0</v>
      </c>
      <c r="O177" s="14">
        <f t="shared" si="13"/>
        <v>18034.100000000002</v>
      </c>
      <c r="P177" s="14">
        <f>'A) Base RI'!L177</f>
        <v>27051.15</v>
      </c>
      <c r="Q177" s="44">
        <f>'A) Base RI'!AR177</f>
        <v>1.5</v>
      </c>
      <c r="R177" s="4">
        <f t="shared" si="14"/>
        <v>256549.31</v>
      </c>
      <c r="S177" s="43">
        <f>'A) Base RI'!AM177</f>
        <v>76</v>
      </c>
      <c r="T177" s="4">
        <f t="shared" si="15"/>
        <v>237451.21</v>
      </c>
      <c r="U177" s="4">
        <f t="shared" si="16"/>
        <v>3375.6488157894737</v>
      </c>
      <c r="V177" s="14">
        <f>'A) Base RI'!O177</f>
        <v>238.4</v>
      </c>
      <c r="W177" s="14">
        <f>'A) Base RI'!P177</f>
        <v>3668.15</v>
      </c>
      <c r="X177" s="14">
        <f>'A) Base RI'!R177</f>
        <v>9516.7000000000007</v>
      </c>
      <c r="Y177" s="4">
        <f t="shared" si="17"/>
        <v>13423.25</v>
      </c>
      <c r="Z177" s="14">
        <f>'A) Base RI'!N177</f>
        <v>0</v>
      </c>
      <c r="AA177" s="14">
        <f>'A) Base RI'!S177+'A) Base RI'!T177</f>
        <v>0</v>
      </c>
      <c r="AB177" s="14">
        <f>'A) Base RI'!U177</f>
        <v>650</v>
      </c>
      <c r="AC177" s="14">
        <f>'A) Base RI'!V177</f>
        <v>0</v>
      </c>
      <c r="AD177" s="14">
        <f>'A) Base RI'!W177</f>
        <v>0</v>
      </c>
      <c r="AE177" s="14">
        <f>'A) Base RI'!Y177</f>
        <v>0</v>
      </c>
      <c r="AF177" s="14">
        <f>'A) Base RI'!Z177</f>
        <v>0</v>
      </c>
      <c r="AG177" s="14">
        <f>'A) Base RI'!AA177</f>
        <v>22984.5</v>
      </c>
      <c r="AH177" s="14">
        <f>'A) Base RI'!AB177</f>
        <v>0</v>
      </c>
      <c r="AI177" s="14">
        <f>'A) Base RI'!AC177</f>
        <v>16638.75</v>
      </c>
      <c r="AJ177" s="14">
        <f>'A) Base RI'!AD177</f>
        <v>0</v>
      </c>
      <c r="AK177" s="14">
        <f>'A) Base RI'!AE177</f>
        <v>0</v>
      </c>
      <c r="AL177" s="14">
        <f>'A) Base RI'!AF177</f>
        <v>0</v>
      </c>
      <c r="AM177" s="14">
        <f>'A) Base RI'!AG177</f>
        <v>0</v>
      </c>
      <c r="AN177" s="14">
        <f>'A) Base RI'!AH177</f>
        <v>0</v>
      </c>
      <c r="AO177" s="14">
        <f>'A) Base RI'!AI177</f>
        <v>0</v>
      </c>
      <c r="AP177" s="14">
        <f>'A) Base RI'!AJ177</f>
        <v>0</v>
      </c>
      <c r="AQ177" s="14">
        <f>'A) Base RI'!AK177</f>
        <v>0</v>
      </c>
      <c r="AR177" s="14">
        <f>'A) Base RI'!AN177</f>
        <v>150</v>
      </c>
    </row>
    <row r="178" spans="1:44" x14ac:dyDescent="0.25">
      <c r="A178" s="12">
        <f>'A) Base RI'!A178</f>
        <v>5692</v>
      </c>
      <c r="B178" s="42" t="str">
        <f>'A) Base RI'!B178</f>
        <v>Vucherens</v>
      </c>
      <c r="C178" s="14">
        <f>'A) Base RI'!C178+'A) Base RI'!D178</f>
        <v>1108721.79</v>
      </c>
      <c r="D178" s="14">
        <f>'A) Base RI'!AO178</f>
        <v>-16941.66</v>
      </c>
      <c r="E178" s="41">
        <f>'A) Base RI'!AP178</f>
        <v>0</v>
      </c>
      <c r="F178" s="41">
        <f>'A) Base RI'!AQ178</f>
        <v>-800.5</v>
      </c>
      <c r="G178" s="4">
        <f t="shared" si="12"/>
        <v>1090979.6300000001</v>
      </c>
      <c r="H178" s="14">
        <f>'A) Base RI'!E178</f>
        <v>0</v>
      </c>
      <c r="I178" s="14">
        <f>'A) Base RI'!F178</f>
        <v>0</v>
      </c>
      <c r="J178" s="14">
        <f>'A) Base RI'!G178+'A) Base RI'!H178</f>
        <v>6089.3</v>
      </c>
      <c r="K178" s="14">
        <f>'A) Base RI'!I178</f>
        <v>0</v>
      </c>
      <c r="L178" s="14">
        <f>'A) Base RI'!J178</f>
        <v>16857.55</v>
      </c>
      <c r="M178" s="14">
        <f>'A) Base RI'!K178</f>
        <v>310</v>
      </c>
      <c r="N178" s="14">
        <f>'A) Base RI'!Q178</f>
        <v>1450.55</v>
      </c>
      <c r="O178" s="14">
        <f t="shared" si="13"/>
        <v>79258.149999999994</v>
      </c>
      <c r="P178" s="14">
        <f>'A) Base RI'!L178</f>
        <v>79258.149999999994</v>
      </c>
      <c r="Q178" s="44">
        <f>'A) Base RI'!AR178</f>
        <v>1</v>
      </c>
      <c r="R178" s="4">
        <f t="shared" si="14"/>
        <v>1194945.1800000002</v>
      </c>
      <c r="S178" s="43">
        <f>'A) Base RI'!AM178</f>
        <v>79</v>
      </c>
      <c r="T178" s="4">
        <f t="shared" si="15"/>
        <v>1115377.0300000003</v>
      </c>
      <c r="U178" s="4">
        <f t="shared" si="16"/>
        <v>15125.888354430383</v>
      </c>
      <c r="V178" s="14">
        <f>'A) Base RI'!O178</f>
        <v>5417.2</v>
      </c>
      <c r="W178" s="14">
        <f>'A) Base RI'!P178</f>
        <v>29387.599999999999</v>
      </c>
      <c r="X178" s="14">
        <f>'A) Base RI'!R178</f>
        <v>42551.05</v>
      </c>
      <c r="Y178" s="4">
        <f t="shared" si="17"/>
        <v>77355.850000000006</v>
      </c>
      <c r="Z178" s="14">
        <f>'A) Base RI'!N178</f>
        <v>6328.2</v>
      </c>
      <c r="AA178" s="14">
        <f>'A) Base RI'!S178+'A) Base RI'!T178</f>
        <v>480</v>
      </c>
      <c r="AB178" s="14">
        <f>'A) Base RI'!U178</f>
        <v>5750</v>
      </c>
      <c r="AC178" s="14">
        <f>'A) Base RI'!V178</f>
        <v>0</v>
      </c>
      <c r="AD178" s="14">
        <f>'A) Base RI'!W178</f>
        <v>0</v>
      </c>
      <c r="AE178" s="14">
        <f>'A) Base RI'!Y178</f>
        <v>-7583.1</v>
      </c>
      <c r="AF178" s="14">
        <f>'A) Base RI'!Z178</f>
        <v>0</v>
      </c>
      <c r="AG178" s="14">
        <f>'A) Base RI'!AA178</f>
        <v>74235</v>
      </c>
      <c r="AH178" s="14">
        <f>'A) Base RI'!AB178</f>
        <v>0</v>
      </c>
      <c r="AI178" s="14">
        <f>'A) Base RI'!AC178</f>
        <v>32666.75</v>
      </c>
      <c r="AJ178" s="14">
        <f>'A) Base RI'!AD178</f>
        <v>-28957.95</v>
      </c>
      <c r="AK178" s="14">
        <f>'A) Base RI'!AE178</f>
        <v>0</v>
      </c>
      <c r="AL178" s="14">
        <f>'A) Base RI'!AF178</f>
        <v>0</v>
      </c>
      <c r="AM178" s="14">
        <f>'A) Base RI'!AG178</f>
        <v>0</v>
      </c>
      <c r="AN178" s="14">
        <f>'A) Base RI'!AH178</f>
        <v>0</v>
      </c>
      <c r="AO178" s="14">
        <f>'A) Base RI'!AI178</f>
        <v>0</v>
      </c>
      <c r="AP178" s="14">
        <f>'A) Base RI'!AJ178</f>
        <v>9646.0499999999993</v>
      </c>
      <c r="AQ178" s="14">
        <f>'A) Base RI'!AK178</f>
        <v>0</v>
      </c>
      <c r="AR178" s="14">
        <f>'A) Base RI'!AN178</f>
        <v>543</v>
      </c>
    </row>
    <row r="179" spans="1:44" x14ac:dyDescent="0.25">
      <c r="A179" s="12">
        <f>'A) Base RI'!A179</f>
        <v>5693</v>
      </c>
      <c r="B179" s="42" t="str">
        <f>'A) Base RI'!B179</f>
        <v>Montanaire</v>
      </c>
      <c r="C179" s="14">
        <f>'A) Base RI'!C179+'A) Base RI'!D179</f>
        <v>4122499.72</v>
      </c>
      <c r="D179" s="14">
        <f>'A) Base RI'!AO179</f>
        <v>-116605.64</v>
      </c>
      <c r="E179" s="41">
        <f>'A) Base RI'!AP179</f>
        <v>-2043.35</v>
      </c>
      <c r="F179" s="41">
        <f>'A) Base RI'!AQ179</f>
        <v>-83.26</v>
      </c>
      <c r="G179" s="4">
        <f t="shared" si="12"/>
        <v>4003767.47</v>
      </c>
      <c r="H179" s="14">
        <f>'A) Base RI'!E179</f>
        <v>0</v>
      </c>
      <c r="I179" s="14">
        <f>'A) Base RI'!F179</f>
        <v>0</v>
      </c>
      <c r="J179" s="14">
        <f>'A) Base RI'!G179+'A) Base RI'!H179</f>
        <v>140002.5</v>
      </c>
      <c r="K179" s="14">
        <f>'A) Base RI'!I179</f>
        <v>0</v>
      </c>
      <c r="L179" s="14">
        <f>'A) Base RI'!J179</f>
        <v>65351.22</v>
      </c>
      <c r="M179" s="14">
        <f>'A) Base RI'!K179</f>
        <v>3011</v>
      </c>
      <c r="N179" s="14">
        <f>'A) Base RI'!Q179</f>
        <v>18485.689999999999</v>
      </c>
      <c r="O179" s="14">
        <f t="shared" si="13"/>
        <v>304503.40000000002</v>
      </c>
      <c r="P179" s="14">
        <f>'A) Base RI'!L179</f>
        <v>304503.40000000002</v>
      </c>
      <c r="Q179" s="44">
        <f>'A) Base RI'!AR179</f>
        <v>1</v>
      </c>
      <c r="R179" s="4">
        <f t="shared" si="14"/>
        <v>4535121.2800000012</v>
      </c>
      <c r="S179" s="43">
        <f>'A) Base RI'!AM179</f>
        <v>72</v>
      </c>
      <c r="T179" s="4">
        <f t="shared" si="15"/>
        <v>4227606.8800000008</v>
      </c>
      <c r="U179" s="4">
        <f t="shared" si="16"/>
        <v>62987.795555555575</v>
      </c>
      <c r="V179" s="14">
        <f>'A) Base RI'!O179</f>
        <v>44675.7</v>
      </c>
      <c r="W179" s="14">
        <f>'A) Base RI'!P179</f>
        <v>149737.65</v>
      </c>
      <c r="X179" s="14">
        <f>'A) Base RI'!R179</f>
        <v>185049</v>
      </c>
      <c r="Y179" s="4">
        <f t="shared" si="17"/>
        <v>379462.35</v>
      </c>
      <c r="Z179" s="14">
        <f>'A) Base RI'!N179</f>
        <v>7935.7</v>
      </c>
      <c r="AA179" s="14">
        <f>'A) Base RI'!S179+'A) Base RI'!T179</f>
        <v>0</v>
      </c>
      <c r="AB179" s="14">
        <f>'A) Base RI'!U179</f>
        <v>13950</v>
      </c>
      <c r="AC179" s="14">
        <f>'A) Base RI'!V179</f>
        <v>0</v>
      </c>
      <c r="AD179" s="14">
        <f>'A) Base RI'!W179</f>
        <v>0</v>
      </c>
      <c r="AE179" s="14">
        <f>'A) Base RI'!Y179</f>
        <v>66356.649999999994</v>
      </c>
      <c r="AF179" s="14">
        <f>'A) Base RI'!Z179</f>
        <v>0</v>
      </c>
      <c r="AG179" s="14">
        <f>'A) Base RI'!AA179</f>
        <v>299191.09999999998</v>
      </c>
      <c r="AH179" s="14">
        <f>'A) Base RI'!AB179</f>
        <v>0</v>
      </c>
      <c r="AI179" s="14">
        <f>'A) Base RI'!AC179</f>
        <v>158822.65</v>
      </c>
      <c r="AJ179" s="14">
        <f>'A) Base RI'!AD179</f>
        <v>27501.599999999999</v>
      </c>
      <c r="AK179" s="14">
        <f>'A) Base RI'!AE179</f>
        <v>0</v>
      </c>
      <c r="AL179" s="14">
        <f>'A) Base RI'!AF179</f>
        <v>0</v>
      </c>
      <c r="AM179" s="14">
        <f>'A) Base RI'!AG179</f>
        <v>0</v>
      </c>
      <c r="AN179" s="14">
        <f>'A) Base RI'!AH179</f>
        <v>86046</v>
      </c>
      <c r="AO179" s="14">
        <f>'A) Base RI'!AI179</f>
        <v>0</v>
      </c>
      <c r="AP179" s="14">
        <f>'A) Base RI'!AJ179</f>
        <v>0</v>
      </c>
      <c r="AQ179" s="14">
        <f>'A) Base RI'!AK179</f>
        <v>0</v>
      </c>
      <c r="AR179" s="14">
        <f>'A) Base RI'!AN179</f>
        <v>2421</v>
      </c>
    </row>
    <row r="180" spans="1:44" x14ac:dyDescent="0.25">
      <c r="A180" s="12">
        <f>'A) Base RI'!A180</f>
        <v>5701</v>
      </c>
      <c r="B180" s="42" t="str">
        <f>'A) Base RI'!B180</f>
        <v>Arnex-sur-Nyon</v>
      </c>
      <c r="C180" s="14">
        <f>'A) Base RI'!C180+'A) Base RI'!D180</f>
        <v>780097.35</v>
      </c>
      <c r="D180" s="14">
        <f>'A) Base RI'!AO180</f>
        <v>-69.930000000000007</v>
      </c>
      <c r="E180" s="41">
        <f>'A) Base RI'!AP180</f>
        <v>0</v>
      </c>
      <c r="F180" s="41">
        <f>'A) Base RI'!AQ180</f>
        <v>-34.869999999999997</v>
      </c>
      <c r="G180" s="4">
        <f t="shared" si="12"/>
        <v>779992.54999999993</v>
      </c>
      <c r="H180" s="14">
        <f>'A) Base RI'!E180</f>
        <v>0</v>
      </c>
      <c r="I180" s="14">
        <f>'A) Base RI'!F180</f>
        <v>0</v>
      </c>
      <c r="J180" s="14">
        <f>'A) Base RI'!G180+'A) Base RI'!H180</f>
        <v>4252.1499999999996</v>
      </c>
      <c r="K180" s="14">
        <f>'A) Base RI'!I180</f>
        <v>58392.45</v>
      </c>
      <c r="L180" s="14">
        <f>'A) Base RI'!J180</f>
        <v>12429.26</v>
      </c>
      <c r="M180" s="14">
        <f>'A) Base RI'!K180</f>
        <v>16</v>
      </c>
      <c r="N180" s="14">
        <f>'A) Base RI'!Q180</f>
        <v>15348.85</v>
      </c>
      <c r="O180" s="14">
        <f t="shared" si="13"/>
        <v>64688.4</v>
      </c>
      <c r="P180" s="14">
        <f>'A) Base RI'!L180</f>
        <v>64688.4</v>
      </c>
      <c r="Q180" s="44">
        <f>'A) Base RI'!AR180</f>
        <v>1</v>
      </c>
      <c r="R180" s="4">
        <f t="shared" si="14"/>
        <v>935119.65999999992</v>
      </c>
      <c r="S180" s="43">
        <f>'A) Base RI'!AM180</f>
        <v>65</v>
      </c>
      <c r="T180" s="4">
        <f t="shared" si="15"/>
        <v>870415.25999999989</v>
      </c>
      <c r="U180" s="4">
        <f t="shared" si="16"/>
        <v>14386.456307692306</v>
      </c>
      <c r="V180" s="14">
        <f>'A) Base RI'!O180</f>
        <v>0</v>
      </c>
      <c r="W180" s="14">
        <f>'A) Base RI'!P180</f>
        <v>47592.800000000003</v>
      </c>
      <c r="X180" s="14">
        <f>'A) Base RI'!R180</f>
        <v>0</v>
      </c>
      <c r="Y180" s="4">
        <f t="shared" si="17"/>
        <v>47592.800000000003</v>
      </c>
      <c r="Z180" s="14">
        <f>'A) Base RI'!N180</f>
        <v>0</v>
      </c>
      <c r="AA180" s="14">
        <f>'A) Base RI'!S180+'A) Base RI'!T180</f>
        <v>0</v>
      </c>
      <c r="AB180" s="14">
        <f>'A) Base RI'!U180</f>
        <v>775</v>
      </c>
      <c r="AC180" s="14">
        <f>'A) Base RI'!V180</f>
        <v>0</v>
      </c>
      <c r="AD180" s="14">
        <f>'A) Base RI'!W180</f>
        <v>0</v>
      </c>
      <c r="AE180" s="14">
        <f>'A) Base RI'!Y180</f>
        <v>0</v>
      </c>
      <c r="AF180" s="14">
        <f>'A) Base RI'!Z180</f>
        <v>0</v>
      </c>
      <c r="AG180" s="14">
        <f>'A) Base RI'!AA180</f>
        <v>22180.73</v>
      </c>
      <c r="AH180" s="14">
        <f>'A) Base RI'!AB180</f>
        <v>0</v>
      </c>
      <c r="AI180" s="14">
        <f>'A) Base RI'!AC180</f>
        <v>14924.7</v>
      </c>
      <c r="AJ180" s="14">
        <f>'A) Base RI'!AD180</f>
        <v>350</v>
      </c>
      <c r="AK180" s="14">
        <f>'A) Base RI'!AE180</f>
        <v>0</v>
      </c>
      <c r="AL180" s="14">
        <f>'A) Base RI'!AF180</f>
        <v>0</v>
      </c>
      <c r="AM180" s="14">
        <f>'A) Base RI'!AG180</f>
        <v>0</v>
      </c>
      <c r="AN180" s="14">
        <f>'A) Base RI'!AH180</f>
        <v>0</v>
      </c>
      <c r="AO180" s="14">
        <f>'A) Base RI'!AI180</f>
        <v>0</v>
      </c>
      <c r="AP180" s="14">
        <f>'A) Base RI'!AJ180</f>
        <v>0</v>
      </c>
      <c r="AQ180" s="14">
        <f>'A) Base RI'!AK180</f>
        <v>0</v>
      </c>
      <c r="AR180" s="14">
        <f>'A) Base RI'!AN180</f>
        <v>208</v>
      </c>
    </row>
    <row r="181" spans="1:44" x14ac:dyDescent="0.25">
      <c r="A181" s="12">
        <f>'A) Base RI'!A181</f>
        <v>5702</v>
      </c>
      <c r="B181" s="42" t="str">
        <f>'A) Base RI'!B181</f>
        <v>Arzier-Le Muids</v>
      </c>
      <c r="C181" s="14">
        <f>'A) Base RI'!C181+'A) Base RI'!D181</f>
        <v>7243717.0600000005</v>
      </c>
      <c r="D181" s="14">
        <f>'A) Base RI'!AO181</f>
        <v>-66129.320000000007</v>
      </c>
      <c r="E181" s="41">
        <f>'A) Base RI'!AP181</f>
        <v>0</v>
      </c>
      <c r="F181" s="41">
        <f>'A) Base RI'!AQ181</f>
        <v>-5159.07</v>
      </c>
      <c r="G181" s="4">
        <f t="shared" si="12"/>
        <v>7172428.6699999999</v>
      </c>
      <c r="H181" s="14">
        <f>'A) Base RI'!E181</f>
        <v>0</v>
      </c>
      <c r="I181" s="14">
        <f>'A) Base RI'!F181</f>
        <v>0</v>
      </c>
      <c r="J181" s="14">
        <f>'A) Base RI'!G181+'A) Base RI'!H181</f>
        <v>233451.05</v>
      </c>
      <c r="K181" s="14">
        <f>'A) Base RI'!I181</f>
        <v>560707.57999999996</v>
      </c>
      <c r="L181" s="14">
        <f>'A) Base RI'!J181</f>
        <v>130327.59</v>
      </c>
      <c r="M181" s="14">
        <f>'A) Base RI'!K181</f>
        <v>9460.5</v>
      </c>
      <c r="N181" s="14">
        <f>'A) Base RI'!Q181</f>
        <v>14129.44</v>
      </c>
      <c r="O181" s="14">
        <f t="shared" si="13"/>
        <v>669042.56666666665</v>
      </c>
      <c r="P181" s="14">
        <f>'A) Base RI'!L181</f>
        <v>1003563.85</v>
      </c>
      <c r="Q181" s="44">
        <f>'A) Base RI'!AR181</f>
        <v>1.5</v>
      </c>
      <c r="R181" s="4">
        <f t="shared" si="14"/>
        <v>8789547.3966666665</v>
      </c>
      <c r="S181" s="43">
        <f>'A) Base RI'!AM181</f>
        <v>64</v>
      </c>
      <c r="T181" s="4">
        <f t="shared" si="15"/>
        <v>8111044.3300000001</v>
      </c>
      <c r="U181" s="4">
        <f t="shared" si="16"/>
        <v>137336.67807291666</v>
      </c>
      <c r="V181" s="14">
        <f>'A) Base RI'!O181</f>
        <v>53902.9</v>
      </c>
      <c r="W181" s="14">
        <f>'A) Base RI'!P181</f>
        <v>429226.4</v>
      </c>
      <c r="X181" s="14">
        <f>'A) Base RI'!R181</f>
        <v>354162</v>
      </c>
      <c r="Y181" s="4">
        <f t="shared" si="17"/>
        <v>837291.3</v>
      </c>
      <c r="Z181" s="14">
        <f>'A) Base RI'!N181</f>
        <v>70134.7</v>
      </c>
      <c r="AA181" s="14">
        <f>'A) Base RI'!S181+'A) Base RI'!T181</f>
        <v>0</v>
      </c>
      <c r="AB181" s="14">
        <f>'A) Base RI'!U181</f>
        <v>22500</v>
      </c>
      <c r="AC181" s="14">
        <f>'A) Base RI'!V181</f>
        <v>0</v>
      </c>
      <c r="AD181" s="14">
        <f>'A) Base RI'!W181</f>
        <v>0</v>
      </c>
      <c r="AE181" s="14">
        <f>'A) Base RI'!Y181</f>
        <v>180654.1</v>
      </c>
      <c r="AF181" s="14">
        <f>'A) Base RI'!Z181</f>
        <v>0</v>
      </c>
      <c r="AG181" s="14">
        <f>'A) Base RI'!AA181</f>
        <v>215120</v>
      </c>
      <c r="AH181" s="14">
        <f>'A) Base RI'!AB181</f>
        <v>0</v>
      </c>
      <c r="AI181" s="14">
        <f>'A) Base RI'!AC181</f>
        <v>224184.9</v>
      </c>
      <c r="AJ181" s="14">
        <f>'A) Base RI'!AD181</f>
        <v>353520.6</v>
      </c>
      <c r="AK181" s="14">
        <f>'A) Base RI'!AE181</f>
        <v>0</v>
      </c>
      <c r="AL181" s="14">
        <f>'A) Base RI'!AF181</f>
        <v>0</v>
      </c>
      <c r="AM181" s="14">
        <f>'A) Base RI'!AG181</f>
        <v>25997.43</v>
      </c>
      <c r="AN181" s="14">
        <f>'A) Base RI'!AH181</f>
        <v>0</v>
      </c>
      <c r="AO181" s="14">
        <f>'A) Base RI'!AI181</f>
        <v>0</v>
      </c>
      <c r="AP181" s="14">
        <f>'A) Base RI'!AJ181</f>
        <v>0</v>
      </c>
      <c r="AQ181" s="14">
        <f>'A) Base RI'!AK181</f>
        <v>0</v>
      </c>
      <c r="AR181" s="14">
        <f>'A) Base RI'!AN181</f>
        <v>2506</v>
      </c>
    </row>
    <row r="182" spans="1:44" x14ac:dyDescent="0.25">
      <c r="A182" s="12">
        <f>'A) Base RI'!A182</f>
        <v>5703</v>
      </c>
      <c r="B182" s="42" t="str">
        <f>'A) Base RI'!B182</f>
        <v>Bassins</v>
      </c>
      <c r="C182" s="14">
        <f>'A) Base RI'!C182+'A) Base RI'!D182</f>
        <v>3296989.5199999996</v>
      </c>
      <c r="D182" s="14">
        <f>'A) Base RI'!AO182</f>
        <v>-39946.870000000003</v>
      </c>
      <c r="E182" s="41">
        <f>'A) Base RI'!AP182</f>
        <v>0</v>
      </c>
      <c r="F182" s="41">
        <f>'A) Base RI'!AQ182</f>
        <v>-221.89</v>
      </c>
      <c r="G182" s="4">
        <f t="shared" si="12"/>
        <v>3256820.7599999993</v>
      </c>
      <c r="H182" s="14">
        <f>'A) Base RI'!E182</f>
        <v>0</v>
      </c>
      <c r="I182" s="14">
        <f>'A) Base RI'!F182</f>
        <v>0</v>
      </c>
      <c r="J182" s="14">
        <f>'A) Base RI'!G182+'A) Base RI'!H182</f>
        <v>-41823</v>
      </c>
      <c r="K182" s="14">
        <f>'A) Base RI'!I182</f>
        <v>60727.25</v>
      </c>
      <c r="L182" s="14">
        <f>'A) Base RI'!J182</f>
        <v>95432.13</v>
      </c>
      <c r="M182" s="14">
        <f>'A) Base RI'!K182</f>
        <v>-329.5</v>
      </c>
      <c r="N182" s="14">
        <f>'A) Base RI'!Q182</f>
        <v>8097.6</v>
      </c>
      <c r="O182" s="14">
        <f t="shared" si="13"/>
        <v>285927.75</v>
      </c>
      <c r="P182" s="14">
        <f>'A) Base RI'!L182</f>
        <v>343113.3</v>
      </c>
      <c r="Q182" s="44">
        <f>'A) Base RI'!AR182</f>
        <v>1.2</v>
      </c>
      <c r="R182" s="4">
        <f t="shared" si="14"/>
        <v>3664852.9899999993</v>
      </c>
      <c r="S182" s="43">
        <f>'A) Base RI'!AM182</f>
        <v>71</v>
      </c>
      <c r="T182" s="4">
        <f t="shared" si="15"/>
        <v>3379254.7399999993</v>
      </c>
      <c r="U182" s="4">
        <f t="shared" si="16"/>
        <v>51617.647746478862</v>
      </c>
      <c r="V182" s="14">
        <f>'A) Base RI'!O182</f>
        <v>15344.4</v>
      </c>
      <c r="W182" s="14">
        <f>'A) Base RI'!P182</f>
        <v>80815.7</v>
      </c>
      <c r="X182" s="14">
        <f>'A) Base RI'!R182</f>
        <v>114194.6</v>
      </c>
      <c r="Y182" s="4">
        <f t="shared" si="17"/>
        <v>210354.7</v>
      </c>
      <c r="Z182" s="14">
        <f>'A) Base RI'!N182</f>
        <v>36530.300000000003</v>
      </c>
      <c r="AA182" s="14">
        <f>'A) Base RI'!S182+'A) Base RI'!T182</f>
        <v>-31.25</v>
      </c>
      <c r="AB182" s="14">
        <f>'A) Base RI'!U182</f>
        <v>9000</v>
      </c>
      <c r="AC182" s="14">
        <f>'A) Base RI'!V182</f>
        <v>0</v>
      </c>
      <c r="AD182" s="14">
        <f>'A) Base RI'!W182</f>
        <v>0</v>
      </c>
      <c r="AE182" s="14">
        <f>'A) Base RI'!Y182</f>
        <v>37856.699999999997</v>
      </c>
      <c r="AF182" s="14">
        <f>'A) Base RI'!Z182</f>
        <v>0</v>
      </c>
      <c r="AG182" s="14">
        <f>'A) Base RI'!AA182</f>
        <v>146826</v>
      </c>
      <c r="AH182" s="14">
        <f>'A) Base RI'!AB182</f>
        <v>0</v>
      </c>
      <c r="AI182" s="14">
        <f>'A) Base RI'!AC182</f>
        <v>92982.15</v>
      </c>
      <c r="AJ182" s="14">
        <f>'A) Base RI'!AD182</f>
        <v>48627.9</v>
      </c>
      <c r="AK182" s="14">
        <f>'A) Base RI'!AE182</f>
        <v>0</v>
      </c>
      <c r="AL182" s="14">
        <f>'A) Base RI'!AF182</f>
        <v>0</v>
      </c>
      <c r="AM182" s="14">
        <f>'A) Base RI'!AG182</f>
        <v>0</v>
      </c>
      <c r="AN182" s="14">
        <f>'A) Base RI'!AH182</f>
        <v>0</v>
      </c>
      <c r="AO182" s="14">
        <f>'A) Base RI'!AI182</f>
        <v>0</v>
      </c>
      <c r="AP182" s="14">
        <f>'A) Base RI'!AJ182</f>
        <v>0</v>
      </c>
      <c r="AQ182" s="14">
        <f>'A) Base RI'!AK182</f>
        <v>0</v>
      </c>
      <c r="AR182" s="14">
        <f>'A) Base RI'!AN182</f>
        <v>1320</v>
      </c>
    </row>
    <row r="183" spans="1:44" x14ac:dyDescent="0.25">
      <c r="A183" s="12">
        <f>'A) Base RI'!A183</f>
        <v>5704</v>
      </c>
      <c r="B183" s="42" t="str">
        <f>'A) Base RI'!B183</f>
        <v>Begnins</v>
      </c>
      <c r="C183" s="14">
        <f>'A) Base RI'!C183+'A) Base RI'!D183</f>
        <v>6609271.9199999999</v>
      </c>
      <c r="D183" s="14">
        <f>'A) Base RI'!AO183</f>
        <v>-73126.27</v>
      </c>
      <c r="E183" s="41">
        <f>'A) Base RI'!AP183</f>
        <v>0</v>
      </c>
      <c r="F183" s="41">
        <f>'A) Base RI'!AQ183</f>
        <v>-6738.77</v>
      </c>
      <c r="G183" s="4">
        <f t="shared" si="12"/>
        <v>6529406.8800000008</v>
      </c>
      <c r="H183" s="14">
        <f>'A) Base RI'!E183</f>
        <v>0</v>
      </c>
      <c r="I183" s="14">
        <f>'A) Base RI'!F183</f>
        <v>0</v>
      </c>
      <c r="J183" s="14">
        <f>'A) Base RI'!G183+'A) Base RI'!H183</f>
        <v>34985.949999999997</v>
      </c>
      <c r="K183" s="14">
        <f>'A) Base RI'!I183</f>
        <v>196108</v>
      </c>
      <c r="L183" s="14">
        <f>'A) Base RI'!J183</f>
        <v>63449.42</v>
      </c>
      <c r="M183" s="14">
        <f>'A) Base RI'!K183</f>
        <v>7583.5</v>
      </c>
      <c r="N183" s="14">
        <f>'A) Base RI'!Q183</f>
        <v>73697.19</v>
      </c>
      <c r="O183" s="14">
        <f t="shared" si="13"/>
        <v>410669.26666666666</v>
      </c>
      <c r="P183" s="14">
        <f>'A) Base RI'!L183</f>
        <v>616003.9</v>
      </c>
      <c r="Q183" s="44">
        <f>'A) Base RI'!AR183</f>
        <v>1.5</v>
      </c>
      <c r="R183" s="4">
        <f t="shared" si="14"/>
        <v>7315900.2066666679</v>
      </c>
      <c r="S183" s="43">
        <f>'A) Base RI'!AM183</f>
        <v>67</v>
      </c>
      <c r="T183" s="4">
        <f t="shared" si="15"/>
        <v>6897647.4400000013</v>
      </c>
      <c r="U183" s="4">
        <f t="shared" si="16"/>
        <v>109192.54039800997</v>
      </c>
      <c r="V183" s="14">
        <f>'A) Base RI'!O183</f>
        <v>511000.20000000019</v>
      </c>
      <c r="W183" s="14">
        <f>'A) Base RI'!P183</f>
        <v>429027.3</v>
      </c>
      <c r="X183" s="14">
        <f>'A) Base RI'!R183</f>
        <v>220887.55</v>
      </c>
      <c r="Y183" s="4">
        <f t="shared" si="17"/>
        <v>1160915.0500000003</v>
      </c>
      <c r="Z183" s="14">
        <f>'A) Base RI'!N183</f>
        <v>56321.9</v>
      </c>
      <c r="AA183" s="14">
        <f>'A) Base RI'!S183+'A) Base RI'!T183</f>
        <v>93.75</v>
      </c>
      <c r="AB183" s="14">
        <f>'A) Base RI'!U183</f>
        <v>8400</v>
      </c>
      <c r="AC183" s="14">
        <f>'A) Base RI'!V183</f>
        <v>0</v>
      </c>
      <c r="AD183" s="14">
        <f>'A) Base RI'!W183</f>
        <v>0</v>
      </c>
      <c r="AE183" s="14">
        <f>'A) Base RI'!Y183</f>
        <v>57409</v>
      </c>
      <c r="AF183" s="14">
        <f>'A) Base RI'!Z183</f>
        <v>0</v>
      </c>
      <c r="AG183" s="14">
        <f>'A) Base RI'!AA183</f>
        <v>128706.01</v>
      </c>
      <c r="AH183" s="14">
        <f>'A) Base RI'!AB183</f>
        <v>0</v>
      </c>
      <c r="AI183" s="14">
        <f>'A) Base RI'!AC183</f>
        <v>96985.75</v>
      </c>
      <c r="AJ183" s="14">
        <f>'A) Base RI'!AD183</f>
        <v>98716.67</v>
      </c>
      <c r="AK183" s="14">
        <f>'A) Base RI'!AE183</f>
        <v>0</v>
      </c>
      <c r="AL183" s="14">
        <f>'A) Base RI'!AF183</f>
        <v>0</v>
      </c>
      <c r="AM183" s="14">
        <f>'A) Base RI'!AG183</f>
        <v>10450.4</v>
      </c>
      <c r="AN183" s="14">
        <f>'A) Base RI'!AH183</f>
        <v>48276.49</v>
      </c>
      <c r="AO183" s="14">
        <f>'A) Base RI'!AI183</f>
        <v>27585.41</v>
      </c>
      <c r="AP183" s="14">
        <f>'A) Base RI'!AJ183</f>
        <v>0</v>
      </c>
      <c r="AQ183" s="14">
        <f>'A) Base RI'!AK183</f>
        <v>0</v>
      </c>
      <c r="AR183" s="14">
        <f>'A) Base RI'!AN183</f>
        <v>1802</v>
      </c>
    </row>
    <row r="184" spans="1:44" x14ac:dyDescent="0.25">
      <c r="A184" s="12">
        <f>'A) Base RI'!A184</f>
        <v>5705</v>
      </c>
      <c r="B184" s="42" t="str">
        <f>'A) Base RI'!B184</f>
        <v>Bogis-Bossey</v>
      </c>
      <c r="C184" s="14">
        <f>'A) Base RI'!C184+'A) Base RI'!D184</f>
        <v>2844438.94</v>
      </c>
      <c r="D184" s="14">
        <f>'A) Base RI'!AO184</f>
        <v>-11164.11</v>
      </c>
      <c r="E184" s="41">
        <f>'A) Base RI'!AP184</f>
        <v>0</v>
      </c>
      <c r="F184" s="41">
        <f>'A) Base RI'!AQ184</f>
        <v>-863</v>
      </c>
      <c r="G184" s="4">
        <f t="shared" si="12"/>
        <v>2832411.83</v>
      </c>
      <c r="H184" s="14">
        <f>'A) Base RI'!E184</f>
        <v>0</v>
      </c>
      <c r="I184" s="14">
        <f>'A) Base RI'!F184</f>
        <v>0</v>
      </c>
      <c r="J184" s="14">
        <f>'A) Base RI'!G184+'A) Base RI'!H184</f>
        <v>19765.3</v>
      </c>
      <c r="K184" s="14">
        <f>'A) Base RI'!I184</f>
        <v>-3812.75</v>
      </c>
      <c r="L184" s="14">
        <f>'A) Base RI'!J184</f>
        <v>88390.28</v>
      </c>
      <c r="M184" s="14">
        <f>'A) Base RI'!K184</f>
        <v>8146.5</v>
      </c>
      <c r="N184" s="14">
        <f>'A) Base RI'!Q184</f>
        <v>19202.82</v>
      </c>
      <c r="O184" s="14">
        <f t="shared" si="13"/>
        <v>197102.9</v>
      </c>
      <c r="P184" s="14">
        <f>'A) Base RI'!L184</f>
        <v>197102.9</v>
      </c>
      <c r="Q184" s="44">
        <f>'A) Base RI'!AR184</f>
        <v>1</v>
      </c>
      <c r="R184" s="4">
        <f t="shared" si="14"/>
        <v>3161206.8799999994</v>
      </c>
      <c r="S184" s="43">
        <f>'A) Base RI'!AM184</f>
        <v>64</v>
      </c>
      <c r="T184" s="4">
        <f t="shared" si="15"/>
        <v>2955957.4799999995</v>
      </c>
      <c r="U184" s="4">
        <f t="shared" si="16"/>
        <v>49393.857499999991</v>
      </c>
      <c r="V184" s="14">
        <f>'A) Base RI'!O184</f>
        <v>0</v>
      </c>
      <c r="W184" s="14">
        <f>'A) Base RI'!P184</f>
        <v>199062.6</v>
      </c>
      <c r="X184" s="14">
        <f>'A) Base RI'!R184</f>
        <v>142088.1</v>
      </c>
      <c r="Y184" s="4">
        <f t="shared" si="17"/>
        <v>341150.7</v>
      </c>
      <c r="Z184" s="14">
        <f>'A) Base RI'!N184</f>
        <v>33949.199999999997</v>
      </c>
      <c r="AA184" s="14">
        <f>'A) Base RI'!S184+'A) Base RI'!T184</f>
        <v>0</v>
      </c>
      <c r="AB184" s="14">
        <f>'A) Base RI'!U184</f>
        <v>1950</v>
      </c>
      <c r="AC184" s="14">
        <f>'A) Base RI'!V184</f>
        <v>0</v>
      </c>
      <c r="AD184" s="14">
        <f>'A) Base RI'!W184</f>
        <v>0</v>
      </c>
      <c r="AE184" s="14">
        <f>'A) Base RI'!Y184</f>
        <v>1404</v>
      </c>
      <c r="AF184" s="14">
        <f>'A) Base RI'!Z184</f>
        <v>0</v>
      </c>
      <c r="AG184" s="14">
        <f>'A) Base RI'!AA184</f>
        <v>73582.350000000006</v>
      </c>
      <c r="AH184" s="14">
        <f>'A) Base RI'!AB184</f>
        <v>0</v>
      </c>
      <c r="AI184" s="14">
        <f>'A) Base RI'!AC184</f>
        <v>111922.65</v>
      </c>
      <c r="AJ184" s="14">
        <f>'A) Base RI'!AD184</f>
        <v>0</v>
      </c>
      <c r="AK184" s="14">
        <f>'A) Base RI'!AE184</f>
        <v>0</v>
      </c>
      <c r="AL184" s="14">
        <f>'A) Base RI'!AF184</f>
        <v>0</v>
      </c>
      <c r="AM184" s="14">
        <f>'A) Base RI'!AG184</f>
        <v>0</v>
      </c>
      <c r="AN184" s="14">
        <f>'A) Base RI'!AH184</f>
        <v>0</v>
      </c>
      <c r="AO184" s="14">
        <f>'A) Base RI'!AI184</f>
        <v>0</v>
      </c>
      <c r="AP184" s="14">
        <f>'A) Base RI'!AJ184</f>
        <v>0</v>
      </c>
      <c r="AQ184" s="14">
        <f>'A) Base RI'!AK184</f>
        <v>0</v>
      </c>
      <c r="AR184" s="14">
        <f>'A) Base RI'!AN184</f>
        <v>830</v>
      </c>
    </row>
    <row r="185" spans="1:44" x14ac:dyDescent="0.25">
      <c r="A185" s="12">
        <f>'A) Base RI'!A185</f>
        <v>5706</v>
      </c>
      <c r="B185" s="42" t="str">
        <f>'A) Base RI'!B185</f>
        <v>Borex</v>
      </c>
      <c r="C185" s="14">
        <f>'A) Base RI'!C185+'A) Base RI'!D185</f>
        <v>3089686.32</v>
      </c>
      <c r="D185" s="14">
        <f>'A) Base RI'!AO185</f>
        <v>-24625.75</v>
      </c>
      <c r="E185" s="41">
        <f>'A) Base RI'!AP185</f>
        <v>0</v>
      </c>
      <c r="F185" s="41">
        <f>'A) Base RI'!AQ185</f>
        <v>-2508.4699999999998</v>
      </c>
      <c r="G185" s="4">
        <f t="shared" si="12"/>
        <v>3062552.0999999996</v>
      </c>
      <c r="H185" s="14">
        <f>'A) Base RI'!E185</f>
        <v>0</v>
      </c>
      <c r="I185" s="14">
        <f>'A) Base RI'!F185</f>
        <v>0</v>
      </c>
      <c r="J185" s="14">
        <f>'A) Base RI'!G185+'A) Base RI'!H185</f>
        <v>35926.700000000004</v>
      </c>
      <c r="K185" s="14">
        <f>'A) Base RI'!I185</f>
        <v>16223.65</v>
      </c>
      <c r="L185" s="14">
        <f>'A) Base RI'!J185</f>
        <v>-3117.11</v>
      </c>
      <c r="M185" s="14">
        <f>'A) Base RI'!K185</f>
        <v>2127.5</v>
      </c>
      <c r="N185" s="14">
        <f>'A) Base RI'!Q185</f>
        <v>24617.27</v>
      </c>
      <c r="O185" s="14">
        <f t="shared" si="13"/>
        <v>220241.13333333333</v>
      </c>
      <c r="P185" s="14">
        <f>'A) Base RI'!L185</f>
        <v>330361.7</v>
      </c>
      <c r="Q185" s="44">
        <f>'A) Base RI'!AR185</f>
        <v>1.5</v>
      </c>
      <c r="R185" s="4">
        <f t="shared" si="14"/>
        <v>3358571.2433333332</v>
      </c>
      <c r="S185" s="43">
        <f>'A) Base RI'!AM185</f>
        <v>55</v>
      </c>
      <c r="T185" s="4">
        <f t="shared" si="15"/>
        <v>3136202.61</v>
      </c>
      <c r="U185" s="4">
        <f t="shared" si="16"/>
        <v>61064.931696969696</v>
      </c>
      <c r="V185" s="14">
        <f>'A) Base RI'!O185</f>
        <v>349250</v>
      </c>
      <c r="W185" s="14">
        <f>'A) Base RI'!P185</f>
        <v>277870.25</v>
      </c>
      <c r="X185" s="14">
        <f>'A) Base RI'!R185</f>
        <v>128255.65</v>
      </c>
      <c r="Y185" s="4">
        <f t="shared" si="17"/>
        <v>755375.9</v>
      </c>
      <c r="Z185" s="14">
        <f>'A) Base RI'!N185</f>
        <v>3897.65</v>
      </c>
      <c r="AA185" s="14">
        <f>'A) Base RI'!S185+'A) Base RI'!T185</f>
        <v>160</v>
      </c>
      <c r="AB185" s="14">
        <f>'A) Base RI'!U185</f>
        <v>3375</v>
      </c>
      <c r="AC185" s="14">
        <f>'A) Base RI'!V185</f>
        <v>0</v>
      </c>
      <c r="AD185" s="14">
        <f>'A) Base RI'!W185</f>
        <v>0</v>
      </c>
      <c r="AE185" s="14">
        <f>'A) Base RI'!Y185</f>
        <v>-22993.45</v>
      </c>
      <c r="AF185" s="14">
        <f>'A) Base RI'!Z185</f>
        <v>0</v>
      </c>
      <c r="AG185" s="14">
        <f>'A) Base RI'!AA185</f>
        <v>140428.70000000001</v>
      </c>
      <c r="AH185" s="14">
        <f>'A) Base RI'!AB185</f>
        <v>0</v>
      </c>
      <c r="AI185" s="14">
        <f>'A) Base RI'!AC185</f>
        <v>72015.199999999997</v>
      </c>
      <c r="AJ185" s="14">
        <f>'A) Base RI'!AD185</f>
        <v>0</v>
      </c>
      <c r="AK185" s="14">
        <f>'A) Base RI'!AE185</f>
        <v>0</v>
      </c>
      <c r="AL185" s="14">
        <f>'A) Base RI'!AF185</f>
        <v>0</v>
      </c>
      <c r="AM185" s="14">
        <f>'A) Base RI'!AG185</f>
        <v>44</v>
      </c>
      <c r="AN185" s="14">
        <f>'A) Base RI'!AH185</f>
        <v>27405.35</v>
      </c>
      <c r="AO185" s="14">
        <f>'A) Base RI'!AI185</f>
        <v>0</v>
      </c>
      <c r="AP185" s="14">
        <f>'A) Base RI'!AJ185</f>
        <v>0</v>
      </c>
      <c r="AQ185" s="14">
        <f>'A) Base RI'!AK185</f>
        <v>0</v>
      </c>
      <c r="AR185" s="14">
        <f>'A) Base RI'!AN185</f>
        <v>1049</v>
      </c>
    </row>
    <row r="186" spans="1:44" x14ac:dyDescent="0.25">
      <c r="A186" s="12">
        <f>'A) Base RI'!A186</f>
        <v>5707</v>
      </c>
      <c r="B186" s="42" t="str">
        <f>'A) Base RI'!B186</f>
        <v>Chavannes-de-Bogis</v>
      </c>
      <c r="C186" s="14">
        <f>'A) Base RI'!C186+'A) Base RI'!D186</f>
        <v>3808931.8499999996</v>
      </c>
      <c r="D186" s="14">
        <f>'A) Base RI'!AO186</f>
        <v>-11568.52</v>
      </c>
      <c r="E186" s="41">
        <f>'A) Base RI'!AP186</f>
        <v>0</v>
      </c>
      <c r="F186" s="41">
        <f>'A) Base RI'!AQ186</f>
        <v>-1738.45</v>
      </c>
      <c r="G186" s="4">
        <f t="shared" si="12"/>
        <v>3795624.8799999994</v>
      </c>
      <c r="H186" s="14">
        <f>'A) Base RI'!E186</f>
        <v>0</v>
      </c>
      <c r="I186" s="14">
        <f>'A) Base RI'!F186</f>
        <v>0</v>
      </c>
      <c r="J186" s="14">
        <f>'A) Base RI'!G186+'A) Base RI'!H186</f>
        <v>837210.3</v>
      </c>
      <c r="K186" s="14">
        <f>'A) Base RI'!I186</f>
        <v>55173.75</v>
      </c>
      <c r="L186" s="14">
        <f>'A) Base RI'!J186</f>
        <v>108560.48</v>
      </c>
      <c r="M186" s="14">
        <f>'A) Base RI'!K186</f>
        <v>68972.5</v>
      </c>
      <c r="N186" s="14">
        <f>'A) Base RI'!Q186</f>
        <v>0</v>
      </c>
      <c r="O186" s="14">
        <f t="shared" si="13"/>
        <v>450309.10000000003</v>
      </c>
      <c r="P186" s="14">
        <f>'A) Base RI'!L186</f>
        <v>675463.65</v>
      </c>
      <c r="Q186" s="44">
        <f>'A) Base RI'!AR186</f>
        <v>1.5</v>
      </c>
      <c r="R186" s="4">
        <f t="shared" si="14"/>
        <v>5315851.01</v>
      </c>
      <c r="S186" s="43">
        <f>'A) Base RI'!AM186</f>
        <v>59</v>
      </c>
      <c r="T186" s="4">
        <f t="shared" si="15"/>
        <v>4796569.41</v>
      </c>
      <c r="U186" s="4">
        <f t="shared" si="16"/>
        <v>90099.169661016946</v>
      </c>
      <c r="V186" s="14">
        <f>'A) Base RI'!O186</f>
        <v>0</v>
      </c>
      <c r="W186" s="14">
        <f>'A) Base RI'!P186</f>
        <v>71708.800000000003</v>
      </c>
      <c r="X186" s="14">
        <f>'A) Base RI'!R186</f>
        <v>37272.800000000003</v>
      </c>
      <c r="Y186" s="4">
        <f t="shared" si="17"/>
        <v>108981.6</v>
      </c>
      <c r="Z186" s="14">
        <f>'A) Base RI'!N186</f>
        <v>442946.25</v>
      </c>
      <c r="AA186" s="14">
        <f>'A) Base RI'!S186+'A) Base RI'!T186</f>
        <v>375.1</v>
      </c>
      <c r="AB186" s="14">
        <f>'A) Base RI'!U186</f>
        <v>3800</v>
      </c>
      <c r="AC186" s="14">
        <f>'A) Base RI'!V186</f>
        <v>0</v>
      </c>
      <c r="AD186" s="14">
        <f>'A) Base RI'!W186</f>
        <v>0</v>
      </c>
      <c r="AE186" s="14">
        <f>'A) Base RI'!Y186</f>
        <v>4640.1000000000004</v>
      </c>
      <c r="AF186" s="14">
        <f>'A) Base RI'!Z186</f>
        <v>0</v>
      </c>
      <c r="AG186" s="14">
        <f>'A) Base RI'!AA186</f>
        <v>285144.65000000002</v>
      </c>
      <c r="AH186" s="14">
        <f>'A) Base RI'!AB186</f>
        <v>0</v>
      </c>
      <c r="AI186" s="14">
        <f>'A) Base RI'!AC186</f>
        <v>125736.25</v>
      </c>
      <c r="AJ186" s="14">
        <f>'A) Base RI'!AD186</f>
        <v>0</v>
      </c>
      <c r="AK186" s="14">
        <f>'A) Base RI'!AE186</f>
        <v>0</v>
      </c>
      <c r="AL186" s="14">
        <f>'A) Base RI'!AF186</f>
        <v>0</v>
      </c>
      <c r="AM186" s="14">
        <f>'A) Base RI'!AG186</f>
        <v>170208</v>
      </c>
      <c r="AN186" s="14">
        <f>'A) Base RI'!AH186</f>
        <v>109673.5</v>
      </c>
      <c r="AO186" s="14">
        <f>'A) Base RI'!AI186</f>
        <v>0</v>
      </c>
      <c r="AP186" s="14">
        <f>'A) Base RI'!AJ186</f>
        <v>0</v>
      </c>
      <c r="AQ186" s="14">
        <f>'A) Base RI'!AK186</f>
        <v>0</v>
      </c>
      <c r="AR186" s="14">
        <f>'A) Base RI'!AN186</f>
        <v>1155</v>
      </c>
    </row>
    <row r="187" spans="1:44" x14ac:dyDescent="0.25">
      <c r="A187" s="12">
        <f>'A) Base RI'!A187</f>
        <v>5708</v>
      </c>
      <c r="B187" s="42" t="str">
        <f>'A) Base RI'!B187</f>
        <v>Chavannes-des-Bois</v>
      </c>
      <c r="C187" s="14">
        <f>'A) Base RI'!C187+'A) Base RI'!D187</f>
        <v>3511700.15</v>
      </c>
      <c r="D187" s="14">
        <f>'A) Base RI'!AO187</f>
        <v>-14634</v>
      </c>
      <c r="E187" s="41">
        <f>'A) Base RI'!AP187</f>
        <v>0</v>
      </c>
      <c r="F187" s="41">
        <f>'A) Base RI'!AQ187</f>
        <v>-855.21</v>
      </c>
      <c r="G187" s="4">
        <f t="shared" si="12"/>
        <v>3496210.94</v>
      </c>
      <c r="H187" s="14">
        <f>'A) Base RI'!E187</f>
        <v>0</v>
      </c>
      <c r="I187" s="14">
        <f>'A) Base RI'!F187</f>
        <v>0</v>
      </c>
      <c r="J187" s="14">
        <f>'A) Base RI'!G187+'A) Base RI'!H187</f>
        <v>38518.6</v>
      </c>
      <c r="K187" s="14">
        <f>'A) Base RI'!I187</f>
        <v>40073.800000000003</v>
      </c>
      <c r="L187" s="14">
        <f>'A) Base RI'!J187</f>
        <v>-65355.33</v>
      </c>
      <c r="M187" s="14">
        <f>'A) Base RI'!K187</f>
        <v>14512</v>
      </c>
      <c r="N187" s="14">
        <f>'A) Base RI'!Q187</f>
        <v>18270.900000000001</v>
      </c>
      <c r="O187" s="14">
        <f t="shared" si="13"/>
        <v>237110.6</v>
      </c>
      <c r="P187" s="14">
        <f>'A) Base RI'!L187</f>
        <v>355665.9</v>
      </c>
      <c r="Q187" s="44">
        <f>'A) Base RI'!AR187</f>
        <v>1.5</v>
      </c>
      <c r="R187" s="4">
        <f t="shared" si="14"/>
        <v>3779341.51</v>
      </c>
      <c r="S187" s="43">
        <f>'A) Base RI'!AM187</f>
        <v>61</v>
      </c>
      <c r="T187" s="4">
        <f t="shared" si="15"/>
        <v>3527718.9099999997</v>
      </c>
      <c r="U187" s="4">
        <f t="shared" si="16"/>
        <v>61956.418196721308</v>
      </c>
      <c r="V187" s="14">
        <f>'A) Base RI'!O187</f>
        <v>0</v>
      </c>
      <c r="W187" s="14">
        <f>'A) Base RI'!P187</f>
        <v>329934.45</v>
      </c>
      <c r="X187" s="14">
        <f>'A) Base RI'!R187</f>
        <v>104141</v>
      </c>
      <c r="Y187" s="4">
        <f t="shared" si="17"/>
        <v>434075.45</v>
      </c>
      <c r="Z187" s="14">
        <f>'A) Base RI'!N187</f>
        <v>1204.9000000000001</v>
      </c>
      <c r="AA187" s="14">
        <f>'A) Base RI'!S187+'A) Base RI'!T187</f>
        <v>0</v>
      </c>
      <c r="AB187" s="14">
        <f>'A) Base RI'!U187</f>
        <v>1860</v>
      </c>
      <c r="AC187" s="14">
        <f>'A) Base RI'!V187</f>
        <v>0</v>
      </c>
      <c r="AD187" s="14">
        <f>'A) Base RI'!W187</f>
        <v>0</v>
      </c>
      <c r="AE187" s="14">
        <f>'A) Base RI'!Y187</f>
        <v>45213.95</v>
      </c>
      <c r="AF187" s="14">
        <f>'A) Base RI'!Z187</f>
        <v>0</v>
      </c>
      <c r="AG187" s="14">
        <f>'A) Base RI'!AA187</f>
        <v>85184.9</v>
      </c>
      <c r="AH187" s="14">
        <f>'A) Base RI'!AB187</f>
        <v>0</v>
      </c>
      <c r="AI187" s="14">
        <f>'A) Base RI'!AC187</f>
        <v>64503.67</v>
      </c>
      <c r="AJ187" s="14">
        <f>'A) Base RI'!AD187</f>
        <v>0</v>
      </c>
      <c r="AK187" s="14">
        <f>'A) Base RI'!AE187</f>
        <v>0</v>
      </c>
      <c r="AL187" s="14">
        <f>'A) Base RI'!AF187</f>
        <v>0</v>
      </c>
      <c r="AM187" s="14">
        <f>'A) Base RI'!AG187</f>
        <v>0</v>
      </c>
      <c r="AN187" s="14">
        <f>'A) Base RI'!AH187</f>
        <v>0</v>
      </c>
      <c r="AO187" s="14">
        <f>'A) Base RI'!AI187</f>
        <v>0</v>
      </c>
      <c r="AP187" s="14">
        <f>'A) Base RI'!AJ187</f>
        <v>0</v>
      </c>
      <c r="AQ187" s="14">
        <f>'A) Base RI'!AK187</f>
        <v>0</v>
      </c>
      <c r="AR187" s="14">
        <f>'A) Base RI'!AN187</f>
        <v>807</v>
      </c>
    </row>
    <row r="188" spans="1:44" x14ac:dyDescent="0.25">
      <c r="A188" s="12">
        <f>'A) Base RI'!A188</f>
        <v>5709</v>
      </c>
      <c r="B188" s="42" t="str">
        <f>'A) Base RI'!B188</f>
        <v>Chéserex</v>
      </c>
      <c r="C188" s="14">
        <f>'A) Base RI'!C188+'A) Base RI'!D188</f>
        <v>4833913.5999999996</v>
      </c>
      <c r="D188" s="14">
        <f>'A) Base RI'!AO188</f>
        <v>-10729.57</v>
      </c>
      <c r="E188" s="41">
        <f>'A) Base RI'!AP188</f>
        <v>0</v>
      </c>
      <c r="F188" s="41">
        <f>'A) Base RI'!AQ188</f>
        <v>-1977.02</v>
      </c>
      <c r="G188" s="4">
        <f t="shared" si="12"/>
        <v>4821207.01</v>
      </c>
      <c r="H188" s="14">
        <f>'A) Base RI'!E188</f>
        <v>0</v>
      </c>
      <c r="I188" s="14">
        <f>'A) Base RI'!F188</f>
        <v>0</v>
      </c>
      <c r="J188" s="14">
        <f>'A) Base RI'!G188+'A) Base RI'!H188</f>
        <v>603492.4</v>
      </c>
      <c r="K188" s="14">
        <f>'A) Base RI'!I188</f>
        <v>25022.7</v>
      </c>
      <c r="L188" s="14">
        <f>'A) Base RI'!J188</f>
        <v>264500.98</v>
      </c>
      <c r="M188" s="14">
        <f>'A) Base RI'!K188</f>
        <v>1474.5</v>
      </c>
      <c r="N188" s="14">
        <f>'A) Base RI'!Q188</f>
        <v>1803.7</v>
      </c>
      <c r="O188" s="14">
        <f t="shared" si="13"/>
        <v>293457.55</v>
      </c>
      <c r="P188" s="14">
        <f>'A) Base RI'!L188</f>
        <v>293457.55</v>
      </c>
      <c r="Q188" s="44">
        <f>'A) Base RI'!AR188</f>
        <v>1</v>
      </c>
      <c r="R188" s="4">
        <f t="shared" si="14"/>
        <v>6010958.8399999999</v>
      </c>
      <c r="S188" s="43">
        <f>'A) Base RI'!AM188</f>
        <v>52</v>
      </c>
      <c r="T188" s="4">
        <f t="shared" si="15"/>
        <v>5716026.79</v>
      </c>
      <c r="U188" s="4">
        <f t="shared" si="16"/>
        <v>115595.36230769231</v>
      </c>
      <c r="V188" s="14">
        <f>'A) Base RI'!O188</f>
        <v>0</v>
      </c>
      <c r="W188" s="14">
        <f>'A) Base RI'!P188</f>
        <v>59086.5</v>
      </c>
      <c r="X188" s="14">
        <f>'A) Base RI'!R188</f>
        <v>72545.3</v>
      </c>
      <c r="Y188" s="4">
        <f t="shared" si="17"/>
        <v>131631.79999999999</v>
      </c>
      <c r="Z188" s="14">
        <f>'A) Base RI'!N188</f>
        <v>21812.15</v>
      </c>
      <c r="AA188" s="14">
        <f>'A) Base RI'!S188+'A) Base RI'!T188</f>
        <v>1609.55</v>
      </c>
      <c r="AB188" s="14">
        <f>'A) Base RI'!U188</f>
        <v>9000</v>
      </c>
      <c r="AC188" s="14">
        <f>'A) Base RI'!V188</f>
        <v>0</v>
      </c>
      <c r="AD188" s="14">
        <f>'A) Base RI'!W188</f>
        <v>0</v>
      </c>
      <c r="AE188" s="14">
        <f>'A) Base RI'!Y188</f>
        <v>70791</v>
      </c>
      <c r="AF188" s="14">
        <f>'A) Base RI'!Z188</f>
        <v>46191.95</v>
      </c>
      <c r="AG188" s="14">
        <f>'A) Base RI'!AA188</f>
        <v>38242.5</v>
      </c>
      <c r="AH188" s="14">
        <f>'A) Base RI'!AB188</f>
        <v>0</v>
      </c>
      <c r="AI188" s="14">
        <f>'A) Base RI'!AC188</f>
        <v>77743.05</v>
      </c>
      <c r="AJ188" s="14">
        <f>'A) Base RI'!AD188</f>
        <v>0</v>
      </c>
      <c r="AK188" s="14">
        <f>'A) Base RI'!AE188</f>
        <v>0</v>
      </c>
      <c r="AL188" s="14">
        <f>'A) Base RI'!AF188</f>
        <v>0</v>
      </c>
      <c r="AM188" s="14">
        <f>'A) Base RI'!AG188</f>
        <v>8557.5499999999993</v>
      </c>
      <c r="AN188" s="14">
        <f>'A) Base RI'!AH188</f>
        <v>0</v>
      </c>
      <c r="AO188" s="14">
        <f>'A) Base RI'!AI188</f>
        <v>0</v>
      </c>
      <c r="AP188" s="14">
        <f>'A) Base RI'!AJ188</f>
        <v>0</v>
      </c>
      <c r="AQ188" s="14">
        <f>'A) Base RI'!AK188</f>
        <v>0</v>
      </c>
      <c r="AR188" s="14">
        <f>'A) Base RI'!AN188</f>
        <v>1174</v>
      </c>
    </row>
    <row r="189" spans="1:44" x14ac:dyDescent="0.25">
      <c r="A189" s="12">
        <f>'A) Base RI'!A189</f>
        <v>5710</v>
      </c>
      <c r="B189" s="42" t="str">
        <f>'A) Base RI'!B189</f>
        <v>Coinsins</v>
      </c>
      <c r="C189" s="14">
        <f>'A) Base RI'!C189+'A) Base RI'!D189</f>
        <v>979123.30999999994</v>
      </c>
      <c r="D189" s="14">
        <f>'A) Base RI'!AO189</f>
        <v>-3221.37</v>
      </c>
      <c r="E189" s="41">
        <f>'A) Base RI'!AP189</f>
        <v>0</v>
      </c>
      <c r="F189" s="41">
        <f>'A) Base RI'!AQ189</f>
        <v>-2736.99</v>
      </c>
      <c r="G189" s="4">
        <f t="shared" si="12"/>
        <v>973164.95</v>
      </c>
      <c r="H189" s="14">
        <f>'A) Base RI'!E189</f>
        <v>0</v>
      </c>
      <c r="I189" s="14">
        <f>'A) Base RI'!F189</f>
        <v>0</v>
      </c>
      <c r="J189" s="14">
        <f>'A) Base RI'!G189+'A) Base RI'!H189</f>
        <v>3299942.55</v>
      </c>
      <c r="K189" s="14">
        <f>'A) Base RI'!I189</f>
        <v>89201.4</v>
      </c>
      <c r="L189" s="14">
        <f>'A) Base RI'!J189</f>
        <v>140793.70000000001</v>
      </c>
      <c r="M189" s="14">
        <f>'A) Base RI'!K189</f>
        <v>4997.7</v>
      </c>
      <c r="N189" s="14">
        <f>'A) Base RI'!Q189</f>
        <v>1483.31</v>
      </c>
      <c r="O189" s="14">
        <f t="shared" si="13"/>
        <v>112703.3</v>
      </c>
      <c r="P189" s="14">
        <f>'A) Base RI'!L189</f>
        <v>112703.3</v>
      </c>
      <c r="Q189" s="44">
        <f>'A) Base RI'!AR189</f>
        <v>1</v>
      </c>
      <c r="R189" s="4">
        <f t="shared" si="14"/>
        <v>4622286.91</v>
      </c>
      <c r="S189" s="43">
        <f>'A) Base RI'!AM189</f>
        <v>41</v>
      </c>
      <c r="T189" s="4">
        <f t="shared" si="15"/>
        <v>4504585.91</v>
      </c>
      <c r="U189" s="4">
        <f t="shared" si="16"/>
        <v>112738.70512195122</v>
      </c>
      <c r="V189" s="14">
        <f>'A) Base RI'!O189</f>
        <v>17771.5</v>
      </c>
      <c r="W189" s="14">
        <f>'A) Base RI'!P189</f>
        <v>27225</v>
      </c>
      <c r="X189" s="14">
        <f>'A) Base RI'!R189</f>
        <v>198955.85</v>
      </c>
      <c r="Y189" s="4">
        <f t="shared" si="17"/>
        <v>243952.35</v>
      </c>
      <c r="Z189" s="14">
        <f>'A) Base RI'!N189</f>
        <v>36713.75</v>
      </c>
      <c r="AA189" s="14">
        <f>'A) Base RI'!S189+'A) Base RI'!T189</f>
        <v>31.25</v>
      </c>
      <c r="AB189" s="14">
        <f>'A) Base RI'!U189</f>
        <v>0</v>
      </c>
      <c r="AC189" s="14">
        <f>'A) Base RI'!V189</f>
        <v>0</v>
      </c>
      <c r="AD189" s="14">
        <f>'A) Base RI'!W189</f>
        <v>0</v>
      </c>
      <c r="AE189" s="14">
        <f>'A) Base RI'!Y189</f>
        <v>0</v>
      </c>
      <c r="AF189" s="14">
        <f>'A) Base RI'!Z189</f>
        <v>0</v>
      </c>
      <c r="AG189" s="14">
        <f>'A) Base RI'!AA189</f>
        <v>67347.649999999994</v>
      </c>
      <c r="AH189" s="14">
        <f>'A) Base RI'!AB189</f>
        <v>0</v>
      </c>
      <c r="AI189" s="14">
        <f>'A) Base RI'!AC189</f>
        <v>13775.6</v>
      </c>
      <c r="AJ189" s="14">
        <f>'A) Base RI'!AD189</f>
        <v>0</v>
      </c>
      <c r="AK189" s="14">
        <f>'A) Base RI'!AE189</f>
        <v>0</v>
      </c>
      <c r="AL189" s="14">
        <f>'A) Base RI'!AF189</f>
        <v>0</v>
      </c>
      <c r="AM189" s="14">
        <f>'A) Base RI'!AG189</f>
        <v>8344</v>
      </c>
      <c r="AN189" s="14">
        <f>'A) Base RI'!AH189</f>
        <v>24916.9</v>
      </c>
      <c r="AO189" s="14">
        <f>'A) Base RI'!AI189</f>
        <v>0</v>
      </c>
      <c r="AP189" s="14">
        <f>'A) Base RI'!AJ189</f>
        <v>0</v>
      </c>
      <c r="AQ189" s="14">
        <f>'A) Base RI'!AK189</f>
        <v>0</v>
      </c>
      <c r="AR189" s="14">
        <f>'A) Base RI'!AN189</f>
        <v>435</v>
      </c>
    </row>
    <row r="190" spans="1:44" x14ac:dyDescent="0.25">
      <c r="A190" s="12">
        <f>'A) Base RI'!A190</f>
        <v>5711</v>
      </c>
      <c r="B190" s="42" t="str">
        <f>'A) Base RI'!B190</f>
        <v>Commugny</v>
      </c>
      <c r="C190" s="14">
        <f>'A) Base RI'!C190+'A) Base RI'!D190</f>
        <v>12591784.960000001</v>
      </c>
      <c r="D190" s="14">
        <f>'A) Base RI'!AO190</f>
        <v>-131478.1</v>
      </c>
      <c r="E190" s="41">
        <f>'A) Base RI'!AP190</f>
        <v>0</v>
      </c>
      <c r="F190" s="41">
        <f>'A) Base RI'!AQ190</f>
        <v>-12844.85</v>
      </c>
      <c r="G190" s="4">
        <f t="shared" si="12"/>
        <v>12447462.010000002</v>
      </c>
      <c r="H190" s="14">
        <f>'A) Base RI'!E190</f>
        <v>0</v>
      </c>
      <c r="I190" s="14">
        <f>'A) Base RI'!F190</f>
        <v>0</v>
      </c>
      <c r="J190" s="14">
        <f>'A) Base RI'!G190+'A) Base RI'!H190</f>
        <v>177053.8</v>
      </c>
      <c r="K190" s="14">
        <f>'A) Base RI'!I190</f>
        <v>147080.75</v>
      </c>
      <c r="L190" s="14">
        <f>'A) Base RI'!J190</f>
        <v>166409.51</v>
      </c>
      <c r="M190" s="14">
        <f>'A) Base RI'!K190</f>
        <v>12264.5</v>
      </c>
      <c r="N190" s="14">
        <f>'A) Base RI'!Q190</f>
        <v>12063.29</v>
      </c>
      <c r="O190" s="14">
        <f t="shared" si="13"/>
        <v>778634.38461538451</v>
      </c>
      <c r="P190" s="14">
        <f>'A) Base RI'!L190</f>
        <v>1012224.7</v>
      </c>
      <c r="Q190" s="44">
        <f>'A) Base RI'!AR190</f>
        <v>1.3</v>
      </c>
      <c r="R190" s="4">
        <f t="shared" si="14"/>
        <v>13740968.244615385</v>
      </c>
      <c r="S190" s="43">
        <f>'A) Base RI'!AM190</f>
        <v>58</v>
      </c>
      <c r="T190" s="4">
        <f t="shared" si="15"/>
        <v>12950069.360000001</v>
      </c>
      <c r="U190" s="4">
        <f t="shared" si="16"/>
        <v>236913.245596817</v>
      </c>
      <c r="V190" s="14">
        <f>'A) Base RI'!O190</f>
        <v>0</v>
      </c>
      <c r="W190" s="14">
        <f>'A) Base RI'!P190</f>
        <v>486221.8</v>
      </c>
      <c r="X190" s="14">
        <f>'A) Base RI'!R190</f>
        <v>462280.7</v>
      </c>
      <c r="Y190" s="4">
        <f t="shared" si="17"/>
        <v>948502.5</v>
      </c>
      <c r="Z190" s="14">
        <f>'A) Base RI'!N190</f>
        <v>28572</v>
      </c>
      <c r="AA190" s="14">
        <f>'A) Base RI'!S190+'A) Base RI'!T190</f>
        <v>31.25</v>
      </c>
      <c r="AB190" s="14">
        <f>'A) Base RI'!U190</f>
        <v>15850</v>
      </c>
      <c r="AC190" s="14">
        <f>'A) Base RI'!V190</f>
        <v>0</v>
      </c>
      <c r="AD190" s="14">
        <f>'A) Base RI'!W190</f>
        <v>0</v>
      </c>
      <c r="AE190" s="14">
        <f>'A) Base RI'!Y190</f>
        <v>15616.1</v>
      </c>
      <c r="AF190" s="14">
        <f>'A) Base RI'!Z190</f>
        <v>0</v>
      </c>
      <c r="AG190" s="14">
        <f>'A) Base RI'!AA190</f>
        <v>199253.25</v>
      </c>
      <c r="AH190" s="14">
        <f>'A) Base RI'!AB190</f>
        <v>0</v>
      </c>
      <c r="AI190" s="14">
        <f>'A) Base RI'!AC190</f>
        <v>189650.45</v>
      </c>
      <c r="AJ190" s="14">
        <f>'A) Base RI'!AD190</f>
        <v>57167.45</v>
      </c>
      <c r="AK190" s="14">
        <f>'A) Base RI'!AE190</f>
        <v>0</v>
      </c>
      <c r="AL190" s="14">
        <f>'A) Base RI'!AF190</f>
        <v>0</v>
      </c>
      <c r="AM190" s="14">
        <f>'A) Base RI'!AG190</f>
        <v>14910</v>
      </c>
      <c r="AN190" s="14">
        <f>'A) Base RI'!AH190</f>
        <v>0</v>
      </c>
      <c r="AO190" s="14">
        <f>'A) Base RI'!AI190</f>
        <v>0</v>
      </c>
      <c r="AP190" s="14">
        <f>'A) Base RI'!AJ190</f>
        <v>0</v>
      </c>
      <c r="AQ190" s="14">
        <f>'A) Base RI'!AK190</f>
        <v>0</v>
      </c>
      <c r="AR190" s="14">
        <f>'A) Base RI'!AN190</f>
        <v>2591</v>
      </c>
    </row>
    <row r="191" spans="1:44" x14ac:dyDescent="0.25">
      <c r="A191" s="12">
        <f>'A) Base RI'!A191</f>
        <v>5712</v>
      </c>
      <c r="B191" s="42" t="str">
        <f>'A) Base RI'!B191</f>
        <v>Coppet</v>
      </c>
      <c r="C191" s="14">
        <f>'A) Base RI'!C191+'A) Base RI'!D191</f>
        <v>14071205.129999999</v>
      </c>
      <c r="D191" s="14">
        <f>'A) Base RI'!AO191</f>
        <v>-29174.99</v>
      </c>
      <c r="E191" s="41">
        <f>'A) Base RI'!AP191</f>
        <v>0</v>
      </c>
      <c r="F191" s="41">
        <f>'A) Base RI'!AQ191</f>
        <v>-19336.62</v>
      </c>
      <c r="G191" s="4">
        <f t="shared" si="12"/>
        <v>14022693.52</v>
      </c>
      <c r="H191" s="14">
        <f>'A) Base RI'!E191</f>
        <v>0</v>
      </c>
      <c r="I191" s="14">
        <f>'A) Base RI'!F191</f>
        <v>0</v>
      </c>
      <c r="J191" s="14">
        <f>'A) Base RI'!G191+'A) Base RI'!H191</f>
        <v>169102.30000000002</v>
      </c>
      <c r="K191" s="14">
        <f>'A) Base RI'!I191</f>
        <v>890090.11</v>
      </c>
      <c r="L191" s="14">
        <f>'A) Base RI'!J191</f>
        <v>269378.34000000003</v>
      </c>
      <c r="M191" s="14">
        <f>'A) Base RI'!K191</f>
        <v>30330.5</v>
      </c>
      <c r="N191" s="14">
        <f>'A) Base RI'!Q191</f>
        <v>5698.97</v>
      </c>
      <c r="O191" s="14">
        <f t="shared" si="13"/>
        <v>1023751.9666666667</v>
      </c>
      <c r="P191" s="14">
        <f>'A) Base RI'!L191</f>
        <v>1535627.95</v>
      </c>
      <c r="Q191" s="44">
        <f>'A) Base RI'!AR191</f>
        <v>1.5</v>
      </c>
      <c r="R191" s="4">
        <f t="shared" si="14"/>
        <v>16411045.706666667</v>
      </c>
      <c r="S191" s="43">
        <f>'A) Base RI'!AM191</f>
        <v>53</v>
      </c>
      <c r="T191" s="4">
        <f t="shared" si="15"/>
        <v>15356963.24</v>
      </c>
      <c r="U191" s="4">
        <f t="shared" si="16"/>
        <v>309642.37182389939</v>
      </c>
      <c r="V191" s="14">
        <f>'A) Base RI'!O191</f>
        <v>61496.9</v>
      </c>
      <c r="W191" s="14">
        <f>'A) Base RI'!P191</f>
        <v>421556.7</v>
      </c>
      <c r="X191" s="14">
        <f>'A) Base RI'!R191</f>
        <v>1839110</v>
      </c>
      <c r="Y191" s="4">
        <f t="shared" si="17"/>
        <v>2322163.6</v>
      </c>
      <c r="Z191" s="14">
        <f>'A) Base RI'!N191</f>
        <v>128277.75</v>
      </c>
      <c r="AA191" s="14">
        <f>'A) Base RI'!S191+'A) Base RI'!T191</f>
        <v>81.25</v>
      </c>
      <c r="AB191" s="14">
        <f>'A) Base RI'!U191</f>
        <v>7200</v>
      </c>
      <c r="AC191" s="14">
        <f>'A) Base RI'!V191</f>
        <v>0</v>
      </c>
      <c r="AD191" s="14">
        <f>'A) Base RI'!W191</f>
        <v>0</v>
      </c>
      <c r="AE191" s="14">
        <f>'A) Base RI'!Y191</f>
        <v>144001.22</v>
      </c>
      <c r="AF191" s="14">
        <f>'A) Base RI'!Z191</f>
        <v>0</v>
      </c>
      <c r="AG191" s="14">
        <f>'A) Base RI'!AA191</f>
        <v>218374</v>
      </c>
      <c r="AH191" s="14">
        <f>'A) Base RI'!AB191</f>
        <v>0</v>
      </c>
      <c r="AI191" s="14">
        <f>'A) Base RI'!AC191</f>
        <v>530994.04</v>
      </c>
      <c r="AJ191" s="14">
        <f>'A) Base RI'!AD191</f>
        <v>0</v>
      </c>
      <c r="AK191" s="14">
        <f>'A) Base RI'!AE191</f>
        <v>0</v>
      </c>
      <c r="AL191" s="14">
        <f>'A) Base RI'!AF191</f>
        <v>0</v>
      </c>
      <c r="AM191" s="14">
        <f>'A) Base RI'!AG191</f>
        <v>0</v>
      </c>
      <c r="AN191" s="14">
        <f>'A) Base RI'!AH191</f>
        <v>0</v>
      </c>
      <c r="AO191" s="14">
        <f>'A) Base RI'!AI191</f>
        <v>0</v>
      </c>
      <c r="AP191" s="14">
        <f>'A) Base RI'!AJ191</f>
        <v>0</v>
      </c>
      <c r="AQ191" s="14">
        <f>'A) Base RI'!AK191</f>
        <v>0</v>
      </c>
      <c r="AR191" s="14">
        <f>'A) Base RI'!AN191</f>
        <v>2936</v>
      </c>
    </row>
    <row r="192" spans="1:44" x14ac:dyDescent="0.25">
      <c r="A192" s="12">
        <f>'A) Base RI'!A192</f>
        <v>5713</v>
      </c>
      <c r="B192" s="42" t="str">
        <f>'A) Base RI'!B192</f>
        <v>Crans-près-Céligny</v>
      </c>
      <c r="C192" s="14">
        <f>'A) Base RI'!C192+'A) Base RI'!D192</f>
        <v>12599977.57</v>
      </c>
      <c r="D192" s="14">
        <f>'A) Base RI'!AO192</f>
        <v>-18506.38</v>
      </c>
      <c r="E192" s="41">
        <f>'A) Base RI'!AP192</f>
        <v>0</v>
      </c>
      <c r="F192" s="41">
        <f>'A) Base RI'!AQ192</f>
        <v>-33641.68</v>
      </c>
      <c r="G192" s="4">
        <f t="shared" si="12"/>
        <v>12547829.51</v>
      </c>
      <c r="H192" s="14">
        <f>'A) Base RI'!E192</f>
        <v>0</v>
      </c>
      <c r="I192" s="14">
        <f>'A) Base RI'!F192</f>
        <v>0</v>
      </c>
      <c r="J192" s="14">
        <f>'A) Base RI'!G192+'A) Base RI'!H192</f>
        <v>83296.350000000006</v>
      </c>
      <c r="K192" s="14">
        <f>'A) Base RI'!I192</f>
        <v>285356.87</v>
      </c>
      <c r="L192" s="14">
        <f>'A) Base RI'!J192</f>
        <v>111526.67</v>
      </c>
      <c r="M192" s="14">
        <f>'A) Base RI'!K192</f>
        <v>7287.5</v>
      </c>
      <c r="N192" s="14">
        <f>'A) Base RI'!Q192</f>
        <v>15264.49</v>
      </c>
      <c r="O192" s="14">
        <f t="shared" si="13"/>
        <v>694014.55</v>
      </c>
      <c r="P192" s="14">
        <f>'A) Base RI'!L192</f>
        <v>694014.55</v>
      </c>
      <c r="Q192" s="44">
        <f>'A) Base RI'!AR192</f>
        <v>1</v>
      </c>
      <c r="R192" s="4">
        <f t="shared" si="14"/>
        <v>13744575.939999999</v>
      </c>
      <c r="S192" s="43">
        <f>'A) Base RI'!AM192</f>
        <v>53</v>
      </c>
      <c r="T192" s="4">
        <f t="shared" si="15"/>
        <v>13043273.889999999</v>
      </c>
      <c r="U192" s="4">
        <f t="shared" si="16"/>
        <v>259331.62150943396</v>
      </c>
      <c r="V192" s="14">
        <f>'A) Base RI'!O192</f>
        <v>193288.3</v>
      </c>
      <c r="W192" s="14">
        <f>'A) Base RI'!P192</f>
        <v>577861.94999999995</v>
      </c>
      <c r="X192" s="14">
        <f>'A) Base RI'!R192</f>
        <v>507739.55</v>
      </c>
      <c r="Y192" s="4">
        <f t="shared" si="17"/>
        <v>1278889.8</v>
      </c>
      <c r="Z192" s="14">
        <f>'A) Base RI'!N192</f>
        <v>26999.9</v>
      </c>
      <c r="AA192" s="14">
        <f>'A) Base RI'!S192+'A) Base RI'!T192</f>
        <v>34.5</v>
      </c>
      <c r="AB192" s="14">
        <f>'A) Base RI'!U192</f>
        <v>11500</v>
      </c>
      <c r="AC192" s="14">
        <f>'A) Base RI'!V192</f>
        <v>0</v>
      </c>
      <c r="AD192" s="14">
        <f>'A) Base RI'!W192</f>
        <v>0</v>
      </c>
      <c r="AE192" s="14">
        <f>'A) Base RI'!Y192</f>
        <v>93520</v>
      </c>
      <c r="AF192" s="14">
        <f>'A) Base RI'!Z192</f>
        <v>0</v>
      </c>
      <c r="AG192" s="14">
        <f>'A) Base RI'!AA192</f>
        <v>371408.62</v>
      </c>
      <c r="AH192" s="14">
        <f>'A) Base RI'!AB192</f>
        <v>0</v>
      </c>
      <c r="AI192" s="14">
        <f>'A) Base RI'!AC192</f>
        <v>209915.66</v>
      </c>
      <c r="AJ192" s="14">
        <f>'A) Base RI'!AD192</f>
        <v>0</v>
      </c>
      <c r="AK192" s="14">
        <f>'A) Base RI'!AE192</f>
        <v>0</v>
      </c>
      <c r="AL192" s="14">
        <f>'A) Base RI'!AF192</f>
        <v>0</v>
      </c>
      <c r="AM192" s="14">
        <f>'A) Base RI'!AG192</f>
        <v>0</v>
      </c>
      <c r="AN192" s="14">
        <f>'A) Base RI'!AH192</f>
        <v>77354.95</v>
      </c>
      <c r="AO192" s="14">
        <f>'A) Base RI'!AI192</f>
        <v>0</v>
      </c>
      <c r="AP192" s="14">
        <f>'A) Base RI'!AJ192</f>
        <v>0</v>
      </c>
      <c r="AQ192" s="14">
        <f>'A) Base RI'!AK192</f>
        <v>0</v>
      </c>
      <c r="AR192" s="14">
        <f>'A) Base RI'!AN192</f>
        <v>2044</v>
      </c>
    </row>
    <row r="193" spans="1:44" x14ac:dyDescent="0.25">
      <c r="A193" s="12">
        <f>'A) Base RI'!A193</f>
        <v>5714</v>
      </c>
      <c r="B193" s="42" t="str">
        <f>'A) Base RI'!B193</f>
        <v>Crassier</v>
      </c>
      <c r="C193" s="14">
        <f>'A) Base RI'!C193+'A) Base RI'!D193</f>
        <v>4154534.3</v>
      </c>
      <c r="D193" s="14">
        <f>'A) Base RI'!AO193</f>
        <v>-27301.22</v>
      </c>
      <c r="E193" s="41">
        <f>'A) Base RI'!AP193</f>
        <v>0</v>
      </c>
      <c r="F193" s="41">
        <f>'A) Base RI'!AQ193</f>
        <v>-2246.0300000000002</v>
      </c>
      <c r="G193" s="4">
        <f t="shared" si="12"/>
        <v>4124987.05</v>
      </c>
      <c r="H193" s="14">
        <f>'A) Base RI'!E193</f>
        <v>0</v>
      </c>
      <c r="I193" s="14">
        <f>'A) Base RI'!F193</f>
        <v>0</v>
      </c>
      <c r="J193" s="14">
        <f>'A) Base RI'!G193+'A) Base RI'!H193</f>
        <v>252845</v>
      </c>
      <c r="K193" s="14">
        <f>'A) Base RI'!I193</f>
        <v>105376.32000000001</v>
      </c>
      <c r="L193" s="14">
        <f>'A) Base RI'!J193</f>
        <v>58849.68</v>
      </c>
      <c r="M193" s="14">
        <f>'A) Base RI'!K193</f>
        <v>3910.5</v>
      </c>
      <c r="N193" s="14">
        <f>'A) Base RI'!Q193</f>
        <v>0</v>
      </c>
      <c r="O193" s="14">
        <f t="shared" si="13"/>
        <v>253427.35</v>
      </c>
      <c r="P193" s="14">
        <f>'A) Base RI'!L193</f>
        <v>253427.35</v>
      </c>
      <c r="Q193" s="44">
        <f>'A) Base RI'!AR193</f>
        <v>1</v>
      </c>
      <c r="R193" s="4">
        <f t="shared" si="14"/>
        <v>4799395.8999999994</v>
      </c>
      <c r="S193" s="43">
        <f>'A) Base RI'!AM193</f>
        <v>64</v>
      </c>
      <c r="T193" s="4">
        <f t="shared" si="15"/>
        <v>4542058.05</v>
      </c>
      <c r="U193" s="4">
        <f t="shared" si="16"/>
        <v>74990.560937499991</v>
      </c>
      <c r="V193" s="14">
        <f>'A) Base RI'!O193</f>
        <v>0</v>
      </c>
      <c r="W193" s="14">
        <f>'A) Base RI'!P193</f>
        <v>221501.4</v>
      </c>
      <c r="X193" s="14">
        <f>'A) Base RI'!R193</f>
        <v>67539.100000000006</v>
      </c>
      <c r="Y193" s="4">
        <f t="shared" si="17"/>
        <v>289040.5</v>
      </c>
      <c r="Z193" s="14">
        <f>'A) Base RI'!N193</f>
        <v>96901.1</v>
      </c>
      <c r="AA193" s="14">
        <f>'A) Base RI'!S193+'A) Base RI'!T193</f>
        <v>362.5</v>
      </c>
      <c r="AB193" s="14">
        <f>'A) Base RI'!U193</f>
        <v>4200</v>
      </c>
      <c r="AC193" s="14">
        <f>'A) Base RI'!V193</f>
        <v>0</v>
      </c>
      <c r="AD193" s="14">
        <f>'A) Base RI'!W193</f>
        <v>0</v>
      </c>
      <c r="AE193" s="14">
        <f>'A) Base RI'!Y193</f>
        <v>1717</v>
      </c>
      <c r="AF193" s="14">
        <f>'A) Base RI'!Z193</f>
        <v>0</v>
      </c>
      <c r="AG193" s="14">
        <f>'A) Base RI'!AA193</f>
        <v>81973.100000000006</v>
      </c>
      <c r="AH193" s="14">
        <f>'A) Base RI'!AB193</f>
        <v>0</v>
      </c>
      <c r="AI193" s="14">
        <f>'A) Base RI'!AC193</f>
        <v>95764.15</v>
      </c>
      <c r="AJ193" s="14">
        <f>'A) Base RI'!AD193</f>
        <v>547.5</v>
      </c>
      <c r="AK193" s="14">
        <f>'A) Base RI'!AE193</f>
        <v>0</v>
      </c>
      <c r="AL193" s="14">
        <f>'A) Base RI'!AF193</f>
        <v>0</v>
      </c>
      <c r="AM193" s="14">
        <f>'A) Base RI'!AG193</f>
        <v>2840</v>
      </c>
      <c r="AN193" s="14">
        <f>'A) Base RI'!AH193</f>
        <v>29647.4</v>
      </c>
      <c r="AO193" s="14">
        <f>'A) Base RI'!AI193</f>
        <v>0</v>
      </c>
      <c r="AP193" s="14">
        <f>'A) Base RI'!AJ193</f>
        <v>0</v>
      </c>
      <c r="AQ193" s="14">
        <f>'A) Base RI'!AK193</f>
        <v>0</v>
      </c>
      <c r="AR193" s="14">
        <f>'A) Base RI'!AN193</f>
        <v>1141</v>
      </c>
    </row>
    <row r="194" spans="1:44" x14ac:dyDescent="0.25">
      <c r="A194" s="12">
        <f>'A) Base RI'!A194</f>
        <v>5715</v>
      </c>
      <c r="B194" s="42" t="str">
        <f>'A) Base RI'!B194</f>
        <v>Duillier</v>
      </c>
      <c r="C194" s="14">
        <f>'A) Base RI'!C194+'A) Base RI'!D194</f>
        <v>3624411.08</v>
      </c>
      <c r="D194" s="14">
        <f>'A) Base RI'!AO194</f>
        <v>-33853.08</v>
      </c>
      <c r="E194" s="41">
        <f>'A) Base RI'!AP194</f>
        <v>0</v>
      </c>
      <c r="F194" s="41">
        <f>'A) Base RI'!AQ194</f>
        <v>-344.94</v>
      </c>
      <c r="G194" s="4">
        <f t="shared" si="12"/>
        <v>3590213.06</v>
      </c>
      <c r="H194" s="14">
        <f>'A) Base RI'!E194</f>
        <v>0</v>
      </c>
      <c r="I194" s="14">
        <f>'A) Base RI'!F194</f>
        <v>0</v>
      </c>
      <c r="J194" s="14">
        <f>'A) Base RI'!G194+'A) Base RI'!H194</f>
        <v>30705.850000000002</v>
      </c>
      <c r="K194" s="14">
        <f>'A) Base RI'!I194</f>
        <v>-45333.1</v>
      </c>
      <c r="L194" s="14">
        <f>'A) Base RI'!J194</f>
        <v>33636.03</v>
      </c>
      <c r="M194" s="14">
        <f>'A) Base RI'!K194</f>
        <v>3121</v>
      </c>
      <c r="N194" s="14">
        <f>'A) Base RI'!Q194</f>
        <v>6239.79</v>
      </c>
      <c r="O194" s="14">
        <f t="shared" si="13"/>
        <v>230093.3</v>
      </c>
      <c r="P194" s="14">
        <f>'A) Base RI'!L194</f>
        <v>230093.3</v>
      </c>
      <c r="Q194" s="44">
        <f>'A) Base RI'!AR194</f>
        <v>1</v>
      </c>
      <c r="R194" s="4">
        <f t="shared" si="14"/>
        <v>3848675.9299999997</v>
      </c>
      <c r="S194" s="43">
        <f>'A) Base RI'!AM194</f>
        <v>66</v>
      </c>
      <c r="T194" s="4">
        <f t="shared" si="15"/>
        <v>3615461.63</v>
      </c>
      <c r="U194" s="4">
        <f t="shared" si="16"/>
        <v>58313.27166666666</v>
      </c>
      <c r="V194" s="14">
        <f>'A) Base RI'!O194</f>
        <v>181233.9</v>
      </c>
      <c r="W194" s="14">
        <f>'A) Base RI'!P194</f>
        <v>252087</v>
      </c>
      <c r="X194" s="14">
        <f>'A) Base RI'!R194</f>
        <v>149350.39999999999</v>
      </c>
      <c r="Y194" s="4">
        <f t="shared" si="17"/>
        <v>582671.30000000005</v>
      </c>
      <c r="Z194" s="14">
        <f>'A) Base RI'!N194</f>
        <v>53425.599999999999</v>
      </c>
      <c r="AA194" s="14">
        <f>'A) Base RI'!S194+'A) Base RI'!T194</f>
        <v>0</v>
      </c>
      <c r="AB194" s="14">
        <f>'A) Base RI'!U194</f>
        <v>5750</v>
      </c>
      <c r="AC194" s="14">
        <f>'A) Base RI'!V194</f>
        <v>0</v>
      </c>
      <c r="AD194" s="14">
        <f>'A) Base RI'!W194</f>
        <v>0</v>
      </c>
      <c r="AE194" s="14">
        <f>'A) Base RI'!Y194</f>
        <v>77908.2</v>
      </c>
      <c r="AF194" s="14">
        <f>'A) Base RI'!Z194</f>
        <v>0</v>
      </c>
      <c r="AG194" s="14">
        <f>'A) Base RI'!AA194</f>
        <v>5643.15</v>
      </c>
      <c r="AH194" s="14">
        <f>'A) Base RI'!AB194</f>
        <v>0</v>
      </c>
      <c r="AI194" s="14">
        <f>'A) Base RI'!AC194</f>
        <v>100602.25</v>
      </c>
      <c r="AJ194" s="14">
        <f>'A) Base RI'!AD194</f>
        <v>72111.199999999997</v>
      </c>
      <c r="AK194" s="14">
        <f>'A) Base RI'!AE194</f>
        <v>0</v>
      </c>
      <c r="AL194" s="14">
        <f>'A) Base RI'!AF194</f>
        <v>0</v>
      </c>
      <c r="AM194" s="14">
        <f>'A) Base RI'!AG194</f>
        <v>5899</v>
      </c>
      <c r="AN194" s="14">
        <f>'A) Base RI'!AH194</f>
        <v>62813.23</v>
      </c>
      <c r="AO194" s="14">
        <f>'A) Base RI'!AI194</f>
        <v>0</v>
      </c>
      <c r="AP194" s="14">
        <f>'A) Base RI'!AJ194</f>
        <v>0</v>
      </c>
      <c r="AQ194" s="14">
        <f>'A) Base RI'!AK194</f>
        <v>0</v>
      </c>
      <c r="AR194" s="14">
        <f>'A) Base RI'!AN194</f>
        <v>998</v>
      </c>
    </row>
    <row r="195" spans="1:44" x14ac:dyDescent="0.25">
      <c r="A195" s="12">
        <f>'A) Base RI'!A195</f>
        <v>5716</v>
      </c>
      <c r="B195" s="42" t="str">
        <f>'A) Base RI'!B195</f>
        <v>Eysins</v>
      </c>
      <c r="C195" s="14">
        <f>'A) Base RI'!C195+'A) Base RI'!D195</f>
        <v>3693841.5</v>
      </c>
      <c r="D195" s="14">
        <f>'A) Base RI'!AO195</f>
        <v>-69897.03</v>
      </c>
      <c r="E195" s="41">
        <f>'A) Base RI'!AP195</f>
        <v>0</v>
      </c>
      <c r="F195" s="41">
        <f>'A) Base RI'!AQ195</f>
        <v>-1024.96</v>
      </c>
      <c r="G195" s="4">
        <f t="shared" si="12"/>
        <v>3622919.5100000002</v>
      </c>
      <c r="H195" s="14">
        <f>'A) Base RI'!E195</f>
        <v>0</v>
      </c>
      <c r="I195" s="14">
        <f>'A) Base RI'!F195</f>
        <v>0</v>
      </c>
      <c r="J195" s="14">
        <f>'A) Base RI'!G195+'A) Base RI'!H195</f>
        <v>3387076.1</v>
      </c>
      <c r="K195" s="14">
        <f>'A) Base RI'!I195</f>
        <v>23212.9</v>
      </c>
      <c r="L195" s="14">
        <f>'A) Base RI'!J195</f>
        <v>-103772.8</v>
      </c>
      <c r="M195" s="14">
        <f>'A) Base RI'!K195</f>
        <v>118994.5</v>
      </c>
      <c r="N195" s="14">
        <f>'A) Base RI'!Q195</f>
        <v>2914.55</v>
      </c>
      <c r="O195" s="14">
        <f t="shared" si="13"/>
        <v>534646.75</v>
      </c>
      <c r="P195" s="14">
        <f>'A) Base RI'!L195</f>
        <v>534646.75</v>
      </c>
      <c r="Q195" s="44">
        <f>'A) Base RI'!AR195</f>
        <v>1</v>
      </c>
      <c r="R195" s="4">
        <f t="shared" si="14"/>
        <v>7585991.5100000007</v>
      </c>
      <c r="S195" s="43">
        <f>'A) Base RI'!AM195</f>
        <v>61</v>
      </c>
      <c r="T195" s="4">
        <f t="shared" si="15"/>
        <v>6932350.2600000007</v>
      </c>
      <c r="U195" s="4">
        <f t="shared" si="16"/>
        <v>124360.51655737706</v>
      </c>
      <c r="V195" s="14">
        <f>'A) Base RI'!O195</f>
        <v>120673.8</v>
      </c>
      <c r="W195" s="14">
        <f>'A) Base RI'!P195</f>
        <v>192841.60000000001</v>
      </c>
      <c r="X195" s="14">
        <f>'A) Base RI'!R195</f>
        <v>68183.899999999994</v>
      </c>
      <c r="Y195" s="4">
        <f t="shared" si="17"/>
        <v>381699.30000000005</v>
      </c>
      <c r="Z195" s="14">
        <f>'A) Base RI'!N195</f>
        <v>624361.69999999995</v>
      </c>
      <c r="AA195" s="14">
        <f>'A) Base RI'!S195+'A) Base RI'!T195</f>
        <v>93.75</v>
      </c>
      <c r="AB195" s="14">
        <f>'A) Base RI'!U195</f>
        <v>7250</v>
      </c>
      <c r="AC195" s="14">
        <f>'A) Base RI'!V195</f>
        <v>0</v>
      </c>
      <c r="AD195" s="14">
        <f>'A) Base RI'!W195</f>
        <v>0</v>
      </c>
      <c r="AE195" s="14">
        <f>'A) Base RI'!Y195</f>
        <v>97789.07</v>
      </c>
      <c r="AF195" s="14">
        <f>'A) Base RI'!Z195</f>
        <v>0</v>
      </c>
      <c r="AG195" s="14">
        <f>'A) Base RI'!AA195</f>
        <v>240647.73</v>
      </c>
      <c r="AH195" s="14">
        <f>'A) Base RI'!AB195</f>
        <v>0</v>
      </c>
      <c r="AI195" s="14">
        <f>'A) Base RI'!AC195</f>
        <v>104946.57</v>
      </c>
      <c r="AJ195" s="14">
        <f>'A) Base RI'!AD195</f>
        <v>0</v>
      </c>
      <c r="AK195" s="14">
        <f>'A) Base RI'!AE195</f>
        <v>0</v>
      </c>
      <c r="AL195" s="14">
        <f>'A) Base RI'!AF195</f>
        <v>0</v>
      </c>
      <c r="AM195" s="14">
        <f>'A) Base RI'!AG195</f>
        <v>0</v>
      </c>
      <c r="AN195" s="14">
        <f>'A) Base RI'!AH195</f>
        <v>57307.5</v>
      </c>
      <c r="AO195" s="14">
        <f>'A) Base RI'!AI195</f>
        <v>0</v>
      </c>
      <c r="AP195" s="14">
        <f>'A) Base RI'!AJ195</f>
        <v>0</v>
      </c>
      <c r="AQ195" s="14">
        <f>'A) Base RI'!AK195</f>
        <v>0</v>
      </c>
      <c r="AR195" s="14">
        <f>'A) Base RI'!AN195</f>
        <v>1469</v>
      </c>
    </row>
    <row r="196" spans="1:44" x14ac:dyDescent="0.25">
      <c r="A196" s="12">
        <f>'A) Base RI'!A196</f>
        <v>5717</v>
      </c>
      <c r="B196" s="42" t="str">
        <f>'A) Base RI'!B196</f>
        <v>Founex</v>
      </c>
      <c r="C196" s="14">
        <f>'A) Base RI'!C196+'A) Base RI'!D196</f>
        <v>17739767.689999998</v>
      </c>
      <c r="D196" s="14">
        <f>'A) Base RI'!AO196</f>
        <v>-48782.879999999997</v>
      </c>
      <c r="E196" s="41">
        <f>'A) Base RI'!AP196</f>
        <v>0</v>
      </c>
      <c r="F196" s="41">
        <f>'A) Base RI'!AQ196</f>
        <v>-46412.639999999999</v>
      </c>
      <c r="G196" s="4">
        <f t="shared" si="12"/>
        <v>17644572.169999998</v>
      </c>
      <c r="H196" s="14">
        <f>'A) Base RI'!E196</f>
        <v>0</v>
      </c>
      <c r="I196" s="14">
        <f>'A) Base RI'!F196</f>
        <v>0</v>
      </c>
      <c r="J196" s="14">
        <f>'A) Base RI'!G196+'A) Base RI'!H196</f>
        <v>312096.34999999998</v>
      </c>
      <c r="K196" s="14">
        <f>'A) Base RI'!I196</f>
        <v>861800.79</v>
      </c>
      <c r="L196" s="14">
        <f>'A) Base RI'!J196</f>
        <v>-316842.55</v>
      </c>
      <c r="M196" s="14">
        <f>'A) Base RI'!K196</f>
        <v>41621</v>
      </c>
      <c r="N196" s="14">
        <f>'A) Base RI'!Q196</f>
        <v>18383.62</v>
      </c>
      <c r="O196" s="14">
        <f t="shared" si="13"/>
        <v>1137322.8</v>
      </c>
      <c r="P196" s="14">
        <f>'A) Base RI'!L196</f>
        <v>1137322.8</v>
      </c>
      <c r="Q196" s="44">
        <f>'A) Base RI'!AR196</f>
        <v>1</v>
      </c>
      <c r="R196" s="4">
        <f t="shared" si="14"/>
        <v>19698954.18</v>
      </c>
      <c r="S196" s="43">
        <f>'A) Base RI'!AM196</f>
        <v>57</v>
      </c>
      <c r="T196" s="4">
        <f t="shared" si="15"/>
        <v>18520010.379999999</v>
      </c>
      <c r="U196" s="4">
        <f t="shared" si="16"/>
        <v>345595.68736842106</v>
      </c>
      <c r="V196" s="14">
        <f>'A) Base RI'!O196</f>
        <v>88501.6</v>
      </c>
      <c r="W196" s="14">
        <f>'A) Base RI'!P196</f>
        <v>1029960.8</v>
      </c>
      <c r="X196" s="14">
        <f>'A) Base RI'!R196</f>
        <v>1149461.8999999999</v>
      </c>
      <c r="Y196" s="4">
        <f t="shared" si="17"/>
        <v>2267924.2999999998</v>
      </c>
      <c r="Z196" s="14">
        <f>'A) Base RI'!N196</f>
        <v>194155.35</v>
      </c>
      <c r="AA196" s="14">
        <f>'A) Base RI'!S196+'A) Base RI'!T196</f>
        <v>1262.5</v>
      </c>
      <c r="AB196" s="14">
        <f>'A) Base RI'!U196</f>
        <v>17080</v>
      </c>
      <c r="AC196" s="14">
        <f>'A) Base RI'!V196</f>
        <v>0</v>
      </c>
      <c r="AD196" s="14">
        <f>'A) Base RI'!W196</f>
        <v>0</v>
      </c>
      <c r="AE196" s="14">
        <f>'A) Base RI'!Y196</f>
        <v>65121.75</v>
      </c>
      <c r="AF196" s="14">
        <f>'A) Base RI'!Z196</f>
        <v>0</v>
      </c>
      <c r="AG196" s="14">
        <f>'A) Base RI'!AA196</f>
        <v>209007.35</v>
      </c>
      <c r="AH196" s="14">
        <f>'A) Base RI'!AB196</f>
        <v>0</v>
      </c>
      <c r="AI196" s="14">
        <f>'A) Base RI'!AC196</f>
        <v>478426.81</v>
      </c>
      <c r="AJ196" s="14">
        <f>'A) Base RI'!AD196</f>
        <v>0</v>
      </c>
      <c r="AK196" s="14">
        <f>'A) Base RI'!AE196</f>
        <v>0</v>
      </c>
      <c r="AL196" s="14">
        <f>'A) Base RI'!AF196</f>
        <v>0</v>
      </c>
      <c r="AM196" s="14">
        <f>'A) Base RI'!AG196</f>
        <v>3546</v>
      </c>
      <c r="AN196" s="14">
        <f>'A) Base RI'!AH196</f>
        <v>0</v>
      </c>
      <c r="AO196" s="14">
        <f>'A) Base RI'!AI196</f>
        <v>0</v>
      </c>
      <c r="AP196" s="14">
        <f>'A) Base RI'!AJ196</f>
        <v>0</v>
      </c>
      <c r="AQ196" s="14">
        <f>'A) Base RI'!AK196</f>
        <v>0</v>
      </c>
      <c r="AR196" s="14">
        <f>'A) Base RI'!AN196</f>
        <v>3372</v>
      </c>
    </row>
    <row r="197" spans="1:44" x14ac:dyDescent="0.25">
      <c r="A197" s="12">
        <f>'A) Base RI'!A197</f>
        <v>5718</v>
      </c>
      <c r="B197" s="42" t="str">
        <f>'A) Base RI'!B197</f>
        <v>Genolier</v>
      </c>
      <c r="C197" s="14">
        <f>'A) Base RI'!C197+'A) Base RI'!D197</f>
        <v>7050986.5800000001</v>
      </c>
      <c r="D197" s="14">
        <f>'A) Base RI'!AO197</f>
        <v>-105494.37</v>
      </c>
      <c r="E197" s="41">
        <f>'A) Base RI'!AP197</f>
        <v>0</v>
      </c>
      <c r="F197" s="41">
        <f>'A) Base RI'!AQ197</f>
        <v>-3650.46</v>
      </c>
      <c r="G197" s="4">
        <f t="shared" si="12"/>
        <v>6941841.75</v>
      </c>
      <c r="H197" s="14">
        <f>'A) Base RI'!E197</f>
        <v>0</v>
      </c>
      <c r="I197" s="14">
        <f>'A) Base RI'!F197</f>
        <v>0</v>
      </c>
      <c r="J197" s="14">
        <f>'A) Base RI'!G197+'A) Base RI'!H197</f>
        <v>298735.05</v>
      </c>
      <c r="K197" s="14">
        <f>'A) Base RI'!I197</f>
        <v>217379.85</v>
      </c>
      <c r="L197" s="14">
        <f>'A) Base RI'!J197</f>
        <v>73227.37</v>
      </c>
      <c r="M197" s="14">
        <f>'A) Base RI'!K197</f>
        <v>29391</v>
      </c>
      <c r="N197" s="14">
        <f>'A) Base RI'!Q197</f>
        <v>-7365.14</v>
      </c>
      <c r="O197" s="14">
        <f t="shared" si="13"/>
        <v>562800.80000000005</v>
      </c>
      <c r="P197" s="14">
        <f>'A) Base RI'!L197</f>
        <v>562800.80000000005</v>
      </c>
      <c r="Q197" s="44">
        <f>'A) Base RI'!AR197</f>
        <v>1</v>
      </c>
      <c r="R197" s="4">
        <f t="shared" si="14"/>
        <v>8116010.6799999997</v>
      </c>
      <c r="S197" s="43">
        <f>'A) Base RI'!AM197</f>
        <v>55</v>
      </c>
      <c r="T197" s="4">
        <f t="shared" si="15"/>
        <v>7523818.8799999999</v>
      </c>
      <c r="U197" s="4">
        <f t="shared" si="16"/>
        <v>147563.83054545455</v>
      </c>
      <c r="V197" s="14">
        <f>'A) Base RI'!O197</f>
        <v>189833.8</v>
      </c>
      <c r="W197" s="14">
        <f>'A) Base RI'!P197</f>
        <v>338151</v>
      </c>
      <c r="X197" s="14">
        <f>'A) Base RI'!R197</f>
        <v>320858.59999999998</v>
      </c>
      <c r="Y197" s="4">
        <f t="shared" si="17"/>
        <v>848843.4</v>
      </c>
      <c r="Z197" s="14">
        <f>'A) Base RI'!N197</f>
        <v>484928.65</v>
      </c>
      <c r="AA197" s="14">
        <f>'A) Base RI'!S197+'A) Base RI'!T197</f>
        <v>31.3</v>
      </c>
      <c r="AB197" s="14">
        <f>'A) Base RI'!U197</f>
        <v>6500</v>
      </c>
      <c r="AC197" s="14">
        <f>'A) Base RI'!V197</f>
        <v>0</v>
      </c>
      <c r="AD197" s="14">
        <f>'A) Base RI'!W197</f>
        <v>0</v>
      </c>
      <c r="AE197" s="14">
        <f>'A) Base RI'!Y197</f>
        <v>26119.8</v>
      </c>
      <c r="AF197" s="14">
        <f>'A) Base RI'!Z197</f>
        <v>0</v>
      </c>
      <c r="AG197" s="14">
        <f>'A) Base RI'!AA197</f>
        <v>194998.45</v>
      </c>
      <c r="AH197" s="14">
        <f>'A) Base RI'!AB197</f>
        <v>0</v>
      </c>
      <c r="AI197" s="14">
        <f>'A) Base RI'!AC197</f>
        <v>144847.4</v>
      </c>
      <c r="AJ197" s="14">
        <f>'A) Base RI'!AD197</f>
        <v>58044</v>
      </c>
      <c r="AK197" s="14">
        <f>'A) Base RI'!AE197</f>
        <v>0</v>
      </c>
      <c r="AL197" s="14">
        <f>'A) Base RI'!AF197</f>
        <v>0</v>
      </c>
      <c r="AM197" s="14">
        <f>'A) Base RI'!AG197</f>
        <v>19493.099999999999</v>
      </c>
      <c r="AN197" s="14">
        <f>'A) Base RI'!AH197</f>
        <v>0</v>
      </c>
      <c r="AO197" s="14">
        <f>'A) Base RI'!AI197</f>
        <v>0</v>
      </c>
      <c r="AP197" s="14">
        <f>'A) Base RI'!AJ197</f>
        <v>0</v>
      </c>
      <c r="AQ197" s="14">
        <f>'A) Base RI'!AK197</f>
        <v>0</v>
      </c>
      <c r="AR197" s="14">
        <f>'A) Base RI'!AN197</f>
        <v>1890</v>
      </c>
    </row>
    <row r="198" spans="1:44" x14ac:dyDescent="0.25">
      <c r="A198" s="12">
        <f>'A) Base RI'!A198</f>
        <v>5719</v>
      </c>
      <c r="B198" s="42" t="str">
        <f>'A) Base RI'!B198</f>
        <v>Gingins</v>
      </c>
      <c r="C198" s="14">
        <f>'A) Base RI'!C198+'A) Base RI'!D198</f>
        <v>4853861.82</v>
      </c>
      <c r="D198" s="14">
        <f>'A) Base RI'!AO198</f>
        <v>-34525.86</v>
      </c>
      <c r="E198" s="41">
        <f>'A) Base RI'!AP198</f>
        <v>0</v>
      </c>
      <c r="F198" s="41">
        <f>'A) Base RI'!AQ198</f>
        <v>-546.22</v>
      </c>
      <c r="G198" s="4">
        <f t="shared" si="12"/>
        <v>4818789.74</v>
      </c>
      <c r="H198" s="14">
        <f>'A) Base RI'!E198</f>
        <v>0</v>
      </c>
      <c r="I198" s="14">
        <f>'A) Base RI'!F198</f>
        <v>0</v>
      </c>
      <c r="J198" s="14">
        <f>'A) Base RI'!G198+'A) Base RI'!H198</f>
        <v>81424.3</v>
      </c>
      <c r="K198" s="14">
        <f>'A) Base RI'!I198</f>
        <v>282209.09999999998</v>
      </c>
      <c r="L198" s="14">
        <f>'A) Base RI'!J198</f>
        <v>-55044.3</v>
      </c>
      <c r="M198" s="14">
        <f>'A) Base RI'!K198</f>
        <v>8158</v>
      </c>
      <c r="N198" s="14">
        <f>'A) Base RI'!Q198</f>
        <v>18796.55</v>
      </c>
      <c r="O198" s="14">
        <f t="shared" si="13"/>
        <v>347006</v>
      </c>
      <c r="P198" s="14">
        <f>'A) Base RI'!L198</f>
        <v>208203.6</v>
      </c>
      <c r="Q198" s="44">
        <f>'A) Base RI'!AR198</f>
        <v>0.6</v>
      </c>
      <c r="R198" s="4">
        <f t="shared" si="14"/>
        <v>5501339.3899999997</v>
      </c>
      <c r="S198" s="43">
        <f>'A) Base RI'!AM198</f>
        <v>57</v>
      </c>
      <c r="T198" s="4">
        <f t="shared" si="15"/>
        <v>5146175.3899999997</v>
      </c>
      <c r="U198" s="4">
        <f t="shared" si="16"/>
        <v>96514.726140350875</v>
      </c>
      <c r="V198" s="14">
        <f>'A) Base RI'!O198</f>
        <v>13528</v>
      </c>
      <c r="W198" s="14">
        <f>'A) Base RI'!P198</f>
        <v>417146.8</v>
      </c>
      <c r="X198" s="14">
        <f>'A) Base RI'!R198</f>
        <v>205645.85</v>
      </c>
      <c r="Y198" s="4">
        <f t="shared" si="17"/>
        <v>636320.65</v>
      </c>
      <c r="Z198" s="14">
        <f>'A) Base RI'!N198</f>
        <v>74054.5</v>
      </c>
      <c r="AA198" s="14">
        <f>'A) Base RI'!S198+'A) Base RI'!T198</f>
        <v>31.3</v>
      </c>
      <c r="AB198" s="14">
        <f>'A) Base RI'!U198</f>
        <v>12300</v>
      </c>
      <c r="AC198" s="14">
        <f>'A) Base RI'!V198</f>
        <v>0</v>
      </c>
      <c r="AD198" s="14">
        <f>'A) Base RI'!W198</f>
        <v>0</v>
      </c>
      <c r="AE198" s="14">
        <f>'A) Base RI'!Y198</f>
        <v>0</v>
      </c>
      <c r="AF198" s="14">
        <f>'A) Base RI'!Z198</f>
        <v>0</v>
      </c>
      <c r="AG198" s="14">
        <f>'A) Base RI'!AA198</f>
        <v>0</v>
      </c>
      <c r="AH198" s="14">
        <f>'A) Base RI'!AB198</f>
        <v>0</v>
      </c>
      <c r="AI198" s="14">
        <f>'A) Base RI'!AC198</f>
        <v>0</v>
      </c>
      <c r="AJ198" s="14">
        <f>'A) Base RI'!AD198</f>
        <v>0</v>
      </c>
      <c r="AK198" s="14">
        <f>'A) Base RI'!AE198</f>
        <v>0</v>
      </c>
      <c r="AL198" s="14">
        <f>'A) Base RI'!AF198</f>
        <v>0</v>
      </c>
      <c r="AM198" s="14">
        <f>'A) Base RI'!AG198</f>
        <v>0</v>
      </c>
      <c r="AN198" s="14">
        <f>'A) Base RI'!AH198</f>
        <v>0</v>
      </c>
      <c r="AO198" s="14">
        <f>'A) Base RI'!AI198</f>
        <v>0</v>
      </c>
      <c r="AP198" s="14">
        <f>'A) Base RI'!AJ198</f>
        <v>0</v>
      </c>
      <c r="AQ198" s="14">
        <f>'A) Base RI'!AK198</f>
        <v>0</v>
      </c>
      <c r="AR198" s="14">
        <f>'A) Base RI'!AN198</f>
        <v>1204</v>
      </c>
    </row>
    <row r="199" spans="1:44" x14ac:dyDescent="0.25">
      <c r="A199" s="12">
        <f>'A) Base RI'!A199</f>
        <v>5720</v>
      </c>
      <c r="B199" s="42" t="str">
        <f>'A) Base RI'!B199</f>
        <v>Givrins</v>
      </c>
      <c r="C199" s="14">
        <f>'A) Base RI'!C199+'A) Base RI'!D199</f>
        <v>4308255.59</v>
      </c>
      <c r="D199" s="14">
        <f>'A) Base RI'!AO199</f>
        <v>-14092.54</v>
      </c>
      <c r="E199" s="41">
        <f>'A) Base RI'!AP199</f>
        <v>0</v>
      </c>
      <c r="F199" s="41">
        <f>'A) Base RI'!AQ199</f>
        <v>-2380.9299999999998</v>
      </c>
      <c r="G199" s="4">
        <f t="shared" si="12"/>
        <v>4291782.12</v>
      </c>
      <c r="H199" s="14">
        <f>'A) Base RI'!E199</f>
        <v>0</v>
      </c>
      <c r="I199" s="14">
        <f>'A) Base RI'!F199</f>
        <v>0</v>
      </c>
      <c r="J199" s="14">
        <f>'A) Base RI'!G199+'A) Base RI'!H199</f>
        <v>110630.39999999999</v>
      </c>
      <c r="K199" s="14">
        <f>'A) Base RI'!I199</f>
        <v>336253.9</v>
      </c>
      <c r="L199" s="14">
        <f>'A) Base RI'!J199</f>
        <v>-95717.23</v>
      </c>
      <c r="M199" s="14">
        <f>'A) Base RI'!K199</f>
        <v>0</v>
      </c>
      <c r="N199" s="14">
        <f>'A) Base RI'!Q199</f>
        <v>23837.49</v>
      </c>
      <c r="O199" s="14">
        <f t="shared" si="13"/>
        <v>276523.11111111107</v>
      </c>
      <c r="P199" s="14">
        <f>'A) Base RI'!L199</f>
        <v>248870.8</v>
      </c>
      <c r="Q199" s="44">
        <f>'A) Base RI'!AR199</f>
        <v>0.9</v>
      </c>
      <c r="R199" s="4">
        <f t="shared" si="14"/>
        <v>4943309.7911111116</v>
      </c>
      <c r="S199" s="43">
        <f>'A) Base RI'!AM199</f>
        <v>61</v>
      </c>
      <c r="T199" s="4">
        <f t="shared" si="15"/>
        <v>4666786.6800000006</v>
      </c>
      <c r="U199" s="4">
        <f t="shared" si="16"/>
        <v>81037.865428051009</v>
      </c>
      <c r="V199" s="14">
        <f>'A) Base RI'!O199</f>
        <v>2525.9</v>
      </c>
      <c r="W199" s="14">
        <f>'A) Base RI'!P199</f>
        <v>295092.84999999998</v>
      </c>
      <c r="X199" s="14">
        <f>'A) Base RI'!R199</f>
        <v>501424.75</v>
      </c>
      <c r="Y199" s="4">
        <f t="shared" si="17"/>
        <v>799043.5</v>
      </c>
      <c r="Z199" s="14">
        <f>'A) Base RI'!N199</f>
        <v>28321.7</v>
      </c>
      <c r="AA199" s="14">
        <f>'A) Base RI'!S199+'A) Base RI'!T199</f>
        <v>0</v>
      </c>
      <c r="AB199" s="14">
        <f>'A) Base RI'!U199</f>
        <v>4760</v>
      </c>
      <c r="AC199" s="14">
        <f>'A) Base RI'!V199</f>
        <v>0</v>
      </c>
      <c r="AD199" s="14">
        <f>'A) Base RI'!W199</f>
        <v>0</v>
      </c>
      <c r="AE199" s="14">
        <f>'A) Base RI'!Y199</f>
        <v>11070.6</v>
      </c>
      <c r="AF199" s="14">
        <f>'A) Base RI'!Z199</f>
        <v>0</v>
      </c>
      <c r="AG199" s="14">
        <f>'A) Base RI'!AA199</f>
        <v>114701.7</v>
      </c>
      <c r="AH199" s="14">
        <f>'A) Base RI'!AB199</f>
        <v>0</v>
      </c>
      <c r="AI199" s="14">
        <f>'A) Base RI'!AC199</f>
        <v>49484.05</v>
      </c>
      <c r="AJ199" s="14">
        <f>'A) Base RI'!AD199</f>
        <v>8661.7999999999993</v>
      </c>
      <c r="AK199" s="14">
        <f>'A) Base RI'!AE199</f>
        <v>0</v>
      </c>
      <c r="AL199" s="14">
        <f>'A) Base RI'!AF199</f>
        <v>0</v>
      </c>
      <c r="AM199" s="14">
        <f>'A) Base RI'!AG199</f>
        <v>2715.35</v>
      </c>
      <c r="AN199" s="14">
        <f>'A) Base RI'!AH199</f>
        <v>0</v>
      </c>
      <c r="AO199" s="14">
        <f>'A) Base RI'!AI199</f>
        <v>0</v>
      </c>
      <c r="AP199" s="14">
        <f>'A) Base RI'!AJ199</f>
        <v>0</v>
      </c>
      <c r="AQ199" s="14">
        <f>'A) Base RI'!AK199</f>
        <v>0</v>
      </c>
      <c r="AR199" s="14">
        <f>'A) Base RI'!AN199</f>
        <v>971</v>
      </c>
    </row>
    <row r="200" spans="1:44" x14ac:dyDescent="0.25">
      <c r="A200" s="12">
        <f>'A) Base RI'!A200</f>
        <v>5721</v>
      </c>
      <c r="B200" s="42" t="str">
        <f>'A) Base RI'!B200</f>
        <v>Gland</v>
      </c>
      <c r="C200" s="14">
        <f>'A) Base RI'!C200+'A) Base RI'!D200</f>
        <v>27865668.099999998</v>
      </c>
      <c r="D200" s="14">
        <f>'A) Base RI'!AO200</f>
        <v>-772943.48</v>
      </c>
      <c r="E200" s="41">
        <f>'A) Base RI'!AP200</f>
        <v>0</v>
      </c>
      <c r="F200" s="41">
        <f>'A) Base RI'!AQ200</f>
        <v>-124666.96</v>
      </c>
      <c r="G200" s="4">
        <f t="shared" ref="G200:G263" si="18">SUM(C200:F200)</f>
        <v>26968057.659999996</v>
      </c>
      <c r="H200" s="14">
        <f>'A) Base RI'!E200</f>
        <v>0</v>
      </c>
      <c r="I200" s="14">
        <f>'A) Base RI'!F200</f>
        <v>0</v>
      </c>
      <c r="J200" s="14">
        <f>'A) Base RI'!G200+'A) Base RI'!H200</f>
        <v>3153334.85</v>
      </c>
      <c r="K200" s="14">
        <f>'A) Base RI'!I200</f>
        <v>906004.3</v>
      </c>
      <c r="L200" s="14">
        <f>'A) Base RI'!J200</f>
        <v>1115128.24</v>
      </c>
      <c r="M200" s="14">
        <f>'A) Base RI'!K200</f>
        <v>182424</v>
      </c>
      <c r="N200" s="14">
        <f>'A) Base RI'!Q200</f>
        <v>226335.33</v>
      </c>
      <c r="O200" s="14">
        <f t="shared" ref="O200:O263" si="19">(P200/Q200)*1</f>
        <v>2234643.9545454546</v>
      </c>
      <c r="P200" s="14">
        <f>'A) Base RI'!L200</f>
        <v>2458108.35</v>
      </c>
      <c r="Q200" s="44">
        <f>'A) Base RI'!AR200</f>
        <v>1.1000000000000001</v>
      </c>
      <c r="R200" s="4">
        <f t="shared" ref="R200:R263" si="20">SUM(G200:O200)</f>
        <v>34785928.334545448</v>
      </c>
      <c r="S200" s="43">
        <f>'A) Base RI'!AM200</f>
        <v>62.5</v>
      </c>
      <c r="T200" s="4">
        <f t="shared" ref="T200:T263" si="21">(G200+H200+J200+K200+L200+N200)</f>
        <v>32368860.379999995</v>
      </c>
      <c r="U200" s="4">
        <f t="shared" ref="U200:U263" si="22">R200/S200</f>
        <v>556574.85335272714</v>
      </c>
      <c r="V200" s="14">
        <f>'A) Base RI'!O200</f>
        <v>830229.2</v>
      </c>
      <c r="W200" s="14">
        <f>'A) Base RI'!P200</f>
        <v>1602449.7</v>
      </c>
      <c r="X200" s="14">
        <f>'A) Base RI'!R200</f>
        <v>1181000</v>
      </c>
      <c r="Y200" s="4">
        <f t="shared" ref="Y200:Y263" si="23">SUM(V200:X200)</f>
        <v>3613678.9</v>
      </c>
      <c r="Z200" s="14">
        <f>'A) Base RI'!N200</f>
        <v>2016933</v>
      </c>
      <c r="AA200" s="14">
        <f>'A) Base RI'!S200+'A) Base RI'!T200</f>
        <v>912.5</v>
      </c>
      <c r="AB200" s="14">
        <f>'A) Base RI'!U200</f>
        <v>55300</v>
      </c>
      <c r="AC200" s="14">
        <f>'A) Base RI'!V200</f>
        <v>0</v>
      </c>
      <c r="AD200" s="14">
        <f>'A) Base RI'!W200</f>
        <v>0</v>
      </c>
      <c r="AE200" s="14">
        <f>'A) Base RI'!Y200</f>
        <v>889803.15</v>
      </c>
      <c r="AF200" s="14">
        <f>'A) Base RI'!Z200</f>
        <v>0</v>
      </c>
      <c r="AG200" s="14">
        <f>'A) Base RI'!AA200</f>
        <v>928560</v>
      </c>
      <c r="AH200" s="14">
        <f>'A) Base RI'!AB200</f>
        <v>0</v>
      </c>
      <c r="AI200" s="14">
        <f>'A) Base RI'!AC200</f>
        <v>1405303.7</v>
      </c>
      <c r="AJ200" s="14">
        <f>'A) Base RI'!AD200</f>
        <v>356749.7</v>
      </c>
      <c r="AK200" s="14">
        <f>'A) Base RI'!AE200</f>
        <v>0</v>
      </c>
      <c r="AL200" s="14">
        <f>'A) Base RI'!AF200</f>
        <v>0</v>
      </c>
      <c r="AM200" s="14">
        <f>'A) Base RI'!AG200</f>
        <v>47184</v>
      </c>
      <c r="AN200" s="14">
        <f>'A) Base RI'!AH200</f>
        <v>381885.47</v>
      </c>
      <c r="AO200" s="14">
        <f>'A) Base RI'!AI200</f>
        <v>218324.57</v>
      </c>
      <c r="AP200" s="14">
        <f>'A) Base RI'!AJ200</f>
        <v>381849.06</v>
      </c>
      <c r="AQ200" s="14">
        <f>'A) Base RI'!AK200</f>
        <v>272846.86</v>
      </c>
      <c r="AR200" s="14">
        <f>'A) Base RI'!AN200</f>
        <v>12663</v>
      </c>
    </row>
    <row r="201" spans="1:44" x14ac:dyDescent="0.25">
      <c r="A201" s="12">
        <f>'A) Base RI'!A201</f>
        <v>5722</v>
      </c>
      <c r="B201" s="42" t="str">
        <f>'A) Base RI'!B201</f>
        <v>Grens</v>
      </c>
      <c r="C201" s="14">
        <f>'A) Base RI'!C201+'A) Base RI'!D201</f>
        <v>1044403.48</v>
      </c>
      <c r="D201" s="14">
        <f>'A) Base RI'!AO201</f>
        <v>-774.28</v>
      </c>
      <c r="E201" s="41">
        <f>'A) Base RI'!AP201</f>
        <v>0</v>
      </c>
      <c r="F201" s="41">
        <f>'A) Base RI'!AQ201</f>
        <v>-584.04</v>
      </c>
      <c r="G201" s="4">
        <f t="shared" si="18"/>
        <v>1043045.1599999999</v>
      </c>
      <c r="H201" s="14">
        <f>'A) Base RI'!E201</f>
        <v>0</v>
      </c>
      <c r="I201" s="14">
        <f>'A) Base RI'!F201</f>
        <v>0</v>
      </c>
      <c r="J201" s="14">
        <f>'A) Base RI'!G201+'A) Base RI'!H201</f>
        <v>135922</v>
      </c>
      <c r="K201" s="14">
        <f>'A) Base RI'!I201</f>
        <v>0</v>
      </c>
      <c r="L201" s="14">
        <f>'A) Base RI'!J201</f>
        <v>40719.78</v>
      </c>
      <c r="M201" s="14">
        <f>'A) Base RI'!K201</f>
        <v>5655</v>
      </c>
      <c r="N201" s="14">
        <f>'A) Base RI'!Q201</f>
        <v>0</v>
      </c>
      <c r="O201" s="14">
        <f t="shared" si="19"/>
        <v>79290.399999999994</v>
      </c>
      <c r="P201" s="14">
        <f>'A) Base RI'!L201</f>
        <v>79290.399999999994</v>
      </c>
      <c r="Q201" s="44">
        <f>'A) Base RI'!AR201</f>
        <v>1</v>
      </c>
      <c r="R201" s="4">
        <f t="shared" si="20"/>
        <v>1304632.3399999999</v>
      </c>
      <c r="S201" s="43">
        <f>'A) Base RI'!AM201</f>
        <v>57</v>
      </c>
      <c r="T201" s="4">
        <f t="shared" si="21"/>
        <v>1219686.94</v>
      </c>
      <c r="U201" s="4">
        <f t="shared" si="22"/>
        <v>22888.286666666663</v>
      </c>
      <c r="V201" s="14">
        <f>'A) Base RI'!O201</f>
        <v>0</v>
      </c>
      <c r="W201" s="14">
        <f>'A) Base RI'!P201</f>
        <v>15705.1</v>
      </c>
      <c r="X201" s="14">
        <f>'A) Base RI'!R201</f>
        <v>16567.599999999999</v>
      </c>
      <c r="Y201" s="4">
        <f t="shared" si="23"/>
        <v>32272.699999999997</v>
      </c>
      <c r="Z201" s="14">
        <f>'A) Base RI'!N201</f>
        <v>15153.55</v>
      </c>
      <c r="AA201" s="14">
        <f>'A) Base RI'!S201+'A) Base RI'!T201</f>
        <v>65.650000000000006</v>
      </c>
      <c r="AB201" s="14">
        <f>'A) Base RI'!U201</f>
        <v>1475</v>
      </c>
      <c r="AC201" s="14">
        <f>'A) Base RI'!V201</f>
        <v>0</v>
      </c>
      <c r="AD201" s="14">
        <f>'A) Base RI'!W201</f>
        <v>0</v>
      </c>
      <c r="AE201" s="14">
        <f>'A) Base RI'!Y201</f>
        <v>27000</v>
      </c>
      <c r="AF201" s="14">
        <f>'A) Base RI'!Z201</f>
        <v>0</v>
      </c>
      <c r="AG201" s="14">
        <f>'A) Base RI'!AA201</f>
        <v>57051.4</v>
      </c>
      <c r="AH201" s="14">
        <f>'A) Base RI'!AB201</f>
        <v>0</v>
      </c>
      <c r="AI201" s="14">
        <f>'A) Base RI'!AC201</f>
        <v>24775.25</v>
      </c>
      <c r="AJ201" s="14">
        <f>'A) Base RI'!AD201</f>
        <v>0</v>
      </c>
      <c r="AK201" s="14">
        <f>'A) Base RI'!AE201</f>
        <v>0</v>
      </c>
      <c r="AL201" s="14">
        <f>'A) Base RI'!AF201</f>
        <v>0</v>
      </c>
      <c r="AM201" s="14">
        <f>'A) Base RI'!AG201</f>
        <v>1049.4000000000001</v>
      </c>
      <c r="AN201" s="14">
        <f>'A) Base RI'!AH201</f>
        <v>10742.25</v>
      </c>
      <c r="AO201" s="14">
        <f>'A) Base RI'!AI201</f>
        <v>0</v>
      </c>
      <c r="AP201" s="14">
        <f>'A) Base RI'!AJ201</f>
        <v>0</v>
      </c>
      <c r="AQ201" s="14">
        <f>'A) Base RI'!AK201</f>
        <v>0</v>
      </c>
      <c r="AR201" s="14">
        <f>'A) Base RI'!AN201</f>
        <v>380</v>
      </c>
    </row>
    <row r="202" spans="1:44" x14ac:dyDescent="0.25">
      <c r="A202" s="12">
        <f>'A) Base RI'!A202</f>
        <v>5723</v>
      </c>
      <c r="B202" s="42" t="str">
        <f>'A) Base RI'!B202</f>
        <v>Mies</v>
      </c>
      <c r="C202" s="14">
        <f>'A) Base RI'!C202+'A) Base RI'!D202</f>
        <v>11139955.799999999</v>
      </c>
      <c r="D202" s="14">
        <f>'A) Base RI'!AO202</f>
        <v>-48592.93</v>
      </c>
      <c r="E202" s="41">
        <f>'A) Base RI'!AP202</f>
        <v>0</v>
      </c>
      <c r="F202" s="41">
        <f>'A) Base RI'!AQ202</f>
        <v>-3597.25</v>
      </c>
      <c r="G202" s="4">
        <f t="shared" si="18"/>
        <v>11087765.619999999</v>
      </c>
      <c r="H202" s="14">
        <f>'A) Base RI'!E202</f>
        <v>0</v>
      </c>
      <c r="I202" s="14">
        <f>'A) Base RI'!F202</f>
        <v>0</v>
      </c>
      <c r="J202" s="14">
        <f>'A) Base RI'!G202+'A) Base RI'!H202</f>
        <v>160642.95000000001</v>
      </c>
      <c r="K202" s="14">
        <f>'A) Base RI'!I202</f>
        <v>989958.33</v>
      </c>
      <c r="L202" s="14">
        <f>'A) Base RI'!J202</f>
        <v>34568.68</v>
      </c>
      <c r="M202" s="14">
        <f>'A) Base RI'!K202</f>
        <v>31225</v>
      </c>
      <c r="N202" s="14">
        <f>'A) Base RI'!Q202</f>
        <v>17873.32</v>
      </c>
      <c r="O202" s="14">
        <f t="shared" si="19"/>
        <v>704062.65</v>
      </c>
      <c r="P202" s="14">
        <f>'A) Base RI'!L202</f>
        <v>704062.65</v>
      </c>
      <c r="Q202" s="44">
        <f>'A) Base RI'!AR202</f>
        <v>1</v>
      </c>
      <c r="R202" s="4">
        <f t="shared" si="20"/>
        <v>13026096.549999999</v>
      </c>
      <c r="S202" s="43">
        <f>'A) Base RI'!AM202</f>
        <v>49</v>
      </c>
      <c r="T202" s="4">
        <f t="shared" si="21"/>
        <v>12290808.899999999</v>
      </c>
      <c r="U202" s="4">
        <f t="shared" si="22"/>
        <v>265838.70510204078</v>
      </c>
      <c r="V202" s="14">
        <f>'A) Base RI'!O202</f>
        <v>71455.600000000006</v>
      </c>
      <c r="W202" s="14">
        <f>'A) Base RI'!P202</f>
        <v>423476.45</v>
      </c>
      <c r="X202" s="14">
        <f>'A) Base RI'!R202</f>
        <v>459637.05</v>
      </c>
      <c r="Y202" s="4">
        <f t="shared" si="23"/>
        <v>954569.10000000009</v>
      </c>
      <c r="Z202" s="14">
        <f>'A) Base RI'!N202</f>
        <v>218003.45</v>
      </c>
      <c r="AA202" s="14">
        <f>'A) Base RI'!S202+'A) Base RI'!T202</f>
        <v>0</v>
      </c>
      <c r="AB202" s="14">
        <f>'A) Base RI'!U202</f>
        <v>6575</v>
      </c>
      <c r="AC202" s="14">
        <f>'A) Base RI'!V202</f>
        <v>0</v>
      </c>
      <c r="AD202" s="14">
        <f>'A) Base RI'!W202</f>
        <v>0</v>
      </c>
      <c r="AE202" s="14">
        <f>'A) Base RI'!Y202</f>
        <v>151333</v>
      </c>
      <c r="AF202" s="14">
        <f>'A) Base RI'!Z202</f>
        <v>0</v>
      </c>
      <c r="AG202" s="14">
        <f>'A) Base RI'!AA202</f>
        <v>77085.600000000006</v>
      </c>
      <c r="AH202" s="14">
        <f>'A) Base RI'!AB202</f>
        <v>0</v>
      </c>
      <c r="AI202" s="14">
        <f>'A) Base RI'!AC202</f>
        <v>201851.15</v>
      </c>
      <c r="AJ202" s="14">
        <f>'A) Base RI'!AD202</f>
        <v>0</v>
      </c>
      <c r="AK202" s="14">
        <f>'A) Base RI'!AE202</f>
        <v>0</v>
      </c>
      <c r="AL202" s="14">
        <f>'A) Base RI'!AF202</f>
        <v>0</v>
      </c>
      <c r="AM202" s="14">
        <f>'A) Base RI'!AG202</f>
        <v>10957.8</v>
      </c>
      <c r="AN202" s="14">
        <f>'A) Base RI'!AH202</f>
        <v>75869.850000000006</v>
      </c>
      <c r="AO202" s="14">
        <f>'A) Base RI'!AI202</f>
        <v>0</v>
      </c>
      <c r="AP202" s="14">
        <f>'A) Base RI'!AJ202</f>
        <v>0</v>
      </c>
      <c r="AQ202" s="14">
        <f>'A) Base RI'!AK202</f>
        <v>0</v>
      </c>
      <c r="AR202" s="14">
        <f>'A) Base RI'!AN202</f>
        <v>1778</v>
      </c>
    </row>
    <row r="203" spans="1:44" x14ac:dyDescent="0.25">
      <c r="A203" s="12">
        <f>'A) Base RI'!A203</f>
        <v>5724</v>
      </c>
      <c r="B203" s="42" t="str">
        <f>'A) Base RI'!B203</f>
        <v>Nyon</v>
      </c>
      <c r="C203" s="14">
        <f>'A) Base RI'!C203+'A) Base RI'!D203</f>
        <v>57177319.030000001</v>
      </c>
      <c r="D203" s="14">
        <f>'A) Base RI'!AO203</f>
        <v>-521541.97</v>
      </c>
      <c r="E203" s="41">
        <f>'A) Base RI'!AP203</f>
        <v>0</v>
      </c>
      <c r="F203" s="41">
        <f>'A) Base RI'!AQ203</f>
        <v>-199767.08</v>
      </c>
      <c r="G203" s="4">
        <f t="shared" si="18"/>
        <v>56456009.980000004</v>
      </c>
      <c r="H203" s="14">
        <f>'A) Base RI'!E203</f>
        <v>0</v>
      </c>
      <c r="I203" s="14">
        <f>'A) Base RI'!F203</f>
        <v>0</v>
      </c>
      <c r="J203" s="14">
        <f>'A) Base RI'!G203+'A) Base RI'!H203</f>
        <v>16951490.849999998</v>
      </c>
      <c r="K203" s="14">
        <f>'A) Base RI'!I203</f>
        <v>1637468.06</v>
      </c>
      <c r="L203" s="14">
        <f>'A) Base RI'!J203</f>
        <v>3382277.22</v>
      </c>
      <c r="M203" s="14">
        <f>'A) Base RI'!K203</f>
        <v>656286.5</v>
      </c>
      <c r="N203" s="14">
        <f>'A) Base RI'!Q203</f>
        <v>320250.38</v>
      </c>
      <c r="O203" s="14">
        <f t="shared" si="19"/>
        <v>4376505.0769230761</v>
      </c>
      <c r="P203" s="14">
        <f>'A) Base RI'!L203</f>
        <v>5689456.5999999996</v>
      </c>
      <c r="Q203" s="44">
        <f>'A) Base RI'!AR203</f>
        <v>1.3</v>
      </c>
      <c r="R203" s="4">
        <f t="shared" si="20"/>
        <v>83780288.066923067</v>
      </c>
      <c r="S203" s="43">
        <f>'A) Base RI'!AM203</f>
        <v>61</v>
      </c>
      <c r="T203" s="4">
        <f t="shared" si="21"/>
        <v>78747496.489999995</v>
      </c>
      <c r="U203" s="4">
        <f t="shared" si="22"/>
        <v>1373447.3453593946</v>
      </c>
      <c r="V203" s="14">
        <f>'A) Base RI'!O203</f>
        <v>1582542.9</v>
      </c>
      <c r="W203" s="14">
        <f>'A) Base RI'!P203</f>
        <v>2755875.4</v>
      </c>
      <c r="X203" s="14">
        <f>'A) Base RI'!R203</f>
        <v>1132300.6000000001</v>
      </c>
      <c r="Y203" s="4">
        <f t="shared" si="23"/>
        <v>5470718.9000000004</v>
      </c>
      <c r="Z203" s="14">
        <f>'A) Base RI'!N203</f>
        <v>4891000</v>
      </c>
      <c r="AA203" s="14">
        <f>'A) Base RI'!S203+'A) Base RI'!T203</f>
        <v>2006.25</v>
      </c>
      <c r="AB203" s="14">
        <f>'A) Base RI'!U203</f>
        <v>36012.25</v>
      </c>
      <c r="AC203" s="14">
        <f>'A) Base RI'!V203</f>
        <v>0</v>
      </c>
      <c r="AD203" s="14">
        <f>'A) Base RI'!W203</f>
        <v>0</v>
      </c>
      <c r="AE203" s="14">
        <f>'A) Base RI'!Y203</f>
        <v>419288.75</v>
      </c>
      <c r="AF203" s="14">
        <f>'A) Base RI'!Z203</f>
        <v>0</v>
      </c>
      <c r="AG203" s="14">
        <f>'A) Base RI'!AA203</f>
        <v>3564969.53</v>
      </c>
      <c r="AH203" s="14">
        <f>'A) Base RI'!AB203</f>
        <v>0</v>
      </c>
      <c r="AI203" s="14">
        <f>'A) Base RI'!AC203</f>
        <v>1891600.83</v>
      </c>
      <c r="AJ203" s="14">
        <f>'A) Base RI'!AD203</f>
        <v>764523.65</v>
      </c>
      <c r="AK203" s="14">
        <f>'A) Base RI'!AE203</f>
        <v>0</v>
      </c>
      <c r="AL203" s="14">
        <f>'A) Base RI'!AF203</f>
        <v>0</v>
      </c>
      <c r="AM203" s="14">
        <f>'A) Base RI'!AG203</f>
        <v>133728</v>
      </c>
      <c r="AN203" s="14">
        <f>'A) Base RI'!AH203</f>
        <v>692585.7</v>
      </c>
      <c r="AO203" s="14">
        <f>'A) Base RI'!AI203</f>
        <v>791502.71</v>
      </c>
      <c r="AP203" s="14">
        <f>'A) Base RI'!AJ203</f>
        <v>470923.33</v>
      </c>
      <c r="AQ203" s="14">
        <f>'A) Base RI'!AK203</f>
        <v>98955.67</v>
      </c>
      <c r="AR203" s="14">
        <f>'A) Base RI'!AN203</f>
        <v>19861</v>
      </c>
    </row>
    <row r="204" spans="1:44" x14ac:dyDescent="0.25">
      <c r="A204" s="12">
        <f>'A) Base RI'!A204</f>
        <v>5725</v>
      </c>
      <c r="B204" s="42" t="str">
        <f>'A) Base RI'!B204</f>
        <v>Prangins</v>
      </c>
      <c r="C204" s="14">
        <f>'A) Base RI'!C204+'A) Base RI'!D204</f>
        <v>12893660.67</v>
      </c>
      <c r="D204" s="14">
        <f>'A) Base RI'!AO204</f>
        <v>-55262.8</v>
      </c>
      <c r="E204" s="41">
        <f>'A) Base RI'!AP204</f>
        <v>0</v>
      </c>
      <c r="F204" s="41">
        <f>'A) Base RI'!AQ204</f>
        <v>-28530.21</v>
      </c>
      <c r="G204" s="4">
        <f t="shared" si="18"/>
        <v>12809867.659999998</v>
      </c>
      <c r="H204" s="14">
        <f>'A) Base RI'!E204</f>
        <v>0</v>
      </c>
      <c r="I204" s="14">
        <f>'A) Base RI'!F204</f>
        <v>0</v>
      </c>
      <c r="J204" s="14">
        <f>'A) Base RI'!G204+'A) Base RI'!H204</f>
        <v>1123605.3499999999</v>
      </c>
      <c r="K204" s="14">
        <f>'A) Base RI'!I204</f>
        <v>522533.25</v>
      </c>
      <c r="L204" s="14">
        <f>'A) Base RI'!J204</f>
        <v>38579.480000000003</v>
      </c>
      <c r="M204" s="14">
        <f>'A) Base RI'!K204</f>
        <v>59405</v>
      </c>
      <c r="N204" s="14">
        <f>'A) Base RI'!Q204</f>
        <v>6125.99</v>
      </c>
      <c r="O204" s="14">
        <f t="shared" si="19"/>
        <v>1067870.9285714286</v>
      </c>
      <c r="P204" s="14">
        <f>'A) Base RI'!L204</f>
        <v>1495019.3</v>
      </c>
      <c r="Q204" s="44">
        <f>'A) Base RI'!AR204</f>
        <v>1.4</v>
      </c>
      <c r="R204" s="4">
        <f t="shared" si="20"/>
        <v>15627987.658571428</v>
      </c>
      <c r="S204" s="43">
        <f>'A) Base RI'!AM204</f>
        <v>56</v>
      </c>
      <c r="T204" s="4">
        <f t="shared" si="21"/>
        <v>14500711.729999999</v>
      </c>
      <c r="U204" s="4">
        <f t="shared" si="22"/>
        <v>279071.20818877552</v>
      </c>
      <c r="V204" s="14">
        <f>'A) Base RI'!O204</f>
        <v>26361.599999999999</v>
      </c>
      <c r="W204" s="14">
        <f>'A) Base RI'!P204</f>
        <v>543925.94999999995</v>
      </c>
      <c r="X204" s="14">
        <f>'A) Base RI'!R204</f>
        <v>1205014.8</v>
      </c>
      <c r="Y204" s="4">
        <f t="shared" si="23"/>
        <v>1775302.35</v>
      </c>
      <c r="Z204" s="14">
        <f>'A) Base RI'!N204</f>
        <v>996592</v>
      </c>
      <c r="AA204" s="14">
        <f>'A) Base RI'!S204+'A) Base RI'!T204</f>
        <v>218.75</v>
      </c>
      <c r="AB204" s="14">
        <f>'A) Base RI'!U204</f>
        <v>16135</v>
      </c>
      <c r="AC204" s="14">
        <f>'A) Base RI'!V204</f>
        <v>0</v>
      </c>
      <c r="AD204" s="14">
        <f>'A) Base RI'!W204</f>
        <v>0</v>
      </c>
      <c r="AE204" s="14">
        <f>'A) Base RI'!Y204</f>
        <v>54235.64</v>
      </c>
      <c r="AF204" s="14">
        <f>'A) Base RI'!Z204</f>
        <v>0</v>
      </c>
      <c r="AG204" s="14">
        <f>'A) Base RI'!AA204</f>
        <v>332848.56</v>
      </c>
      <c r="AH204" s="14">
        <f>'A) Base RI'!AB204</f>
        <v>0</v>
      </c>
      <c r="AI204" s="14">
        <f>'A) Base RI'!AC204</f>
        <v>228119.21</v>
      </c>
      <c r="AJ204" s="14">
        <f>'A) Base RI'!AD204</f>
        <v>0</v>
      </c>
      <c r="AK204" s="14">
        <f>'A) Base RI'!AE204</f>
        <v>0</v>
      </c>
      <c r="AL204" s="14">
        <f>'A) Base RI'!AF204</f>
        <v>0</v>
      </c>
      <c r="AM204" s="14">
        <f>'A) Base RI'!AG204</f>
        <v>48584.6</v>
      </c>
      <c r="AN204" s="14">
        <f>'A) Base RI'!AH204</f>
        <v>0</v>
      </c>
      <c r="AO204" s="14">
        <f>'A) Base RI'!AI204</f>
        <v>0</v>
      </c>
      <c r="AP204" s="14">
        <f>'A) Base RI'!AJ204</f>
        <v>0</v>
      </c>
      <c r="AQ204" s="14">
        <f>'A) Base RI'!AK204</f>
        <v>0</v>
      </c>
      <c r="AR204" s="14">
        <f>'A) Base RI'!AN204</f>
        <v>3976</v>
      </c>
    </row>
    <row r="205" spans="1:44" x14ac:dyDescent="0.25">
      <c r="A205" s="12">
        <f>'A) Base RI'!A205</f>
        <v>5726</v>
      </c>
      <c r="B205" s="42" t="str">
        <f>'A) Base RI'!B205</f>
        <v>La Rippe</v>
      </c>
      <c r="C205" s="14">
        <f>'A) Base RI'!C205+'A) Base RI'!D205</f>
        <v>3671981.6100000003</v>
      </c>
      <c r="D205" s="14">
        <f>'A) Base RI'!AO205</f>
        <v>-24530.09</v>
      </c>
      <c r="E205" s="41">
        <f>'A) Base RI'!AP205</f>
        <v>0</v>
      </c>
      <c r="F205" s="41">
        <f>'A) Base RI'!AQ205</f>
        <v>-1525.53</v>
      </c>
      <c r="G205" s="4">
        <f t="shared" si="18"/>
        <v>3645925.9900000007</v>
      </c>
      <c r="H205" s="14">
        <f>'A) Base RI'!E205</f>
        <v>0</v>
      </c>
      <c r="I205" s="14">
        <f>'A) Base RI'!F205</f>
        <v>0</v>
      </c>
      <c r="J205" s="14">
        <f>'A) Base RI'!G205+'A) Base RI'!H205</f>
        <v>28376.550000000003</v>
      </c>
      <c r="K205" s="14">
        <f>'A) Base RI'!I205</f>
        <v>-6858.65</v>
      </c>
      <c r="L205" s="14">
        <f>'A) Base RI'!J205</f>
        <v>31945.15</v>
      </c>
      <c r="M205" s="14">
        <f>'A) Base RI'!K205</f>
        <v>4096.5</v>
      </c>
      <c r="N205" s="14">
        <f>'A) Base RI'!Q205</f>
        <v>2844.02</v>
      </c>
      <c r="O205" s="14">
        <f t="shared" si="19"/>
        <v>221625.3</v>
      </c>
      <c r="P205" s="14">
        <f>'A) Base RI'!L205</f>
        <v>221625.3</v>
      </c>
      <c r="Q205" s="44">
        <f>'A) Base RI'!AR205</f>
        <v>1</v>
      </c>
      <c r="R205" s="4">
        <f t="shared" si="20"/>
        <v>3927954.8600000003</v>
      </c>
      <c r="S205" s="43">
        <f>'A) Base RI'!AM205</f>
        <v>65</v>
      </c>
      <c r="T205" s="4">
        <f t="shared" si="21"/>
        <v>3702233.0600000005</v>
      </c>
      <c r="U205" s="4">
        <f t="shared" si="22"/>
        <v>60430.074769230778</v>
      </c>
      <c r="V205" s="14">
        <f>'A) Base RI'!O205</f>
        <v>14619</v>
      </c>
      <c r="W205" s="14">
        <f>'A) Base RI'!P205</f>
        <v>204285.55</v>
      </c>
      <c r="X205" s="14">
        <f>'A) Base RI'!R205</f>
        <v>166791.29999999999</v>
      </c>
      <c r="Y205" s="4">
        <f t="shared" si="23"/>
        <v>385695.85</v>
      </c>
      <c r="Z205" s="14">
        <f>'A) Base RI'!N205</f>
        <v>22371.45</v>
      </c>
      <c r="AA205" s="14">
        <f>'A) Base RI'!S205+'A) Base RI'!T205</f>
        <v>0</v>
      </c>
      <c r="AB205" s="14">
        <f>'A) Base RI'!U205</f>
        <v>8700</v>
      </c>
      <c r="AC205" s="14">
        <f>'A) Base RI'!V205</f>
        <v>0</v>
      </c>
      <c r="AD205" s="14">
        <f>'A) Base RI'!W205</f>
        <v>0</v>
      </c>
      <c r="AE205" s="14">
        <f>'A) Base RI'!Y205</f>
        <v>89640</v>
      </c>
      <c r="AF205" s="14">
        <f>'A) Base RI'!Z205</f>
        <v>-10936</v>
      </c>
      <c r="AG205" s="14">
        <f>'A) Base RI'!AA205</f>
        <v>139020.9</v>
      </c>
      <c r="AH205" s="14">
        <f>'A) Base RI'!AB205</f>
        <v>0</v>
      </c>
      <c r="AI205" s="14">
        <f>'A) Base RI'!AC205</f>
        <v>81787.649999999994</v>
      </c>
      <c r="AJ205" s="14">
        <f>'A) Base RI'!AD205</f>
        <v>77911.8</v>
      </c>
      <c r="AK205" s="14">
        <f>'A) Base RI'!AE205</f>
        <v>-6565</v>
      </c>
      <c r="AL205" s="14">
        <f>'A) Base RI'!AF205</f>
        <v>0</v>
      </c>
      <c r="AM205" s="14">
        <f>'A) Base RI'!AG205</f>
        <v>8329.75</v>
      </c>
      <c r="AN205" s="14">
        <f>'A) Base RI'!AH205</f>
        <v>0</v>
      </c>
      <c r="AO205" s="14">
        <f>'A) Base RI'!AI205</f>
        <v>0</v>
      </c>
      <c r="AP205" s="14">
        <f>'A) Base RI'!AJ205</f>
        <v>0</v>
      </c>
      <c r="AQ205" s="14">
        <f>'A) Base RI'!AK205</f>
        <v>0</v>
      </c>
      <c r="AR205" s="14">
        <f>'A) Base RI'!AN205</f>
        <v>1104</v>
      </c>
    </row>
    <row r="206" spans="1:44" x14ac:dyDescent="0.25">
      <c r="A206" s="12">
        <f>'A) Base RI'!A206</f>
        <v>5727</v>
      </c>
      <c r="B206" s="42" t="str">
        <f>'A) Base RI'!B206</f>
        <v>Saint-Cergue</v>
      </c>
      <c r="C206" s="14">
        <f>'A) Base RI'!C206+'A) Base RI'!D206</f>
        <v>5319181.34</v>
      </c>
      <c r="D206" s="14">
        <f>'A) Base RI'!AO206</f>
        <v>-147990.35999999999</v>
      </c>
      <c r="E206" s="41">
        <f>'A) Base RI'!AP206</f>
        <v>0</v>
      </c>
      <c r="F206" s="41">
        <f>'A) Base RI'!AQ206</f>
        <v>-218.69</v>
      </c>
      <c r="G206" s="4">
        <f t="shared" si="18"/>
        <v>5170972.2899999991</v>
      </c>
      <c r="H206" s="14">
        <f>'A) Base RI'!E206</f>
        <v>0</v>
      </c>
      <c r="I206" s="14">
        <f>'A) Base RI'!F206</f>
        <v>0</v>
      </c>
      <c r="J206" s="14">
        <f>'A) Base RI'!G206+'A) Base RI'!H206</f>
        <v>111249.3</v>
      </c>
      <c r="K206" s="14">
        <f>'A) Base RI'!I206</f>
        <v>126541</v>
      </c>
      <c r="L206" s="14">
        <f>'A) Base RI'!J206</f>
        <v>202857</v>
      </c>
      <c r="M206" s="14">
        <f>'A) Base RI'!K206</f>
        <v>7141</v>
      </c>
      <c r="N206" s="14">
        <f>'A) Base RI'!Q206</f>
        <v>32175.200000000001</v>
      </c>
      <c r="O206" s="14">
        <f t="shared" si="19"/>
        <v>446445.93333333335</v>
      </c>
      <c r="P206" s="14">
        <f>'A) Base RI'!L206</f>
        <v>669668.9</v>
      </c>
      <c r="Q206" s="44">
        <f>'A) Base RI'!AR206</f>
        <v>1.5</v>
      </c>
      <c r="R206" s="4">
        <f t="shared" si="20"/>
        <v>6097381.7233333327</v>
      </c>
      <c r="S206" s="43">
        <f>'A) Base RI'!AM206</f>
        <v>66</v>
      </c>
      <c r="T206" s="4">
        <f t="shared" si="21"/>
        <v>5643794.7899999991</v>
      </c>
      <c r="U206" s="4">
        <f t="shared" si="22"/>
        <v>92384.571565656559</v>
      </c>
      <c r="V206" s="14">
        <f>'A) Base RI'!O206</f>
        <v>74954.2</v>
      </c>
      <c r="W206" s="14">
        <f>'A) Base RI'!P206</f>
        <v>318398.55</v>
      </c>
      <c r="X206" s="14">
        <f>'A) Base RI'!R206</f>
        <v>218126.2</v>
      </c>
      <c r="Y206" s="4">
        <f t="shared" si="23"/>
        <v>611478.94999999995</v>
      </c>
      <c r="Z206" s="14">
        <f>'A) Base RI'!N206</f>
        <v>157271.15</v>
      </c>
      <c r="AA206" s="14">
        <f>'A) Base RI'!S206+'A) Base RI'!T206</f>
        <v>231.25</v>
      </c>
      <c r="AB206" s="14">
        <f>'A) Base RI'!U206</f>
        <v>10825</v>
      </c>
      <c r="AC206" s="14">
        <f>'A) Base RI'!V206</f>
        <v>0</v>
      </c>
      <c r="AD206" s="14">
        <f>'A) Base RI'!W206</f>
        <v>0</v>
      </c>
      <c r="AE206" s="14">
        <f>'A) Base RI'!Y206</f>
        <v>0</v>
      </c>
      <c r="AF206" s="14">
        <f>'A) Base RI'!Z206</f>
        <v>11476</v>
      </c>
      <c r="AG206" s="14">
        <f>'A) Base RI'!AA206</f>
        <v>309790.02</v>
      </c>
      <c r="AH206" s="14">
        <f>'A) Base RI'!AB206</f>
        <v>0</v>
      </c>
      <c r="AI206" s="14">
        <f>'A) Base RI'!AC206</f>
        <v>249613.05</v>
      </c>
      <c r="AJ206" s="14">
        <f>'A) Base RI'!AD206</f>
        <v>11476</v>
      </c>
      <c r="AK206" s="14">
        <f>'A) Base RI'!AE206</f>
        <v>0</v>
      </c>
      <c r="AL206" s="14">
        <f>'A) Base RI'!AF206</f>
        <v>0</v>
      </c>
      <c r="AM206" s="14">
        <f>'A) Base RI'!AG206</f>
        <v>48300.35</v>
      </c>
      <c r="AN206" s="14">
        <f>'A) Base RI'!AH206</f>
        <v>0</v>
      </c>
      <c r="AO206" s="14">
        <f>'A) Base RI'!AI206</f>
        <v>0</v>
      </c>
      <c r="AP206" s="14">
        <f>'A) Base RI'!AJ206</f>
        <v>0</v>
      </c>
      <c r="AQ206" s="14">
        <f>'A) Base RI'!AK206</f>
        <v>0</v>
      </c>
      <c r="AR206" s="14">
        <f>'A) Base RI'!AN206</f>
        <v>2406</v>
      </c>
    </row>
    <row r="207" spans="1:44" x14ac:dyDescent="0.25">
      <c r="A207" s="12">
        <f>'A) Base RI'!A207</f>
        <v>5728</v>
      </c>
      <c r="B207" s="42" t="str">
        <f>'A) Base RI'!B207</f>
        <v>Signy-Avenex</v>
      </c>
      <c r="C207" s="14">
        <f>'A) Base RI'!C207+'A) Base RI'!D207</f>
        <v>1247305.6300000001</v>
      </c>
      <c r="D207" s="14">
        <f>'A) Base RI'!AO207</f>
        <v>-8924.86</v>
      </c>
      <c r="E207" s="41">
        <f>'A) Base RI'!AP207</f>
        <v>0</v>
      </c>
      <c r="F207" s="41">
        <f>'A) Base RI'!AQ207</f>
        <v>-259.32</v>
      </c>
      <c r="G207" s="4">
        <f t="shared" si="18"/>
        <v>1238121.45</v>
      </c>
      <c r="H207" s="14">
        <f>'A) Base RI'!E207</f>
        <v>0</v>
      </c>
      <c r="I207" s="14">
        <f>'A) Base RI'!F207</f>
        <v>0</v>
      </c>
      <c r="J207" s="14">
        <f>'A) Base RI'!G207+'A) Base RI'!H207</f>
        <v>288703.90000000002</v>
      </c>
      <c r="K207" s="14">
        <f>'A) Base RI'!I207</f>
        <v>34060.9</v>
      </c>
      <c r="L207" s="14">
        <f>'A) Base RI'!J207</f>
        <v>78418.33</v>
      </c>
      <c r="M207" s="14">
        <f>'A) Base RI'!K207</f>
        <v>50366.5</v>
      </c>
      <c r="N207" s="14">
        <f>'A) Base RI'!Q207</f>
        <v>0</v>
      </c>
      <c r="O207" s="14">
        <f t="shared" si="19"/>
        <v>193759.9</v>
      </c>
      <c r="P207" s="14">
        <f>'A) Base RI'!L207</f>
        <v>193759.9</v>
      </c>
      <c r="Q207" s="44">
        <f>'A) Base RI'!AR207</f>
        <v>1</v>
      </c>
      <c r="R207" s="4">
        <f t="shared" si="20"/>
        <v>1883430.98</v>
      </c>
      <c r="S207" s="43">
        <f>'A) Base RI'!AM207</f>
        <v>56</v>
      </c>
      <c r="T207" s="4">
        <f t="shared" si="21"/>
        <v>1639304.58</v>
      </c>
      <c r="U207" s="4">
        <f t="shared" si="22"/>
        <v>33632.696071428574</v>
      </c>
      <c r="V207" s="14">
        <f>'A) Base RI'!O207</f>
        <v>0</v>
      </c>
      <c r="W207" s="14">
        <f>'A) Base RI'!P207</f>
        <v>61105</v>
      </c>
      <c r="X207" s="14">
        <f>'A) Base RI'!R207</f>
        <v>136666.20000000001</v>
      </c>
      <c r="Y207" s="4">
        <f t="shared" si="23"/>
        <v>197771.2</v>
      </c>
      <c r="Z207" s="14">
        <f>'A) Base RI'!N207</f>
        <v>181412</v>
      </c>
      <c r="AA207" s="14">
        <f>'A) Base RI'!S207+'A) Base RI'!T207</f>
        <v>1006.25</v>
      </c>
      <c r="AB207" s="14">
        <f>'A) Base RI'!U207</f>
        <v>1475</v>
      </c>
      <c r="AC207" s="14">
        <f>'A) Base RI'!V207</f>
        <v>0</v>
      </c>
      <c r="AD207" s="14">
        <f>'A) Base RI'!W207</f>
        <v>0</v>
      </c>
      <c r="AE207" s="14">
        <f>'A) Base RI'!Y207</f>
        <v>104678.2</v>
      </c>
      <c r="AF207" s="14">
        <f>'A) Base RI'!Z207</f>
        <v>0</v>
      </c>
      <c r="AG207" s="14">
        <f>'A) Base RI'!AA207</f>
        <v>87720.71</v>
      </c>
      <c r="AH207" s="14">
        <f>'A) Base RI'!AB207</f>
        <v>0</v>
      </c>
      <c r="AI207" s="14">
        <f>'A) Base RI'!AC207</f>
        <v>28233.3</v>
      </c>
      <c r="AJ207" s="14">
        <f>'A) Base RI'!AD207</f>
        <v>0</v>
      </c>
      <c r="AK207" s="14">
        <f>'A) Base RI'!AE207</f>
        <v>0</v>
      </c>
      <c r="AL207" s="14">
        <f>'A) Base RI'!AF207</f>
        <v>0</v>
      </c>
      <c r="AM207" s="14">
        <f>'A) Base RI'!AG207</f>
        <v>0</v>
      </c>
      <c r="AN207" s="14">
        <f>'A) Base RI'!AH207</f>
        <v>55700.75</v>
      </c>
      <c r="AO207" s="14">
        <f>'A) Base RI'!AI207</f>
        <v>0</v>
      </c>
      <c r="AP207" s="14">
        <f>'A) Base RI'!AJ207</f>
        <v>0</v>
      </c>
      <c r="AQ207" s="14">
        <f>'A) Base RI'!AK207</f>
        <v>0</v>
      </c>
      <c r="AR207" s="14">
        <f>'A) Base RI'!AN207</f>
        <v>481</v>
      </c>
    </row>
    <row r="208" spans="1:44" x14ac:dyDescent="0.25">
      <c r="A208" s="12">
        <f>'A) Base RI'!A208</f>
        <v>5729</v>
      </c>
      <c r="B208" s="42" t="str">
        <f>'A) Base RI'!B208</f>
        <v>Tannay</v>
      </c>
      <c r="C208" s="14">
        <f>'A) Base RI'!C208+'A) Base RI'!D208</f>
        <v>7263146.6100000003</v>
      </c>
      <c r="D208" s="14">
        <f>'A) Base RI'!AO208</f>
        <v>-21485</v>
      </c>
      <c r="E208" s="41">
        <f>'A) Base RI'!AP208</f>
        <v>0</v>
      </c>
      <c r="F208" s="41">
        <f>'A) Base RI'!AQ208</f>
        <v>-6317.41</v>
      </c>
      <c r="G208" s="4">
        <f t="shared" si="18"/>
        <v>7235344.2000000002</v>
      </c>
      <c r="H208" s="14">
        <f>'A) Base RI'!E208</f>
        <v>0</v>
      </c>
      <c r="I208" s="14">
        <f>'A) Base RI'!F208</f>
        <v>0</v>
      </c>
      <c r="J208" s="14">
        <f>'A) Base RI'!G208+'A) Base RI'!H208</f>
        <v>411353.59999999998</v>
      </c>
      <c r="K208" s="14">
        <f>'A) Base RI'!I208</f>
        <v>127592.9</v>
      </c>
      <c r="L208" s="14">
        <f>'A) Base RI'!J208</f>
        <v>133762.49</v>
      </c>
      <c r="M208" s="14">
        <f>'A) Base RI'!K208</f>
        <v>2973</v>
      </c>
      <c r="N208" s="14">
        <f>'A) Base RI'!Q208</f>
        <v>9473.92</v>
      </c>
      <c r="O208" s="14">
        <f t="shared" si="19"/>
        <v>524222.26666666666</v>
      </c>
      <c r="P208" s="14">
        <f>'A) Base RI'!L208</f>
        <v>786333.4</v>
      </c>
      <c r="Q208" s="44">
        <f>'A) Base RI'!AR208</f>
        <v>1.5</v>
      </c>
      <c r="R208" s="4">
        <f t="shared" si="20"/>
        <v>8444722.3766666669</v>
      </c>
      <c r="S208" s="43">
        <f>'A) Base RI'!AM208</f>
        <v>61</v>
      </c>
      <c r="T208" s="4">
        <f t="shared" si="21"/>
        <v>7917527.1100000003</v>
      </c>
      <c r="U208" s="4">
        <f t="shared" si="22"/>
        <v>138438.0717486339</v>
      </c>
      <c r="V208" s="14">
        <f>'A) Base RI'!O208</f>
        <v>0</v>
      </c>
      <c r="W208" s="14">
        <f>'A) Base RI'!P208</f>
        <v>216006.7</v>
      </c>
      <c r="X208" s="14">
        <f>'A) Base RI'!R208</f>
        <v>333615.59999999998</v>
      </c>
      <c r="Y208" s="4">
        <f t="shared" si="23"/>
        <v>549622.30000000005</v>
      </c>
      <c r="Z208" s="14">
        <f>'A) Base RI'!N208</f>
        <v>25348.799999999999</v>
      </c>
      <c r="AA208" s="14">
        <f>'A) Base RI'!S208+'A) Base RI'!T208</f>
        <v>0</v>
      </c>
      <c r="AB208" s="14">
        <f>'A) Base RI'!U208</f>
        <v>7240</v>
      </c>
      <c r="AC208" s="14">
        <f>'A) Base RI'!V208</f>
        <v>0</v>
      </c>
      <c r="AD208" s="14">
        <f>'A) Base RI'!W208</f>
        <v>0</v>
      </c>
      <c r="AE208" s="14">
        <f>'A) Base RI'!Y208</f>
        <v>26054.65</v>
      </c>
      <c r="AF208" s="14">
        <f>'A) Base RI'!Z208</f>
        <v>0</v>
      </c>
      <c r="AG208" s="14">
        <f>'A) Base RI'!AA208</f>
        <v>0</v>
      </c>
      <c r="AH208" s="14">
        <f>'A) Base RI'!AB208</f>
        <v>87609.56</v>
      </c>
      <c r="AI208" s="14">
        <f>'A) Base RI'!AC208</f>
        <v>152295.15</v>
      </c>
      <c r="AJ208" s="14">
        <f>'A) Base RI'!AD208</f>
        <v>0</v>
      </c>
      <c r="AK208" s="14">
        <f>'A) Base RI'!AE208</f>
        <v>0</v>
      </c>
      <c r="AL208" s="14">
        <f>'A) Base RI'!AF208</f>
        <v>0</v>
      </c>
      <c r="AM208" s="14">
        <f>'A) Base RI'!AG208</f>
        <v>971</v>
      </c>
      <c r="AN208" s="14">
        <f>'A) Base RI'!AH208</f>
        <v>0</v>
      </c>
      <c r="AO208" s="14">
        <f>'A) Base RI'!AI208</f>
        <v>0</v>
      </c>
      <c r="AP208" s="14">
        <f>'A) Base RI'!AJ208</f>
        <v>0</v>
      </c>
      <c r="AQ208" s="14">
        <f>'A) Base RI'!AK208</f>
        <v>0</v>
      </c>
      <c r="AR208" s="14">
        <f>'A) Base RI'!AN208</f>
        <v>1448</v>
      </c>
    </row>
    <row r="209" spans="1:44" x14ac:dyDescent="0.25">
      <c r="A209" s="12">
        <f>'A) Base RI'!A209</f>
        <v>5730</v>
      </c>
      <c r="B209" s="42" t="str">
        <f>'A) Base RI'!B209</f>
        <v>Trélex</v>
      </c>
      <c r="C209" s="14">
        <f>'A) Base RI'!C209+'A) Base RI'!D209</f>
        <v>7431348.4800000004</v>
      </c>
      <c r="D209" s="14">
        <f>'A) Base RI'!AO209</f>
        <v>-11324.45</v>
      </c>
      <c r="E209" s="41">
        <f>'A) Base RI'!AP209</f>
        <v>0</v>
      </c>
      <c r="F209" s="41">
        <f>'A) Base RI'!AQ209</f>
        <v>-4222.2299999999996</v>
      </c>
      <c r="G209" s="4">
        <f t="shared" si="18"/>
        <v>7415801.7999999998</v>
      </c>
      <c r="H209" s="14">
        <f>'A) Base RI'!E209</f>
        <v>0</v>
      </c>
      <c r="I209" s="14">
        <f>'A) Base RI'!F209</f>
        <v>0</v>
      </c>
      <c r="J209" s="14">
        <f>'A) Base RI'!G209+'A) Base RI'!H209</f>
        <v>2888.05</v>
      </c>
      <c r="K209" s="14">
        <f>'A) Base RI'!I209</f>
        <v>-20448</v>
      </c>
      <c r="L209" s="14">
        <f>'A) Base RI'!J209</f>
        <v>115992.21</v>
      </c>
      <c r="M209" s="14">
        <f>'A) Base RI'!K209</f>
        <v>4566</v>
      </c>
      <c r="N209" s="14">
        <f>'A) Base RI'!Q209</f>
        <v>4918.3900000000003</v>
      </c>
      <c r="O209" s="14">
        <f t="shared" si="19"/>
        <v>374457</v>
      </c>
      <c r="P209" s="14">
        <f>'A) Base RI'!L209</f>
        <v>337011.3</v>
      </c>
      <c r="Q209" s="44">
        <f>'A) Base RI'!AR209</f>
        <v>0.9</v>
      </c>
      <c r="R209" s="4">
        <f t="shared" si="20"/>
        <v>7898175.4499999993</v>
      </c>
      <c r="S209" s="43">
        <f>'A) Base RI'!AM209</f>
        <v>53</v>
      </c>
      <c r="T209" s="4">
        <f t="shared" si="21"/>
        <v>7519152.4499999993</v>
      </c>
      <c r="U209" s="4">
        <f t="shared" si="22"/>
        <v>149022.17830188677</v>
      </c>
      <c r="V209" s="14">
        <f>'A) Base RI'!O209</f>
        <v>0</v>
      </c>
      <c r="W209" s="14">
        <f>'A) Base RI'!P209</f>
        <v>142081.70000000001</v>
      </c>
      <c r="X209" s="14">
        <f>'A) Base RI'!R209</f>
        <v>190549.25</v>
      </c>
      <c r="Y209" s="4">
        <f t="shared" si="23"/>
        <v>332630.95</v>
      </c>
      <c r="Z209" s="14">
        <f>'A) Base RI'!N209</f>
        <v>10359.65</v>
      </c>
      <c r="AA209" s="14">
        <f>'A) Base RI'!S209+'A) Base RI'!T209</f>
        <v>56.3</v>
      </c>
      <c r="AB209" s="14">
        <f>'A) Base RI'!U209</f>
        <v>4600</v>
      </c>
      <c r="AC209" s="14">
        <f>'A) Base RI'!V209</f>
        <v>0</v>
      </c>
      <c r="AD209" s="14">
        <f>'A) Base RI'!W209</f>
        <v>0</v>
      </c>
      <c r="AE209" s="14">
        <f>'A) Base RI'!Y209</f>
        <v>21859.25</v>
      </c>
      <c r="AF209" s="14">
        <f>'A) Base RI'!Z209</f>
        <v>0</v>
      </c>
      <c r="AG209" s="14">
        <f>'A) Base RI'!AA209</f>
        <v>160717</v>
      </c>
      <c r="AH209" s="14">
        <f>'A) Base RI'!AB209</f>
        <v>0</v>
      </c>
      <c r="AI209" s="14">
        <f>'A) Base RI'!AC209</f>
        <v>125050.2</v>
      </c>
      <c r="AJ209" s="14">
        <f>'A) Base RI'!AD209</f>
        <v>35700.199999999997</v>
      </c>
      <c r="AK209" s="14">
        <f>'A) Base RI'!AE209</f>
        <v>0</v>
      </c>
      <c r="AL209" s="14">
        <f>'A) Base RI'!AF209</f>
        <v>0</v>
      </c>
      <c r="AM209" s="14">
        <f>'A) Base RI'!AG209</f>
        <v>0</v>
      </c>
      <c r="AN209" s="14">
        <f>'A) Base RI'!AH209</f>
        <v>0</v>
      </c>
      <c r="AO209" s="14">
        <f>'A) Base RI'!AI209</f>
        <v>0</v>
      </c>
      <c r="AP209" s="14">
        <f>'A) Base RI'!AJ209</f>
        <v>0</v>
      </c>
      <c r="AQ209" s="14">
        <f>'A) Base RI'!AK209</f>
        <v>0</v>
      </c>
      <c r="AR209" s="14">
        <f>'A) Base RI'!AN209</f>
        <v>1394</v>
      </c>
    </row>
    <row r="210" spans="1:44" x14ac:dyDescent="0.25">
      <c r="A210" s="12">
        <f>'A) Base RI'!A210</f>
        <v>5731</v>
      </c>
      <c r="B210" s="42" t="str">
        <f>'A) Base RI'!B210</f>
        <v>Le Vaud</v>
      </c>
      <c r="C210" s="14">
        <f>'A) Base RI'!C210+'A) Base RI'!D210</f>
        <v>3235682.77</v>
      </c>
      <c r="D210" s="14">
        <f>'A) Base RI'!AO210</f>
        <v>-17636.79</v>
      </c>
      <c r="E210" s="41">
        <f>'A) Base RI'!AP210</f>
        <v>0</v>
      </c>
      <c r="F210" s="41">
        <f>'A) Base RI'!AQ210</f>
        <v>-29.96</v>
      </c>
      <c r="G210" s="4">
        <f t="shared" si="18"/>
        <v>3218016.02</v>
      </c>
      <c r="H210" s="14">
        <f>'A) Base RI'!E210</f>
        <v>0</v>
      </c>
      <c r="I210" s="14">
        <f>'A) Base RI'!F210</f>
        <v>0</v>
      </c>
      <c r="J210" s="14">
        <f>'A) Base RI'!G210+'A) Base RI'!H210</f>
        <v>10006</v>
      </c>
      <c r="K210" s="14">
        <f>'A) Base RI'!I210</f>
        <v>36309.35</v>
      </c>
      <c r="L210" s="14">
        <f>'A) Base RI'!J210</f>
        <v>-25474.99</v>
      </c>
      <c r="M210" s="14">
        <f>'A) Base RI'!K210</f>
        <v>4402</v>
      </c>
      <c r="N210" s="14">
        <f>'A) Base RI'!Q210</f>
        <v>14279.83</v>
      </c>
      <c r="O210" s="14">
        <f t="shared" si="19"/>
        <v>226203</v>
      </c>
      <c r="P210" s="14">
        <f>'A) Base RI'!L210</f>
        <v>339304.5</v>
      </c>
      <c r="Q210" s="44">
        <f>'A) Base RI'!AR210</f>
        <v>1.5</v>
      </c>
      <c r="R210" s="4">
        <f t="shared" si="20"/>
        <v>3483741.21</v>
      </c>
      <c r="S210" s="43">
        <f>'A) Base RI'!AM210</f>
        <v>75</v>
      </c>
      <c r="T210" s="4">
        <f t="shared" si="21"/>
        <v>3253136.21</v>
      </c>
      <c r="U210" s="4">
        <f t="shared" si="22"/>
        <v>46449.882799999999</v>
      </c>
      <c r="V210" s="14">
        <f>'A) Base RI'!O210</f>
        <v>0</v>
      </c>
      <c r="W210" s="14">
        <f>'A) Base RI'!P210</f>
        <v>124208.85</v>
      </c>
      <c r="X210" s="14">
        <f>'A) Base RI'!R210</f>
        <v>165145.15</v>
      </c>
      <c r="Y210" s="4">
        <f t="shared" si="23"/>
        <v>289354</v>
      </c>
      <c r="Z210" s="14">
        <f>'A) Base RI'!N210</f>
        <v>21792.5</v>
      </c>
      <c r="AA210" s="14">
        <f>'A) Base RI'!S210+'A) Base RI'!T210</f>
        <v>1239.25</v>
      </c>
      <c r="AB210" s="14">
        <f>'A) Base RI'!U210</f>
        <v>10950</v>
      </c>
      <c r="AC210" s="14">
        <f>'A) Base RI'!V210</f>
        <v>0</v>
      </c>
      <c r="AD210" s="14">
        <f>'A) Base RI'!W210</f>
        <v>0</v>
      </c>
      <c r="AE210" s="14">
        <f>'A) Base RI'!Y210</f>
        <v>55057</v>
      </c>
      <c r="AF210" s="14">
        <f>'A) Base RI'!Z210</f>
        <v>0</v>
      </c>
      <c r="AG210" s="14">
        <f>'A) Base RI'!AA210</f>
        <v>161682</v>
      </c>
      <c r="AH210" s="14">
        <f>'A) Base RI'!AB210</f>
        <v>0</v>
      </c>
      <c r="AI210" s="14">
        <f>'A) Base RI'!AC210</f>
        <v>108960</v>
      </c>
      <c r="AJ210" s="14">
        <f>'A) Base RI'!AD210</f>
        <v>51761</v>
      </c>
      <c r="AK210" s="14">
        <f>'A) Base RI'!AE210</f>
        <v>0</v>
      </c>
      <c r="AL210" s="14">
        <f>'A) Base RI'!AF210</f>
        <v>0</v>
      </c>
      <c r="AM210" s="14">
        <f>'A) Base RI'!AG210</f>
        <v>10195</v>
      </c>
      <c r="AN210" s="14">
        <f>'A) Base RI'!AH210</f>
        <v>0</v>
      </c>
      <c r="AO210" s="14">
        <f>'A) Base RI'!AI210</f>
        <v>0</v>
      </c>
      <c r="AP210" s="14">
        <f>'A) Base RI'!AJ210</f>
        <v>0</v>
      </c>
      <c r="AQ210" s="14">
        <f>'A) Base RI'!AK210</f>
        <v>0</v>
      </c>
      <c r="AR210" s="14">
        <f>'A) Base RI'!AN210</f>
        <v>1243</v>
      </c>
    </row>
    <row r="211" spans="1:44" x14ac:dyDescent="0.25">
      <c r="A211" s="12">
        <f>'A) Base RI'!A211</f>
        <v>5732</v>
      </c>
      <c r="B211" s="42" t="str">
        <f>'A) Base RI'!B211</f>
        <v>Vich</v>
      </c>
      <c r="C211" s="14">
        <f>'A) Base RI'!C211+'A) Base RI'!D211</f>
        <v>3278284.0300000003</v>
      </c>
      <c r="D211" s="14">
        <f>'A) Base RI'!AO211</f>
        <v>-105271.01</v>
      </c>
      <c r="E211" s="41">
        <f>'A) Base RI'!AP211</f>
        <v>0</v>
      </c>
      <c r="F211" s="41">
        <f>'A) Base RI'!AQ211</f>
        <v>-1806.86</v>
      </c>
      <c r="G211" s="4">
        <f t="shared" si="18"/>
        <v>3171206.1600000006</v>
      </c>
      <c r="H211" s="14">
        <f>'A) Base RI'!E211</f>
        <v>0</v>
      </c>
      <c r="I211" s="14">
        <f>'A) Base RI'!F211</f>
        <v>0</v>
      </c>
      <c r="J211" s="14">
        <f>'A) Base RI'!G211+'A) Base RI'!H211</f>
        <v>314932.60000000003</v>
      </c>
      <c r="K211" s="14">
        <f>'A) Base RI'!I211</f>
        <v>81152.3</v>
      </c>
      <c r="L211" s="14">
        <f>'A) Base RI'!J211</f>
        <v>52626.23</v>
      </c>
      <c r="M211" s="14">
        <f>'A) Base RI'!K211</f>
        <v>21571</v>
      </c>
      <c r="N211" s="14">
        <f>'A) Base RI'!Q211</f>
        <v>6421.66</v>
      </c>
      <c r="O211" s="14">
        <f t="shared" si="19"/>
        <v>248006.9</v>
      </c>
      <c r="P211" s="14">
        <f>'A) Base RI'!L211</f>
        <v>248006.9</v>
      </c>
      <c r="Q211" s="44">
        <f>'A) Base RI'!AR211</f>
        <v>1</v>
      </c>
      <c r="R211" s="4">
        <f t="shared" si="20"/>
        <v>3895916.8500000006</v>
      </c>
      <c r="S211" s="43">
        <f>'A) Base RI'!AM211</f>
        <v>68</v>
      </c>
      <c r="T211" s="4">
        <f t="shared" si="21"/>
        <v>3626338.9500000007</v>
      </c>
      <c r="U211" s="4">
        <f t="shared" si="22"/>
        <v>57292.894852941186</v>
      </c>
      <c r="V211" s="14">
        <f>'A) Base RI'!O211</f>
        <v>67444.2</v>
      </c>
      <c r="W211" s="14">
        <f>'A) Base RI'!P211</f>
        <v>447252.1</v>
      </c>
      <c r="X211" s="14">
        <f>'A) Base RI'!R211</f>
        <v>138320.15</v>
      </c>
      <c r="Y211" s="4">
        <f t="shared" si="23"/>
        <v>653016.44999999995</v>
      </c>
      <c r="Z211" s="14">
        <f>'A) Base RI'!N211</f>
        <v>130426.75</v>
      </c>
      <c r="AA211" s="14">
        <f>'A) Base RI'!S211+'A) Base RI'!T211</f>
        <v>87.5</v>
      </c>
      <c r="AB211" s="14">
        <f>'A) Base RI'!U211</f>
        <v>8050</v>
      </c>
      <c r="AC211" s="14">
        <f>'A) Base RI'!V211</f>
        <v>0</v>
      </c>
      <c r="AD211" s="14">
        <f>'A) Base RI'!W211</f>
        <v>0</v>
      </c>
      <c r="AE211" s="14">
        <f>'A) Base RI'!Y211</f>
        <v>131606</v>
      </c>
      <c r="AF211" s="14">
        <f>'A) Base RI'!Z211</f>
        <v>-6477.75</v>
      </c>
      <c r="AG211" s="14">
        <f>'A) Base RI'!AA211</f>
        <v>60081.5</v>
      </c>
      <c r="AH211" s="14">
        <f>'A) Base RI'!AB211</f>
        <v>0</v>
      </c>
      <c r="AI211" s="14">
        <f>'A) Base RI'!AC211</f>
        <v>61571.75</v>
      </c>
      <c r="AJ211" s="14">
        <f>'A) Base RI'!AD211</f>
        <v>204167.5</v>
      </c>
      <c r="AK211" s="14">
        <f>'A) Base RI'!AE211</f>
        <v>-1586.9</v>
      </c>
      <c r="AL211" s="14">
        <f>'A) Base RI'!AF211</f>
        <v>0</v>
      </c>
      <c r="AM211" s="14">
        <f>'A) Base RI'!AG211</f>
        <v>3948.1</v>
      </c>
      <c r="AN211" s="14">
        <f>'A) Base RI'!AH211</f>
        <v>52224.57</v>
      </c>
      <c r="AO211" s="14">
        <f>'A) Base RI'!AI211</f>
        <v>0</v>
      </c>
      <c r="AP211" s="14">
        <f>'A) Base RI'!AJ211</f>
        <v>0</v>
      </c>
      <c r="AQ211" s="14">
        <f>'A) Base RI'!AK211</f>
        <v>0</v>
      </c>
      <c r="AR211" s="14">
        <f>'A) Base RI'!AN211</f>
        <v>882</v>
      </c>
    </row>
    <row r="212" spans="1:44" x14ac:dyDescent="0.25">
      <c r="A212" s="12">
        <f>'A) Base RI'!A212</f>
        <v>5741</v>
      </c>
      <c r="B212" s="42" t="str">
        <f>'A) Base RI'!B212</f>
        <v>L'Abergement</v>
      </c>
      <c r="C212" s="14">
        <f>'A) Base RI'!C212+'A) Base RI'!D212</f>
        <v>535388.78</v>
      </c>
      <c r="D212" s="14">
        <f>'A) Base RI'!AO212</f>
        <v>-35672.480000000003</v>
      </c>
      <c r="E212" s="41">
        <f>'A) Base RI'!AP212</f>
        <v>0</v>
      </c>
      <c r="F212" s="41">
        <f>'A) Base RI'!AQ212</f>
        <v>-16.97</v>
      </c>
      <c r="G212" s="4">
        <f t="shared" si="18"/>
        <v>499699.33000000007</v>
      </c>
      <c r="H212" s="14">
        <f>'A) Base RI'!E212</f>
        <v>0</v>
      </c>
      <c r="I212" s="14">
        <f>'A) Base RI'!F212</f>
        <v>1340</v>
      </c>
      <c r="J212" s="14">
        <f>'A) Base RI'!G212+'A) Base RI'!H212</f>
        <v>12016.900000000001</v>
      </c>
      <c r="K212" s="14">
        <f>'A) Base RI'!I212</f>
        <v>0</v>
      </c>
      <c r="L212" s="14">
        <f>'A) Base RI'!J212</f>
        <v>-2250.27</v>
      </c>
      <c r="M212" s="14">
        <f>'A) Base RI'!K212</f>
        <v>0</v>
      </c>
      <c r="N212" s="14">
        <f>'A) Base RI'!Q212</f>
        <v>21867.59</v>
      </c>
      <c r="O212" s="14">
        <f t="shared" si="19"/>
        <v>33912.458333333336</v>
      </c>
      <c r="P212" s="14">
        <f>'A) Base RI'!L212</f>
        <v>40694.949999999997</v>
      </c>
      <c r="Q212" s="44">
        <f>'A) Base RI'!AR212</f>
        <v>1.2</v>
      </c>
      <c r="R212" s="4">
        <f t="shared" si="20"/>
        <v>566586.00833333342</v>
      </c>
      <c r="S212" s="43">
        <f>'A) Base RI'!AM212</f>
        <v>81</v>
      </c>
      <c r="T212" s="4">
        <f t="shared" si="21"/>
        <v>531333.55000000005</v>
      </c>
      <c r="U212" s="4">
        <f t="shared" si="22"/>
        <v>6994.8889917695487</v>
      </c>
      <c r="V212" s="14">
        <f>'A) Base RI'!O212</f>
        <v>11390.5</v>
      </c>
      <c r="W212" s="14">
        <f>'A) Base RI'!P212</f>
        <v>4015</v>
      </c>
      <c r="X212" s="14">
        <f>'A) Base RI'!R212</f>
        <v>8458.35</v>
      </c>
      <c r="Y212" s="4">
        <f t="shared" si="23"/>
        <v>23863.85</v>
      </c>
      <c r="Z212" s="14">
        <f>'A) Base RI'!N212</f>
        <v>14134.65</v>
      </c>
      <c r="AA212" s="14">
        <f>'A) Base RI'!S212+'A) Base RI'!T212</f>
        <v>0</v>
      </c>
      <c r="AB212" s="14">
        <f>'A) Base RI'!U212</f>
        <v>1260</v>
      </c>
      <c r="AC212" s="14">
        <f>'A) Base RI'!V212</f>
        <v>0</v>
      </c>
      <c r="AD212" s="14">
        <f>'A) Base RI'!W212</f>
        <v>0</v>
      </c>
      <c r="AE212" s="14">
        <f>'A) Base RI'!Y212</f>
        <v>23094</v>
      </c>
      <c r="AF212" s="14">
        <f>'A) Base RI'!Z212</f>
        <v>14353.15</v>
      </c>
      <c r="AG212" s="14">
        <f>'A) Base RI'!AA212</f>
        <v>34373.15</v>
      </c>
      <c r="AH212" s="14">
        <f>'A) Base RI'!AB212</f>
        <v>0</v>
      </c>
      <c r="AI212" s="14">
        <f>'A) Base RI'!AC212</f>
        <v>30742.2</v>
      </c>
      <c r="AJ212" s="14">
        <f>'A) Base RI'!AD212</f>
        <v>7720.65</v>
      </c>
      <c r="AK212" s="14">
        <f>'A) Base RI'!AE212</f>
        <v>14625.7</v>
      </c>
      <c r="AL212" s="14">
        <f>'A) Base RI'!AF212</f>
        <v>0</v>
      </c>
      <c r="AM212" s="14">
        <f>'A) Base RI'!AG212</f>
        <v>0</v>
      </c>
      <c r="AN212" s="14">
        <f>'A) Base RI'!AH212</f>
        <v>0</v>
      </c>
      <c r="AO212" s="14">
        <f>'A) Base RI'!AI212</f>
        <v>0</v>
      </c>
      <c r="AP212" s="14">
        <f>'A) Base RI'!AJ212</f>
        <v>0</v>
      </c>
      <c r="AQ212" s="14">
        <f>'A) Base RI'!AK212</f>
        <v>0</v>
      </c>
      <c r="AR212" s="14">
        <f>'A) Base RI'!AN212</f>
        <v>250</v>
      </c>
    </row>
    <row r="213" spans="1:44" x14ac:dyDescent="0.25">
      <c r="A213" s="12">
        <f>'A) Base RI'!A213</f>
        <v>5742</v>
      </c>
      <c r="B213" s="42" t="str">
        <f>'A) Base RI'!B213</f>
        <v>Agiez</v>
      </c>
      <c r="C213" s="14">
        <f>'A) Base RI'!C213+'A) Base RI'!D213</f>
        <v>639999.12</v>
      </c>
      <c r="D213" s="14">
        <f>'A) Base RI'!AO213</f>
        <v>-9475.34</v>
      </c>
      <c r="E213" s="41">
        <f>'A) Base RI'!AP213</f>
        <v>0</v>
      </c>
      <c r="F213" s="41">
        <f>'A) Base RI'!AQ213</f>
        <v>0</v>
      </c>
      <c r="G213" s="4">
        <f t="shared" si="18"/>
        <v>630523.78</v>
      </c>
      <c r="H213" s="14">
        <f>'A) Base RI'!E213</f>
        <v>0</v>
      </c>
      <c r="I213" s="14">
        <f>'A) Base RI'!F213</f>
        <v>0</v>
      </c>
      <c r="J213" s="14">
        <f>'A) Base RI'!G213+'A) Base RI'!H213</f>
        <v>6372.5999999999995</v>
      </c>
      <c r="K213" s="14">
        <f>'A) Base RI'!I213</f>
        <v>0</v>
      </c>
      <c r="L213" s="14">
        <f>'A) Base RI'!J213</f>
        <v>20782.490000000002</v>
      </c>
      <c r="M213" s="14">
        <f>'A) Base RI'!K213</f>
        <v>798</v>
      </c>
      <c r="N213" s="14">
        <f>'A) Base RI'!Q213</f>
        <v>0</v>
      </c>
      <c r="O213" s="14">
        <f t="shared" si="19"/>
        <v>46350.400000000001</v>
      </c>
      <c r="P213" s="14">
        <f>'A) Base RI'!L213</f>
        <v>23175.200000000001</v>
      </c>
      <c r="Q213" s="44">
        <f>'A) Base RI'!AR213</f>
        <v>0.5</v>
      </c>
      <c r="R213" s="4">
        <f t="shared" si="20"/>
        <v>704827.27</v>
      </c>
      <c r="S213" s="43">
        <f>'A) Base RI'!AM213</f>
        <v>76</v>
      </c>
      <c r="T213" s="4">
        <f t="shared" si="21"/>
        <v>657678.87</v>
      </c>
      <c r="U213" s="4">
        <f t="shared" si="22"/>
        <v>9274.0430263157905</v>
      </c>
      <c r="V213" s="14">
        <f>'A) Base RI'!O213</f>
        <v>4877.8999999999996</v>
      </c>
      <c r="W213" s="14">
        <f>'A) Base RI'!P213</f>
        <v>4180</v>
      </c>
      <c r="X213" s="14">
        <f>'A) Base RI'!R213</f>
        <v>-1271</v>
      </c>
      <c r="Y213" s="4">
        <f t="shared" si="23"/>
        <v>7786.9</v>
      </c>
      <c r="Z213" s="14">
        <f>'A) Base RI'!N213</f>
        <v>0</v>
      </c>
      <c r="AA213" s="14">
        <f>'A) Base RI'!S213+'A) Base RI'!T213</f>
        <v>0</v>
      </c>
      <c r="AB213" s="14">
        <f>'A) Base RI'!U213</f>
        <v>1880</v>
      </c>
      <c r="AC213" s="14">
        <f>'A) Base RI'!V213</f>
        <v>0</v>
      </c>
      <c r="AD213" s="14">
        <f>'A) Base RI'!W213</f>
        <v>0</v>
      </c>
      <c r="AE213" s="14">
        <f>'A) Base RI'!Y213</f>
        <v>0</v>
      </c>
      <c r="AF213" s="14">
        <f>'A) Base RI'!Z213</f>
        <v>0</v>
      </c>
      <c r="AG213" s="14">
        <f>'A) Base RI'!AA213</f>
        <v>26271.35</v>
      </c>
      <c r="AH213" s="14">
        <f>'A) Base RI'!AB213</f>
        <v>0</v>
      </c>
      <c r="AI213" s="14">
        <f>'A) Base RI'!AC213</f>
        <v>26950</v>
      </c>
      <c r="AJ213" s="14">
        <f>'A) Base RI'!AD213</f>
        <v>4058</v>
      </c>
      <c r="AK213" s="14">
        <f>'A) Base RI'!AE213</f>
        <v>0</v>
      </c>
      <c r="AL213" s="14">
        <f>'A) Base RI'!AF213</f>
        <v>0</v>
      </c>
      <c r="AM213" s="14">
        <f>'A) Base RI'!AG213</f>
        <v>0</v>
      </c>
      <c r="AN213" s="14">
        <f>'A) Base RI'!AH213</f>
        <v>0</v>
      </c>
      <c r="AO213" s="14">
        <f>'A) Base RI'!AI213</f>
        <v>0</v>
      </c>
      <c r="AP213" s="14">
        <f>'A) Base RI'!AJ213</f>
        <v>0</v>
      </c>
      <c r="AQ213" s="14">
        <f>'A) Base RI'!AK213</f>
        <v>0</v>
      </c>
      <c r="AR213" s="14">
        <f>'A) Base RI'!AN213</f>
        <v>308</v>
      </c>
    </row>
    <row r="214" spans="1:44" x14ac:dyDescent="0.25">
      <c r="A214" s="12">
        <f>'A) Base RI'!A214</f>
        <v>5743</v>
      </c>
      <c r="B214" s="42" t="str">
        <f>'A) Base RI'!B214</f>
        <v>Arnex-sur-Orbe</v>
      </c>
      <c r="C214" s="14">
        <f>'A) Base RI'!C214+'A) Base RI'!D214</f>
        <v>1133158.98</v>
      </c>
      <c r="D214" s="14">
        <f>'A) Base RI'!AO214</f>
        <v>-6027.69</v>
      </c>
      <c r="E214" s="41">
        <f>'A) Base RI'!AP214</f>
        <v>0</v>
      </c>
      <c r="F214" s="41">
        <f>'A) Base RI'!AQ214</f>
        <v>-268.83999999999997</v>
      </c>
      <c r="G214" s="4">
        <f t="shared" si="18"/>
        <v>1126862.45</v>
      </c>
      <c r="H214" s="14">
        <f>'A) Base RI'!E214</f>
        <v>0</v>
      </c>
      <c r="I214" s="14">
        <f>'A) Base RI'!F214</f>
        <v>3360</v>
      </c>
      <c r="J214" s="14">
        <f>'A) Base RI'!G214+'A) Base RI'!H214</f>
        <v>7123.5999999999995</v>
      </c>
      <c r="K214" s="14">
        <f>'A) Base RI'!I214</f>
        <v>0</v>
      </c>
      <c r="L214" s="14">
        <f>'A) Base RI'!J214</f>
        <v>55699.87</v>
      </c>
      <c r="M214" s="14">
        <f>'A) Base RI'!K214</f>
        <v>0</v>
      </c>
      <c r="N214" s="14">
        <f>'A) Base RI'!Q214</f>
        <v>3236.3</v>
      </c>
      <c r="O214" s="14">
        <f t="shared" si="19"/>
        <v>70182.6875</v>
      </c>
      <c r="P214" s="14">
        <f>'A) Base RI'!L214</f>
        <v>56146.15</v>
      </c>
      <c r="Q214" s="44">
        <f>'A) Base RI'!AR214</f>
        <v>0.8</v>
      </c>
      <c r="R214" s="4">
        <f t="shared" si="20"/>
        <v>1266464.9075000002</v>
      </c>
      <c r="S214" s="43">
        <f>'A) Base RI'!AM214</f>
        <v>73</v>
      </c>
      <c r="T214" s="4">
        <f t="shared" si="21"/>
        <v>1192922.2200000002</v>
      </c>
      <c r="U214" s="4">
        <f t="shared" si="22"/>
        <v>17348.834349315071</v>
      </c>
      <c r="V214" s="14">
        <f>'A) Base RI'!O214</f>
        <v>1424.8</v>
      </c>
      <c r="W214" s="14">
        <f>'A) Base RI'!P214</f>
        <v>25938.6</v>
      </c>
      <c r="X214" s="14">
        <f>'A) Base RI'!R214</f>
        <v>37833.599999999999</v>
      </c>
      <c r="Y214" s="4">
        <f t="shared" si="23"/>
        <v>65197</v>
      </c>
      <c r="Z214" s="14">
        <f>'A) Base RI'!N214</f>
        <v>31541.45</v>
      </c>
      <c r="AA214" s="14">
        <f>'A) Base RI'!S214+'A) Base RI'!T214</f>
        <v>62.5</v>
      </c>
      <c r="AB214" s="14">
        <f>'A) Base RI'!U214</f>
        <v>1900</v>
      </c>
      <c r="AC214" s="14">
        <f>'A) Base RI'!V214</f>
        <v>0</v>
      </c>
      <c r="AD214" s="14">
        <f>'A) Base RI'!W214</f>
        <v>0</v>
      </c>
      <c r="AE214" s="14">
        <f>'A) Base RI'!Y214</f>
        <v>39957.550000000003</v>
      </c>
      <c r="AF214" s="14">
        <f>'A) Base RI'!Z214</f>
        <v>0</v>
      </c>
      <c r="AG214" s="14">
        <f>'A) Base RI'!AA214</f>
        <v>71440.600000000006</v>
      </c>
      <c r="AH214" s="14">
        <f>'A) Base RI'!AB214</f>
        <v>0</v>
      </c>
      <c r="AI214" s="14">
        <f>'A) Base RI'!AC214</f>
        <v>42816.9</v>
      </c>
      <c r="AJ214" s="14">
        <f>'A) Base RI'!AD214</f>
        <v>9192.5499999999993</v>
      </c>
      <c r="AK214" s="14">
        <f>'A) Base RI'!AE214</f>
        <v>0</v>
      </c>
      <c r="AL214" s="14">
        <f>'A) Base RI'!AF214</f>
        <v>0</v>
      </c>
      <c r="AM214" s="14">
        <f>'A) Base RI'!AG214</f>
        <v>0</v>
      </c>
      <c r="AN214" s="14">
        <f>'A) Base RI'!AH214</f>
        <v>0</v>
      </c>
      <c r="AO214" s="14">
        <f>'A) Base RI'!AI214</f>
        <v>0</v>
      </c>
      <c r="AP214" s="14">
        <f>'A) Base RI'!AJ214</f>
        <v>0</v>
      </c>
      <c r="AQ214" s="14">
        <f>'A) Base RI'!AK214</f>
        <v>0</v>
      </c>
      <c r="AR214" s="14">
        <f>'A) Base RI'!AN214</f>
        <v>625</v>
      </c>
    </row>
    <row r="215" spans="1:44" x14ac:dyDescent="0.25">
      <c r="A215" s="12">
        <f>'A) Base RI'!A215</f>
        <v>5744</v>
      </c>
      <c r="B215" s="42" t="str">
        <f>'A) Base RI'!B215</f>
        <v>Ballaigues</v>
      </c>
      <c r="C215" s="14">
        <f>'A) Base RI'!C215+'A) Base RI'!D215</f>
        <v>1579488.9100000001</v>
      </c>
      <c r="D215" s="14">
        <f>'A) Base RI'!AO215</f>
        <v>-39072.6</v>
      </c>
      <c r="E215" s="41">
        <f>'A) Base RI'!AP215</f>
        <v>0</v>
      </c>
      <c r="F215" s="41">
        <f>'A) Base RI'!AQ215</f>
        <v>-1016.31</v>
      </c>
      <c r="G215" s="4">
        <f t="shared" si="18"/>
        <v>1539400</v>
      </c>
      <c r="H215" s="14">
        <f>'A) Base RI'!E215</f>
        <v>0</v>
      </c>
      <c r="I215" s="14">
        <f>'A) Base RI'!F215</f>
        <v>5890</v>
      </c>
      <c r="J215" s="14">
        <f>'A) Base RI'!G215+'A) Base RI'!H215</f>
        <v>1727010.85</v>
      </c>
      <c r="K215" s="14">
        <f>'A) Base RI'!I215</f>
        <v>0</v>
      </c>
      <c r="L215" s="14">
        <f>'A) Base RI'!J215</f>
        <v>81520.27</v>
      </c>
      <c r="M215" s="14">
        <f>'A) Base RI'!K215</f>
        <v>0</v>
      </c>
      <c r="N215" s="14">
        <f>'A) Base RI'!Q215</f>
        <v>19462.13</v>
      </c>
      <c r="O215" s="14">
        <f t="shared" si="19"/>
        <v>138739</v>
      </c>
      <c r="P215" s="14">
        <f>'A) Base RI'!L215</f>
        <v>138739</v>
      </c>
      <c r="Q215" s="44">
        <f>'A) Base RI'!AR215</f>
        <v>1</v>
      </c>
      <c r="R215" s="4">
        <f t="shared" si="20"/>
        <v>3512022.25</v>
      </c>
      <c r="S215" s="43">
        <f>'A) Base RI'!AM215</f>
        <v>66</v>
      </c>
      <c r="T215" s="4">
        <f t="shared" si="21"/>
        <v>3367393.25</v>
      </c>
      <c r="U215" s="4">
        <f t="shared" si="22"/>
        <v>53212.458333333336</v>
      </c>
      <c r="V215" s="14">
        <f>'A) Base RI'!O215</f>
        <v>36587.800000000003</v>
      </c>
      <c r="W215" s="14">
        <f>'A) Base RI'!P215</f>
        <v>31726.95</v>
      </c>
      <c r="X215" s="14">
        <f>'A) Base RI'!R215</f>
        <v>23891.75</v>
      </c>
      <c r="Y215" s="4">
        <f t="shared" si="23"/>
        <v>92206.5</v>
      </c>
      <c r="Z215" s="14">
        <f>'A) Base RI'!N215</f>
        <v>755922.85</v>
      </c>
      <c r="AA215" s="14">
        <f>'A) Base RI'!S215+'A) Base RI'!T215</f>
        <v>43.8</v>
      </c>
      <c r="AB215" s="14">
        <f>'A) Base RI'!U215</f>
        <v>4910</v>
      </c>
      <c r="AC215" s="14">
        <f>'A) Base RI'!V215</f>
        <v>330</v>
      </c>
      <c r="AD215" s="14">
        <f>'A) Base RI'!W215</f>
        <v>0</v>
      </c>
      <c r="AE215" s="14">
        <f>'A) Base RI'!Y215</f>
        <v>84630</v>
      </c>
      <c r="AF215" s="14">
        <f>'A) Base RI'!Z215</f>
        <v>0</v>
      </c>
      <c r="AG215" s="14">
        <f>'A) Base RI'!AA215</f>
        <v>66154.25</v>
      </c>
      <c r="AH215" s="14">
        <f>'A) Base RI'!AB215</f>
        <v>0</v>
      </c>
      <c r="AI215" s="14">
        <f>'A) Base RI'!AC215</f>
        <v>98361.42</v>
      </c>
      <c r="AJ215" s="14">
        <f>'A) Base RI'!AD215</f>
        <v>84630</v>
      </c>
      <c r="AK215" s="14">
        <f>'A) Base RI'!AE215</f>
        <v>0</v>
      </c>
      <c r="AL215" s="14">
        <f>'A) Base RI'!AF215</f>
        <v>0</v>
      </c>
      <c r="AM215" s="14">
        <f>'A) Base RI'!AG215</f>
        <v>0</v>
      </c>
      <c r="AN215" s="14">
        <f>'A) Base RI'!AH215</f>
        <v>103119.7</v>
      </c>
      <c r="AO215" s="14">
        <f>'A) Base RI'!AI215</f>
        <v>0</v>
      </c>
      <c r="AP215" s="14">
        <f>'A) Base RI'!AJ215</f>
        <v>0</v>
      </c>
      <c r="AQ215" s="14">
        <f>'A) Base RI'!AK215</f>
        <v>0</v>
      </c>
      <c r="AR215" s="14">
        <f>'A) Base RI'!AN215</f>
        <v>1069</v>
      </c>
    </row>
    <row r="216" spans="1:44" x14ac:dyDescent="0.25">
      <c r="A216" s="12">
        <f>'A) Base RI'!A216</f>
        <v>5745</v>
      </c>
      <c r="B216" s="42" t="str">
        <f>'A) Base RI'!B216</f>
        <v>Baulmes</v>
      </c>
      <c r="C216" s="14">
        <f>'A) Base RI'!C216+'A) Base RI'!D216</f>
        <v>1931216.74</v>
      </c>
      <c r="D216" s="14">
        <f>'A) Base RI'!AO216</f>
        <v>-12643.41</v>
      </c>
      <c r="E216" s="41">
        <f>'A) Base RI'!AP216</f>
        <v>0</v>
      </c>
      <c r="F216" s="41">
        <f>'A) Base RI'!AQ216</f>
        <v>-678.68</v>
      </c>
      <c r="G216" s="4">
        <f t="shared" si="18"/>
        <v>1917894.6500000001</v>
      </c>
      <c r="H216" s="14">
        <f>'A) Base RI'!E216</f>
        <v>0</v>
      </c>
      <c r="I216" s="14">
        <f>'A) Base RI'!F216</f>
        <v>0</v>
      </c>
      <c r="J216" s="14">
        <f>'A) Base RI'!G216+'A) Base RI'!H216</f>
        <v>71688.799999999988</v>
      </c>
      <c r="K216" s="14">
        <f>'A) Base RI'!I216</f>
        <v>0</v>
      </c>
      <c r="L216" s="14">
        <f>'A) Base RI'!J216</f>
        <v>17791.63</v>
      </c>
      <c r="M216" s="14">
        <f>'A) Base RI'!K216</f>
        <v>0</v>
      </c>
      <c r="N216" s="14">
        <f>'A) Base RI'!Q216</f>
        <v>19584.55</v>
      </c>
      <c r="O216" s="14">
        <f t="shared" si="19"/>
        <v>119768.2</v>
      </c>
      <c r="P216" s="14">
        <f>'A) Base RI'!L216</f>
        <v>119768.2</v>
      </c>
      <c r="Q216" s="44">
        <f>'A) Base RI'!AR216</f>
        <v>1</v>
      </c>
      <c r="R216" s="4">
        <f t="shared" si="20"/>
        <v>2146727.83</v>
      </c>
      <c r="S216" s="43">
        <f>'A) Base RI'!AM216</f>
        <v>78</v>
      </c>
      <c r="T216" s="4">
        <f t="shared" si="21"/>
        <v>2026959.6300000001</v>
      </c>
      <c r="U216" s="4">
        <f t="shared" si="22"/>
        <v>27522.151666666668</v>
      </c>
      <c r="V216" s="14">
        <f>'A) Base RI'!O216</f>
        <v>924</v>
      </c>
      <c r="W216" s="14">
        <f>'A) Base RI'!P216</f>
        <v>34564.75</v>
      </c>
      <c r="X216" s="14">
        <f>'A) Base RI'!R216</f>
        <v>39527</v>
      </c>
      <c r="Y216" s="4">
        <f t="shared" si="23"/>
        <v>75015.75</v>
      </c>
      <c r="Z216" s="14">
        <f>'A) Base RI'!N216</f>
        <v>184046.05</v>
      </c>
      <c r="AA216" s="14">
        <f>'A) Base RI'!S216+'A) Base RI'!T216</f>
        <v>93.75</v>
      </c>
      <c r="AB216" s="14">
        <f>'A) Base RI'!U216</f>
        <v>3500</v>
      </c>
      <c r="AC216" s="14">
        <f>'A) Base RI'!V216</f>
        <v>0</v>
      </c>
      <c r="AD216" s="14">
        <f>'A) Base RI'!W216</f>
        <v>0</v>
      </c>
      <c r="AE216" s="14">
        <f>'A) Base RI'!Y216</f>
        <v>395</v>
      </c>
      <c r="AF216" s="14">
        <f>'A) Base RI'!Z216</f>
        <v>0</v>
      </c>
      <c r="AG216" s="14">
        <f>'A) Base RI'!AA216</f>
        <v>131481.15</v>
      </c>
      <c r="AH216" s="14">
        <f>'A) Base RI'!AB216</f>
        <v>0</v>
      </c>
      <c r="AI216" s="14">
        <f>'A) Base RI'!AC216</f>
        <v>74141.55</v>
      </c>
      <c r="AJ216" s="14">
        <f>'A) Base RI'!AD216</f>
        <v>10769.95</v>
      </c>
      <c r="AK216" s="14">
        <f>'A) Base RI'!AE216</f>
        <v>0</v>
      </c>
      <c r="AL216" s="14">
        <f>'A) Base RI'!AF216</f>
        <v>0</v>
      </c>
      <c r="AM216" s="14">
        <f>'A) Base RI'!AG216</f>
        <v>0</v>
      </c>
      <c r="AN216" s="14">
        <f>'A) Base RI'!AH216</f>
        <v>0</v>
      </c>
      <c r="AO216" s="14">
        <f>'A) Base RI'!AI216</f>
        <v>0</v>
      </c>
      <c r="AP216" s="14">
        <f>'A) Base RI'!AJ216</f>
        <v>0</v>
      </c>
      <c r="AQ216" s="14">
        <f>'A) Base RI'!AK216</f>
        <v>0</v>
      </c>
      <c r="AR216" s="14">
        <f>'A) Base RI'!AN216</f>
        <v>1034</v>
      </c>
    </row>
    <row r="217" spans="1:44" x14ac:dyDescent="0.25">
      <c r="A217" s="12">
        <f>'A) Base RI'!A217</f>
        <v>5746</v>
      </c>
      <c r="B217" s="42" t="str">
        <f>'A) Base RI'!B217</f>
        <v>Bavois</v>
      </c>
      <c r="C217" s="14">
        <f>'A) Base RI'!C217+'A) Base RI'!D217</f>
        <v>1572910.27</v>
      </c>
      <c r="D217" s="14">
        <f>'A) Base RI'!AO217</f>
        <v>-37296.99</v>
      </c>
      <c r="E217" s="41">
        <f>'A) Base RI'!AP217</f>
        <v>0</v>
      </c>
      <c r="F217" s="41">
        <f>'A) Base RI'!AQ217</f>
        <v>-34.86</v>
      </c>
      <c r="G217" s="4">
        <f t="shared" si="18"/>
        <v>1535578.42</v>
      </c>
      <c r="H217" s="14">
        <f>'A) Base RI'!E217</f>
        <v>0</v>
      </c>
      <c r="I217" s="14">
        <f>'A) Base RI'!F217</f>
        <v>0</v>
      </c>
      <c r="J217" s="14">
        <f>'A) Base RI'!G217+'A) Base RI'!H217</f>
        <v>25762.9</v>
      </c>
      <c r="K217" s="14">
        <f>'A) Base RI'!I217</f>
        <v>0</v>
      </c>
      <c r="L217" s="14">
        <f>'A) Base RI'!J217</f>
        <v>26760.67</v>
      </c>
      <c r="M217" s="14">
        <f>'A) Base RI'!K217</f>
        <v>0</v>
      </c>
      <c r="N217" s="14">
        <f>'A) Base RI'!Q217</f>
        <v>2336.0700000000002</v>
      </c>
      <c r="O217" s="14">
        <f t="shared" si="19"/>
        <v>156458.04166666666</v>
      </c>
      <c r="P217" s="14">
        <f>'A) Base RI'!L217</f>
        <v>187749.65</v>
      </c>
      <c r="Q217" s="44">
        <f>'A) Base RI'!AR217</f>
        <v>1.2</v>
      </c>
      <c r="R217" s="4">
        <f t="shared" si="20"/>
        <v>1746896.1016666666</v>
      </c>
      <c r="S217" s="43">
        <f>'A) Base RI'!AM217</f>
        <v>73</v>
      </c>
      <c r="T217" s="4">
        <f t="shared" si="21"/>
        <v>1590438.0599999998</v>
      </c>
      <c r="U217" s="4">
        <f t="shared" si="22"/>
        <v>23930.083584474884</v>
      </c>
      <c r="V217" s="14">
        <f>'A) Base RI'!O217</f>
        <v>12157.4</v>
      </c>
      <c r="W217" s="14">
        <f>'A) Base RI'!P217</f>
        <v>39366.800000000003</v>
      </c>
      <c r="X217" s="14">
        <f>'A) Base RI'!R217</f>
        <v>72369.3</v>
      </c>
      <c r="Y217" s="4">
        <f t="shared" si="23"/>
        <v>123893.5</v>
      </c>
      <c r="Z217" s="14">
        <f>'A) Base RI'!N217</f>
        <v>19841.95</v>
      </c>
      <c r="AA217" s="14">
        <f>'A) Base RI'!S217+'A) Base RI'!T217</f>
        <v>762.5</v>
      </c>
      <c r="AB217" s="14">
        <f>'A) Base RI'!U217</f>
        <v>5085</v>
      </c>
      <c r="AC217" s="14">
        <f>'A) Base RI'!V217</f>
        <v>595</v>
      </c>
      <c r="AD217" s="14">
        <f>'A) Base RI'!W217</f>
        <v>0</v>
      </c>
      <c r="AE217" s="14">
        <f>'A) Base RI'!Y217</f>
        <v>69738.3</v>
      </c>
      <c r="AF217" s="14">
        <f>'A) Base RI'!Z217</f>
        <v>0</v>
      </c>
      <c r="AG217" s="14">
        <f>'A) Base RI'!AA217</f>
        <v>83160.149999999994</v>
      </c>
      <c r="AH217" s="14">
        <f>'A) Base RI'!AB217</f>
        <v>0</v>
      </c>
      <c r="AI217" s="14">
        <f>'A) Base RI'!AC217</f>
        <v>59821.599999999999</v>
      </c>
      <c r="AJ217" s="14">
        <f>'A) Base RI'!AD217</f>
        <v>3964.75</v>
      </c>
      <c r="AK217" s="14">
        <f>'A) Base RI'!AE217</f>
        <v>0</v>
      </c>
      <c r="AL217" s="14">
        <f>'A) Base RI'!AF217</f>
        <v>0</v>
      </c>
      <c r="AM217" s="14">
        <f>'A) Base RI'!AG217</f>
        <v>0</v>
      </c>
      <c r="AN217" s="14">
        <f>'A) Base RI'!AH217</f>
        <v>26522.2</v>
      </c>
      <c r="AO217" s="14">
        <f>'A) Base RI'!AI217</f>
        <v>0</v>
      </c>
      <c r="AP217" s="14">
        <f>'A) Base RI'!AJ217</f>
        <v>0</v>
      </c>
      <c r="AQ217" s="14">
        <f>'A) Base RI'!AK217</f>
        <v>0</v>
      </c>
      <c r="AR217" s="14">
        <f>'A) Base RI'!AN217</f>
        <v>939</v>
      </c>
    </row>
    <row r="218" spans="1:44" x14ac:dyDescent="0.25">
      <c r="A218" s="12">
        <f>'A) Base RI'!A218</f>
        <v>5747</v>
      </c>
      <c r="B218" s="42" t="str">
        <f>'A) Base RI'!B218</f>
        <v>Bofflens</v>
      </c>
      <c r="C218" s="14">
        <f>'A) Base RI'!C218+'A) Base RI'!D218</f>
        <v>319979.07</v>
      </c>
      <c r="D218" s="14">
        <f>'A) Base RI'!AO218</f>
        <v>-3513.01</v>
      </c>
      <c r="E218" s="41">
        <f>'A) Base RI'!AP218</f>
        <v>0</v>
      </c>
      <c r="F218" s="41">
        <f>'A) Base RI'!AQ218</f>
        <v>-3.14</v>
      </c>
      <c r="G218" s="4">
        <f t="shared" si="18"/>
        <v>316462.92</v>
      </c>
      <c r="H218" s="14">
        <f>'A) Base RI'!E218</f>
        <v>0</v>
      </c>
      <c r="I218" s="14">
        <f>'A) Base RI'!F218</f>
        <v>0</v>
      </c>
      <c r="J218" s="14">
        <f>'A) Base RI'!G218+'A) Base RI'!H218</f>
        <v>3348.2000000000003</v>
      </c>
      <c r="K218" s="14">
        <f>'A) Base RI'!I218</f>
        <v>0</v>
      </c>
      <c r="L218" s="14">
        <f>'A) Base RI'!J218</f>
        <v>11926.52</v>
      </c>
      <c r="M218" s="14">
        <f>'A) Base RI'!K218</f>
        <v>0</v>
      </c>
      <c r="N218" s="14">
        <f>'A) Base RI'!Q218</f>
        <v>0</v>
      </c>
      <c r="O218" s="14">
        <f t="shared" si="19"/>
        <v>25919.85</v>
      </c>
      <c r="P218" s="14">
        <f>'A) Base RI'!L218</f>
        <v>25919.85</v>
      </c>
      <c r="Q218" s="44">
        <f>'A) Base RI'!AR218</f>
        <v>1</v>
      </c>
      <c r="R218" s="4">
        <f t="shared" si="20"/>
        <v>357657.49</v>
      </c>
      <c r="S218" s="43">
        <f>'A) Base RI'!AM218</f>
        <v>69</v>
      </c>
      <c r="T218" s="4">
        <f t="shared" si="21"/>
        <v>331737.64</v>
      </c>
      <c r="U218" s="4">
        <f t="shared" si="22"/>
        <v>5183.441884057971</v>
      </c>
      <c r="V218" s="14">
        <f>'A) Base RI'!O218</f>
        <v>0</v>
      </c>
      <c r="W218" s="14">
        <f>'A) Base RI'!P218</f>
        <v>10338.9</v>
      </c>
      <c r="X218" s="14">
        <f>'A) Base RI'!R218</f>
        <v>3390.2</v>
      </c>
      <c r="Y218" s="4">
        <f t="shared" si="23"/>
        <v>13729.099999999999</v>
      </c>
      <c r="Z218" s="14">
        <f>'A) Base RI'!N218</f>
        <v>0</v>
      </c>
      <c r="AA218" s="14">
        <f>'A) Base RI'!S218+'A) Base RI'!T218</f>
        <v>0</v>
      </c>
      <c r="AB218" s="14">
        <f>'A) Base RI'!U218</f>
        <v>680</v>
      </c>
      <c r="AC218" s="14">
        <f>'A) Base RI'!V218</f>
        <v>0</v>
      </c>
      <c r="AD218" s="14">
        <f>'A) Base RI'!W218</f>
        <v>0</v>
      </c>
      <c r="AE218" s="14">
        <f>'A) Base RI'!Y218</f>
        <v>0</v>
      </c>
      <c r="AF218" s="14">
        <f>'A) Base RI'!Z218</f>
        <v>16840</v>
      </c>
      <c r="AG218" s="14">
        <f>'A) Base RI'!AA218</f>
        <v>9275</v>
      </c>
      <c r="AH218" s="14">
        <f>'A) Base RI'!AB218</f>
        <v>0</v>
      </c>
      <c r="AI218" s="14">
        <f>'A) Base RI'!AC218</f>
        <v>15635.05</v>
      </c>
      <c r="AJ218" s="14">
        <f>'A) Base RI'!AD218</f>
        <v>8400</v>
      </c>
      <c r="AK218" s="14">
        <f>'A) Base RI'!AE218</f>
        <v>0</v>
      </c>
      <c r="AL218" s="14">
        <f>'A) Base RI'!AF218</f>
        <v>0</v>
      </c>
      <c r="AM218" s="14">
        <f>'A) Base RI'!AG218</f>
        <v>0</v>
      </c>
      <c r="AN218" s="14">
        <f>'A) Base RI'!AH218</f>
        <v>0</v>
      </c>
      <c r="AO218" s="14">
        <f>'A) Base RI'!AI218</f>
        <v>0</v>
      </c>
      <c r="AP218" s="14">
        <f>'A) Base RI'!AJ218</f>
        <v>0</v>
      </c>
      <c r="AQ218" s="14">
        <f>'A) Base RI'!AK218</f>
        <v>0</v>
      </c>
      <c r="AR218" s="14">
        <f>'A) Base RI'!AN218</f>
        <v>187</v>
      </c>
    </row>
    <row r="219" spans="1:44" x14ac:dyDescent="0.25">
      <c r="A219" s="12">
        <f>'A) Base RI'!A219</f>
        <v>5748</v>
      </c>
      <c r="B219" s="42" t="str">
        <f>'A) Base RI'!B219</f>
        <v>Bretonnières</v>
      </c>
      <c r="C219" s="14">
        <f>'A) Base RI'!C219+'A) Base RI'!D219</f>
        <v>402910.19</v>
      </c>
      <c r="D219" s="14">
        <f>'A) Base RI'!AO219</f>
        <v>-9324.69</v>
      </c>
      <c r="E219" s="41">
        <f>'A) Base RI'!AP219</f>
        <v>0</v>
      </c>
      <c r="F219" s="41">
        <f>'A) Base RI'!AQ219</f>
        <v>0</v>
      </c>
      <c r="G219" s="4">
        <f t="shared" si="18"/>
        <v>393585.5</v>
      </c>
      <c r="H219" s="14">
        <f>'A) Base RI'!E219</f>
        <v>0</v>
      </c>
      <c r="I219" s="14">
        <f>'A) Base RI'!F219</f>
        <v>2160</v>
      </c>
      <c r="J219" s="14">
        <f>'A) Base RI'!G219+'A) Base RI'!H219</f>
        <v>7195.95</v>
      </c>
      <c r="K219" s="14">
        <f>'A) Base RI'!I219</f>
        <v>0</v>
      </c>
      <c r="L219" s="14">
        <f>'A) Base RI'!J219</f>
        <v>6735.96</v>
      </c>
      <c r="M219" s="14">
        <f>'A) Base RI'!K219</f>
        <v>0</v>
      </c>
      <c r="N219" s="14">
        <f>'A) Base RI'!Q219</f>
        <v>2673.08</v>
      </c>
      <c r="O219" s="14">
        <f t="shared" si="19"/>
        <v>29791</v>
      </c>
      <c r="P219" s="14">
        <f>'A) Base RI'!L219</f>
        <v>17874.599999999999</v>
      </c>
      <c r="Q219" s="44">
        <f>'A) Base RI'!AR219</f>
        <v>0.6</v>
      </c>
      <c r="R219" s="4">
        <f t="shared" si="20"/>
        <v>442141.49000000005</v>
      </c>
      <c r="S219" s="43">
        <f>'A) Base RI'!AM219</f>
        <v>72</v>
      </c>
      <c r="T219" s="4">
        <f t="shared" si="21"/>
        <v>410190.49000000005</v>
      </c>
      <c r="U219" s="4">
        <f t="shared" si="22"/>
        <v>6140.8540277777784</v>
      </c>
      <c r="V219" s="14">
        <f>'A) Base RI'!O219</f>
        <v>2867</v>
      </c>
      <c r="W219" s="14">
        <f>'A) Base RI'!P219</f>
        <v>13612.5</v>
      </c>
      <c r="X219" s="14">
        <f>'A) Base RI'!R219</f>
        <v>32743.200000000001</v>
      </c>
      <c r="Y219" s="4">
        <f t="shared" si="23"/>
        <v>49222.7</v>
      </c>
      <c r="Z219" s="14">
        <f>'A) Base RI'!N219</f>
        <v>4800.1499999999996</v>
      </c>
      <c r="AA219" s="14">
        <f>'A) Base RI'!S219+'A) Base RI'!T219</f>
        <v>0</v>
      </c>
      <c r="AB219" s="14">
        <f>'A) Base RI'!U219</f>
        <v>1300</v>
      </c>
      <c r="AC219" s="14">
        <f>'A) Base RI'!V219</f>
        <v>0</v>
      </c>
      <c r="AD219" s="14">
        <f>'A) Base RI'!W219</f>
        <v>0</v>
      </c>
      <c r="AE219" s="14">
        <f>'A) Base RI'!Y219</f>
        <v>7894.1</v>
      </c>
      <c r="AF219" s="14">
        <f>'A) Base RI'!Z219</f>
        <v>0</v>
      </c>
      <c r="AG219" s="14">
        <f>'A) Base RI'!AA219</f>
        <v>28936</v>
      </c>
      <c r="AH219" s="14">
        <f>'A) Base RI'!AB219</f>
        <v>0</v>
      </c>
      <c r="AI219" s="14">
        <f>'A) Base RI'!AC219</f>
        <v>22529.55</v>
      </c>
      <c r="AJ219" s="14">
        <f>'A) Base RI'!AD219</f>
        <v>4893.8999999999996</v>
      </c>
      <c r="AK219" s="14">
        <f>'A) Base RI'!AE219</f>
        <v>0</v>
      </c>
      <c r="AL219" s="14">
        <f>'A) Base RI'!AF219</f>
        <v>0</v>
      </c>
      <c r="AM219" s="14">
        <f>'A) Base RI'!AG219</f>
        <v>0</v>
      </c>
      <c r="AN219" s="14">
        <f>'A) Base RI'!AH219</f>
        <v>0</v>
      </c>
      <c r="AO219" s="14">
        <f>'A) Base RI'!AI219</f>
        <v>0</v>
      </c>
      <c r="AP219" s="14">
        <f>'A) Base RI'!AJ219</f>
        <v>0</v>
      </c>
      <c r="AQ219" s="14">
        <f>'A) Base RI'!AK219</f>
        <v>0</v>
      </c>
      <c r="AR219" s="14">
        <f>'A) Base RI'!AN219</f>
        <v>252</v>
      </c>
    </row>
    <row r="220" spans="1:44" x14ac:dyDescent="0.25">
      <c r="A220" s="12">
        <f>'A) Base RI'!A220</f>
        <v>5749</v>
      </c>
      <c r="B220" s="42" t="str">
        <f>'A) Base RI'!B220</f>
        <v>Chavornay</v>
      </c>
      <c r="C220" s="14">
        <f>'A) Base RI'!C220+'A) Base RI'!D220</f>
        <v>7806163.21</v>
      </c>
      <c r="D220" s="14">
        <f>'A) Base RI'!AO220</f>
        <v>-211431.97</v>
      </c>
      <c r="E220" s="41">
        <f>'A) Base RI'!AP220</f>
        <v>0</v>
      </c>
      <c r="F220" s="41">
        <f>'A) Base RI'!AQ220</f>
        <v>-851.65000000000009</v>
      </c>
      <c r="G220" s="4">
        <f t="shared" si="18"/>
        <v>7593879.5899999999</v>
      </c>
      <c r="H220" s="14">
        <f>'A) Base RI'!E220</f>
        <v>68753</v>
      </c>
      <c r="I220" s="14">
        <f>'A) Base RI'!F220</f>
        <v>0</v>
      </c>
      <c r="J220" s="14">
        <f>'A) Base RI'!G220+'A) Base RI'!H220</f>
        <v>311534.30000000005</v>
      </c>
      <c r="K220" s="14">
        <f>'A) Base RI'!I220</f>
        <v>0</v>
      </c>
      <c r="L220" s="14">
        <f>'A) Base RI'!J220</f>
        <v>312585.46000000002</v>
      </c>
      <c r="M220" s="14">
        <f>'A) Base RI'!K220</f>
        <v>47183.5</v>
      </c>
      <c r="N220" s="14">
        <f>'A) Base RI'!Q220</f>
        <v>20287.579999999998</v>
      </c>
      <c r="O220" s="14">
        <f t="shared" si="19"/>
        <v>650981</v>
      </c>
      <c r="P220" s="14">
        <f>'A) Base RI'!L220</f>
        <v>650981</v>
      </c>
      <c r="Q220" s="44">
        <f>'A) Base RI'!AR220</f>
        <v>1</v>
      </c>
      <c r="R220" s="4">
        <f t="shared" si="20"/>
        <v>9005204.4299999997</v>
      </c>
      <c r="S220" s="43">
        <f>'A) Base RI'!AM220</f>
        <v>72.42</v>
      </c>
      <c r="T220" s="4">
        <f t="shared" si="21"/>
        <v>8307039.9299999997</v>
      </c>
      <c r="U220" s="4">
        <f t="shared" si="22"/>
        <v>124346.92667771333</v>
      </c>
      <c r="V220" s="14">
        <f>'A) Base RI'!O220</f>
        <v>11761.1</v>
      </c>
      <c r="W220" s="14">
        <f>'A) Base RI'!P220</f>
        <v>178315.85</v>
      </c>
      <c r="X220" s="14">
        <f>'A) Base RI'!R220</f>
        <v>150381.54999999999</v>
      </c>
      <c r="Y220" s="4">
        <f t="shared" si="23"/>
        <v>340458.5</v>
      </c>
      <c r="Z220" s="14">
        <f>'A) Base RI'!N220</f>
        <v>539006.69999999995</v>
      </c>
      <c r="AA220" s="14">
        <f>'A) Base RI'!S220+'A) Base RI'!T220</f>
        <v>10362.75</v>
      </c>
      <c r="AB220" s="14">
        <f>'A) Base RI'!U220</f>
        <v>22490</v>
      </c>
      <c r="AC220" s="14">
        <f>'A) Base RI'!V220</f>
        <v>0</v>
      </c>
      <c r="AD220" s="14">
        <f>'A) Base RI'!W220</f>
        <v>0</v>
      </c>
      <c r="AE220" s="14">
        <f>'A) Base RI'!Y220</f>
        <v>90787.45</v>
      </c>
      <c r="AF220" s="14">
        <f>'A) Base RI'!Z220</f>
        <v>0</v>
      </c>
      <c r="AG220" s="14">
        <f>'A) Base RI'!AA220</f>
        <v>549116.4</v>
      </c>
      <c r="AH220" s="14">
        <f>'A) Base RI'!AB220</f>
        <v>0</v>
      </c>
      <c r="AI220" s="14">
        <f>'A) Base RI'!AC220</f>
        <v>484067.95</v>
      </c>
      <c r="AJ220" s="14">
        <f>'A) Base RI'!AD220</f>
        <v>80690.7</v>
      </c>
      <c r="AK220" s="14">
        <f>'A) Base RI'!AE220</f>
        <v>0</v>
      </c>
      <c r="AL220" s="14">
        <f>'A) Base RI'!AF220</f>
        <v>0</v>
      </c>
      <c r="AM220" s="14">
        <f>'A) Base RI'!AG220</f>
        <v>0</v>
      </c>
      <c r="AN220" s="14">
        <f>'A) Base RI'!AH220</f>
        <v>156077.35</v>
      </c>
      <c r="AO220" s="14">
        <f>'A) Base RI'!AI220</f>
        <v>0</v>
      </c>
      <c r="AP220" s="14">
        <f>'A) Base RI'!AJ220</f>
        <v>0</v>
      </c>
      <c r="AQ220" s="14">
        <f>'A) Base RI'!AK220</f>
        <v>0</v>
      </c>
      <c r="AR220" s="14">
        <f>'A) Base RI'!AN220</f>
        <v>4672</v>
      </c>
    </row>
    <row r="221" spans="1:44" x14ac:dyDescent="0.25">
      <c r="A221" s="12">
        <f>'A) Base RI'!A221</f>
        <v>5750</v>
      </c>
      <c r="B221" s="42" t="str">
        <f>'A) Base RI'!B221</f>
        <v>Les Clées</v>
      </c>
      <c r="C221" s="14">
        <f>'A) Base RI'!C221+'A) Base RI'!D221</f>
        <v>337591.07</v>
      </c>
      <c r="D221" s="14">
        <f>'A) Base RI'!AO221</f>
        <v>-7531.54</v>
      </c>
      <c r="E221" s="41">
        <f>'A) Base RI'!AP221</f>
        <v>0</v>
      </c>
      <c r="F221" s="41">
        <f>'A) Base RI'!AQ221</f>
        <v>-265.85000000000002</v>
      </c>
      <c r="G221" s="4">
        <f t="shared" si="18"/>
        <v>329793.68000000005</v>
      </c>
      <c r="H221" s="14">
        <f>'A) Base RI'!E221</f>
        <v>0</v>
      </c>
      <c r="I221" s="14">
        <f>'A) Base RI'!F221</f>
        <v>990</v>
      </c>
      <c r="J221" s="14">
        <f>'A) Base RI'!G221+'A) Base RI'!H221</f>
        <v>1538.0500000000002</v>
      </c>
      <c r="K221" s="14">
        <f>'A) Base RI'!I221</f>
        <v>0</v>
      </c>
      <c r="L221" s="14">
        <f>'A) Base RI'!J221</f>
        <v>-6528.49</v>
      </c>
      <c r="M221" s="14">
        <f>'A) Base RI'!K221</f>
        <v>462</v>
      </c>
      <c r="N221" s="14">
        <f>'A) Base RI'!Q221</f>
        <v>3668.85</v>
      </c>
      <c r="O221" s="14">
        <f t="shared" si="19"/>
        <v>19365.083333333332</v>
      </c>
      <c r="P221" s="14">
        <f>'A) Base RI'!L221</f>
        <v>11619.05</v>
      </c>
      <c r="Q221" s="44">
        <f>'A) Base RI'!AR221</f>
        <v>0.6</v>
      </c>
      <c r="R221" s="4">
        <f t="shared" si="20"/>
        <v>349289.17333333334</v>
      </c>
      <c r="S221" s="43">
        <f>'A) Base RI'!AM221</f>
        <v>80</v>
      </c>
      <c r="T221" s="4">
        <f t="shared" si="21"/>
        <v>328472.09000000003</v>
      </c>
      <c r="U221" s="4">
        <f t="shared" si="22"/>
        <v>4366.1146666666664</v>
      </c>
      <c r="V221" s="14">
        <f>'A) Base RI'!O221</f>
        <v>123.2</v>
      </c>
      <c r="W221" s="14">
        <f>'A) Base RI'!P221</f>
        <v>2475</v>
      </c>
      <c r="X221" s="14">
        <f>'A) Base RI'!R221</f>
        <v>3412.5</v>
      </c>
      <c r="Y221" s="4">
        <f t="shared" si="23"/>
        <v>6010.7</v>
      </c>
      <c r="Z221" s="14">
        <f>'A) Base RI'!N221</f>
        <v>9325.7999999999993</v>
      </c>
      <c r="AA221" s="14">
        <f>'A) Base RI'!S221+'A) Base RI'!T221</f>
        <v>0</v>
      </c>
      <c r="AB221" s="14">
        <f>'A) Base RI'!U221</f>
        <v>700</v>
      </c>
      <c r="AC221" s="14">
        <f>'A) Base RI'!V221</f>
        <v>0</v>
      </c>
      <c r="AD221" s="14">
        <f>'A) Base RI'!W221</f>
        <v>0</v>
      </c>
      <c r="AE221" s="14">
        <f>'A) Base RI'!Y221</f>
        <v>6386.55</v>
      </c>
      <c r="AF221" s="14">
        <f>'A) Base RI'!Z221</f>
        <v>0</v>
      </c>
      <c r="AG221" s="14">
        <f>'A) Base RI'!AA221</f>
        <v>26541</v>
      </c>
      <c r="AH221" s="14">
        <f>'A) Base RI'!AB221</f>
        <v>0</v>
      </c>
      <c r="AI221" s="14">
        <f>'A) Base RI'!AC221</f>
        <v>10147.200000000001</v>
      </c>
      <c r="AJ221" s="14">
        <f>'A) Base RI'!AD221</f>
        <v>218</v>
      </c>
      <c r="AK221" s="14">
        <f>'A) Base RI'!AE221</f>
        <v>0</v>
      </c>
      <c r="AL221" s="14">
        <f>'A) Base RI'!AF221</f>
        <v>0</v>
      </c>
      <c r="AM221" s="14">
        <f>'A) Base RI'!AG221</f>
        <v>320</v>
      </c>
      <c r="AN221" s="14">
        <f>'A) Base RI'!AH221</f>
        <v>4061.25</v>
      </c>
      <c r="AO221" s="14">
        <f>'A) Base RI'!AI221</f>
        <v>0</v>
      </c>
      <c r="AP221" s="14">
        <f>'A) Base RI'!AJ221</f>
        <v>0</v>
      </c>
      <c r="AQ221" s="14">
        <f>'A) Base RI'!AK221</f>
        <v>0</v>
      </c>
      <c r="AR221" s="14">
        <f>'A) Base RI'!AN221</f>
        <v>186</v>
      </c>
    </row>
    <row r="222" spans="1:44" x14ac:dyDescent="0.25">
      <c r="A222" s="12">
        <f>'A) Base RI'!A222</f>
        <v>5752</v>
      </c>
      <c r="B222" s="42" t="str">
        <f>'A) Base RI'!B222</f>
        <v>Croy</v>
      </c>
      <c r="C222" s="14">
        <f>'A) Base RI'!C222+'A) Base RI'!D222</f>
        <v>900612.89</v>
      </c>
      <c r="D222" s="14">
        <f>'A) Base RI'!AO222</f>
        <v>-2742.14</v>
      </c>
      <c r="E222" s="41">
        <f>'A) Base RI'!AP222</f>
        <v>0</v>
      </c>
      <c r="F222" s="41">
        <f>'A) Base RI'!AQ222</f>
        <v>0</v>
      </c>
      <c r="G222" s="4">
        <f t="shared" si="18"/>
        <v>897870.75</v>
      </c>
      <c r="H222" s="14">
        <f>'A) Base RI'!E222</f>
        <v>0</v>
      </c>
      <c r="I222" s="14">
        <f>'A) Base RI'!F222</f>
        <v>0</v>
      </c>
      <c r="J222" s="14">
        <f>'A) Base RI'!G222+'A) Base RI'!H222</f>
        <v>7543.2</v>
      </c>
      <c r="K222" s="14">
        <f>'A) Base RI'!I222</f>
        <v>0</v>
      </c>
      <c r="L222" s="14">
        <f>'A) Base RI'!J222</f>
        <v>4661.34</v>
      </c>
      <c r="M222" s="14">
        <f>'A) Base RI'!K222</f>
        <v>724.5</v>
      </c>
      <c r="N222" s="14">
        <f>'A) Base RI'!Q222</f>
        <v>0</v>
      </c>
      <c r="O222" s="14">
        <f t="shared" si="19"/>
        <v>42788.357142857145</v>
      </c>
      <c r="P222" s="14">
        <f>'A) Base RI'!L222</f>
        <v>29951.85</v>
      </c>
      <c r="Q222" s="44">
        <f>'A) Base RI'!AR222</f>
        <v>0.7</v>
      </c>
      <c r="R222" s="4">
        <f t="shared" si="20"/>
        <v>953588.14714285708</v>
      </c>
      <c r="S222" s="43">
        <f>'A) Base RI'!AM222</f>
        <v>74</v>
      </c>
      <c r="T222" s="4">
        <f t="shared" si="21"/>
        <v>910075.28999999992</v>
      </c>
      <c r="U222" s="4">
        <f t="shared" si="22"/>
        <v>12886.326312741312</v>
      </c>
      <c r="V222" s="14">
        <f>'A) Base RI'!O222</f>
        <v>1994.1</v>
      </c>
      <c r="W222" s="14">
        <f>'A) Base RI'!P222</f>
        <v>25123.85</v>
      </c>
      <c r="X222" s="14">
        <f>'A) Base RI'!R222</f>
        <v>44325.8</v>
      </c>
      <c r="Y222" s="4">
        <f t="shared" si="23"/>
        <v>71443.75</v>
      </c>
      <c r="Z222" s="14">
        <f>'A) Base RI'!N222</f>
        <v>24819.55</v>
      </c>
      <c r="AA222" s="14">
        <f>'A) Base RI'!S222+'A) Base RI'!T222</f>
        <v>31.25</v>
      </c>
      <c r="AB222" s="14">
        <f>'A) Base RI'!U222</f>
        <v>2300</v>
      </c>
      <c r="AC222" s="14">
        <f>'A) Base RI'!V222</f>
        <v>0</v>
      </c>
      <c r="AD222" s="14">
        <f>'A) Base RI'!W222</f>
        <v>0</v>
      </c>
      <c r="AE222" s="14">
        <f>'A) Base RI'!Y222</f>
        <v>39456</v>
      </c>
      <c r="AF222" s="14">
        <f>'A) Base RI'!Z222</f>
        <v>0</v>
      </c>
      <c r="AG222" s="14">
        <f>'A) Base RI'!AA222</f>
        <v>49805</v>
      </c>
      <c r="AH222" s="14">
        <f>'A) Base RI'!AB222</f>
        <v>0</v>
      </c>
      <c r="AI222" s="14">
        <f>'A) Base RI'!AC222</f>
        <v>17168.05</v>
      </c>
      <c r="AJ222" s="14">
        <f>'A) Base RI'!AD222</f>
        <v>39456</v>
      </c>
      <c r="AK222" s="14">
        <f>'A) Base RI'!AE222</f>
        <v>0</v>
      </c>
      <c r="AL222" s="14">
        <f>'A) Base RI'!AF222</f>
        <v>0</v>
      </c>
      <c r="AM222" s="14">
        <f>'A) Base RI'!AG222</f>
        <v>0</v>
      </c>
      <c r="AN222" s="14">
        <f>'A) Base RI'!AH222</f>
        <v>0</v>
      </c>
      <c r="AO222" s="14">
        <f>'A) Base RI'!AI222</f>
        <v>0</v>
      </c>
      <c r="AP222" s="14">
        <f>'A) Base RI'!AJ222</f>
        <v>0</v>
      </c>
      <c r="AQ222" s="14">
        <f>'A) Base RI'!AK222</f>
        <v>0</v>
      </c>
      <c r="AR222" s="14">
        <f>'A) Base RI'!AN222</f>
        <v>335</v>
      </c>
    </row>
    <row r="223" spans="1:44" x14ac:dyDescent="0.25">
      <c r="A223" s="12">
        <f>'A) Base RI'!A223</f>
        <v>5754</v>
      </c>
      <c r="B223" s="42" t="str">
        <f>'A) Base RI'!B223</f>
        <v>Juriens</v>
      </c>
      <c r="C223" s="14">
        <f>'A) Base RI'!C223+'A) Base RI'!D223</f>
        <v>460641.26999999996</v>
      </c>
      <c r="D223" s="14">
        <f>'A) Base RI'!AO223</f>
        <v>-582.99</v>
      </c>
      <c r="E223" s="41">
        <f>'A) Base RI'!AP223</f>
        <v>0</v>
      </c>
      <c r="F223" s="41">
        <f>'A) Base RI'!AQ223</f>
        <v>-35.909999999999997</v>
      </c>
      <c r="G223" s="4">
        <f t="shared" si="18"/>
        <v>460022.37</v>
      </c>
      <c r="H223" s="14">
        <f>'A) Base RI'!E223</f>
        <v>0</v>
      </c>
      <c r="I223" s="14">
        <f>'A) Base RI'!F223</f>
        <v>0</v>
      </c>
      <c r="J223" s="14">
        <f>'A) Base RI'!G223+'A) Base RI'!H223</f>
        <v>3946.75</v>
      </c>
      <c r="K223" s="14">
        <f>'A) Base RI'!I223</f>
        <v>0</v>
      </c>
      <c r="L223" s="14">
        <f>'A) Base RI'!J223</f>
        <v>10391.49</v>
      </c>
      <c r="M223" s="14">
        <f>'A) Base RI'!K223</f>
        <v>931</v>
      </c>
      <c r="N223" s="14">
        <f>'A) Base RI'!Q223</f>
        <v>0</v>
      </c>
      <c r="O223" s="14">
        <f t="shared" si="19"/>
        <v>36297.5</v>
      </c>
      <c r="P223" s="14">
        <f>'A) Base RI'!L223</f>
        <v>36297.5</v>
      </c>
      <c r="Q223" s="44">
        <f>'A) Base RI'!AR223</f>
        <v>1</v>
      </c>
      <c r="R223" s="4">
        <f t="shared" si="20"/>
        <v>511589.11</v>
      </c>
      <c r="S223" s="43">
        <f>'A) Base RI'!AM223</f>
        <v>79</v>
      </c>
      <c r="T223" s="4">
        <f t="shared" si="21"/>
        <v>474360.61</v>
      </c>
      <c r="U223" s="4">
        <f t="shared" si="22"/>
        <v>6475.8115189873415</v>
      </c>
      <c r="V223" s="14">
        <f>'A) Base RI'!O223</f>
        <v>28085.8</v>
      </c>
      <c r="W223" s="14">
        <f>'A) Base RI'!P223</f>
        <v>1829.9</v>
      </c>
      <c r="X223" s="14">
        <f>'A) Base RI'!R223</f>
        <v>3497.15</v>
      </c>
      <c r="Y223" s="4">
        <f t="shared" si="23"/>
        <v>33412.85</v>
      </c>
      <c r="Z223" s="14">
        <f>'A) Base RI'!N223</f>
        <v>7180.45</v>
      </c>
      <c r="AA223" s="14">
        <f>'A) Base RI'!S223+'A) Base RI'!T223</f>
        <v>0</v>
      </c>
      <c r="AB223" s="14">
        <f>'A) Base RI'!U223</f>
        <v>1360</v>
      </c>
      <c r="AC223" s="14">
        <f>'A) Base RI'!V223</f>
        <v>0</v>
      </c>
      <c r="AD223" s="14">
        <f>'A) Base RI'!W223</f>
        <v>0</v>
      </c>
      <c r="AE223" s="14">
        <f>'A) Base RI'!Y223</f>
        <v>3480</v>
      </c>
      <c r="AF223" s="14">
        <f>'A) Base RI'!Z223</f>
        <v>0</v>
      </c>
      <c r="AG223" s="14">
        <f>'A) Base RI'!AA223</f>
        <v>39565</v>
      </c>
      <c r="AH223" s="14">
        <f>'A) Base RI'!AB223</f>
        <v>0</v>
      </c>
      <c r="AI223" s="14">
        <f>'A) Base RI'!AC223</f>
        <v>36705</v>
      </c>
      <c r="AJ223" s="14">
        <f>'A) Base RI'!AD223</f>
        <v>1740</v>
      </c>
      <c r="AK223" s="14">
        <f>'A) Base RI'!AE223</f>
        <v>0</v>
      </c>
      <c r="AL223" s="14">
        <f>'A) Base RI'!AF223</f>
        <v>0</v>
      </c>
      <c r="AM223" s="14">
        <f>'A) Base RI'!AG223</f>
        <v>0</v>
      </c>
      <c r="AN223" s="14">
        <f>'A) Base RI'!AH223</f>
        <v>0</v>
      </c>
      <c r="AO223" s="14">
        <f>'A) Base RI'!AI223</f>
        <v>0</v>
      </c>
      <c r="AP223" s="14">
        <f>'A) Base RI'!AJ223</f>
        <v>0</v>
      </c>
      <c r="AQ223" s="14">
        <f>'A) Base RI'!AK223</f>
        <v>0</v>
      </c>
      <c r="AR223" s="14">
        <f>'A) Base RI'!AN223</f>
        <v>302</v>
      </c>
    </row>
    <row r="224" spans="1:44" x14ac:dyDescent="0.25">
      <c r="A224" s="12">
        <f>'A) Base RI'!A224</f>
        <v>5755</v>
      </c>
      <c r="B224" s="42" t="str">
        <f>'A) Base RI'!B224</f>
        <v>Lignerolle</v>
      </c>
      <c r="C224" s="14">
        <f>'A) Base RI'!C224+'A) Base RI'!D224</f>
        <v>655009.56999999995</v>
      </c>
      <c r="D224" s="14">
        <f>'A) Base RI'!AO224</f>
        <v>-30585.41</v>
      </c>
      <c r="E224" s="41">
        <f>'A) Base RI'!AP224</f>
        <v>0</v>
      </c>
      <c r="F224" s="41">
        <f>'A) Base RI'!AQ224</f>
        <v>-12.01</v>
      </c>
      <c r="G224" s="4">
        <f t="shared" si="18"/>
        <v>624412.14999999991</v>
      </c>
      <c r="H224" s="14">
        <f>'A) Base RI'!E224</f>
        <v>0</v>
      </c>
      <c r="I224" s="14">
        <f>'A) Base RI'!F224</f>
        <v>0</v>
      </c>
      <c r="J224" s="14">
        <f>'A) Base RI'!G224+'A) Base RI'!H224</f>
        <v>16837.850000000002</v>
      </c>
      <c r="K224" s="14">
        <f>'A) Base RI'!I224</f>
        <v>0</v>
      </c>
      <c r="L224" s="14">
        <f>'A) Base RI'!J224</f>
        <v>4420.13</v>
      </c>
      <c r="M224" s="14">
        <f>'A) Base RI'!K224</f>
        <v>1039</v>
      </c>
      <c r="N224" s="14">
        <f>'A) Base RI'!Q224</f>
        <v>24128.97</v>
      </c>
      <c r="O224" s="14">
        <f t="shared" si="19"/>
        <v>47752.642857142855</v>
      </c>
      <c r="P224" s="14">
        <f>'A) Base RI'!L224</f>
        <v>33426.85</v>
      </c>
      <c r="Q224" s="44">
        <f>'A) Base RI'!AR224</f>
        <v>0.7</v>
      </c>
      <c r="R224" s="4">
        <f t="shared" si="20"/>
        <v>718590.7428571427</v>
      </c>
      <c r="S224" s="43">
        <f>'A) Base RI'!AM224</f>
        <v>81</v>
      </c>
      <c r="T224" s="4">
        <f t="shared" si="21"/>
        <v>669799.09999999986</v>
      </c>
      <c r="U224" s="4">
        <f t="shared" si="22"/>
        <v>8871.4906525573169</v>
      </c>
      <c r="V224" s="14">
        <f>'A) Base RI'!O224</f>
        <v>30632.799999999999</v>
      </c>
      <c r="W224" s="14">
        <f>'A) Base RI'!P224</f>
        <v>15363.1</v>
      </c>
      <c r="X224" s="14">
        <f>'A) Base RI'!R224</f>
        <v>26503.75</v>
      </c>
      <c r="Y224" s="4">
        <f t="shared" si="23"/>
        <v>72499.649999999994</v>
      </c>
      <c r="Z224" s="14">
        <f>'A) Base RI'!N224</f>
        <v>18380.650000000001</v>
      </c>
      <c r="AA224" s="14">
        <f>'A) Base RI'!S224+'A) Base RI'!T224</f>
        <v>15.65</v>
      </c>
      <c r="AB224" s="14">
        <f>'A) Base RI'!U224</f>
        <v>2400</v>
      </c>
      <c r="AC224" s="14">
        <f>'A) Base RI'!V224</f>
        <v>0</v>
      </c>
      <c r="AD224" s="14">
        <f>'A) Base RI'!W224</f>
        <v>0</v>
      </c>
      <c r="AE224" s="14">
        <f>'A) Base RI'!Y224</f>
        <v>8190</v>
      </c>
      <c r="AF224" s="14">
        <f>'A) Base RI'!Z224</f>
        <v>0</v>
      </c>
      <c r="AG224" s="14">
        <f>'A) Base RI'!AA224</f>
        <v>58752</v>
      </c>
      <c r="AH224" s="14">
        <f>'A) Base RI'!AB224</f>
        <v>0</v>
      </c>
      <c r="AI224" s="14">
        <f>'A) Base RI'!AC224</f>
        <v>43950</v>
      </c>
      <c r="AJ224" s="14">
        <f>'A) Base RI'!AD224</f>
        <v>8240</v>
      </c>
      <c r="AK224" s="14">
        <f>'A) Base RI'!AE224</f>
        <v>0</v>
      </c>
      <c r="AL224" s="14">
        <f>'A) Base RI'!AF224</f>
        <v>0</v>
      </c>
      <c r="AM224" s="14">
        <f>'A) Base RI'!AG224</f>
        <v>0</v>
      </c>
      <c r="AN224" s="14">
        <f>'A) Base RI'!AH224</f>
        <v>0</v>
      </c>
      <c r="AO224" s="14">
        <f>'A) Base RI'!AI224</f>
        <v>0</v>
      </c>
      <c r="AP224" s="14">
        <f>'A) Base RI'!AJ224</f>
        <v>0</v>
      </c>
      <c r="AQ224" s="14">
        <f>'A) Base RI'!AK224</f>
        <v>0</v>
      </c>
      <c r="AR224" s="14">
        <f>'A) Base RI'!AN224</f>
        <v>394</v>
      </c>
    </row>
    <row r="225" spans="1:44" x14ac:dyDescent="0.25">
      <c r="A225" s="12">
        <f>'A) Base RI'!A225</f>
        <v>5756</v>
      </c>
      <c r="B225" s="42" t="str">
        <f>'A) Base RI'!B225</f>
        <v>Montcherand</v>
      </c>
      <c r="C225" s="14">
        <f>'A) Base RI'!C225+'A) Base RI'!D225</f>
        <v>904374.23</v>
      </c>
      <c r="D225" s="14">
        <f>'A) Base RI'!AO225</f>
        <v>-2097.64</v>
      </c>
      <c r="E225" s="41">
        <f>'A) Base RI'!AP225</f>
        <v>0</v>
      </c>
      <c r="F225" s="41">
        <f>'A) Base RI'!AQ225</f>
        <v>-141.38999999999999</v>
      </c>
      <c r="G225" s="4">
        <f t="shared" si="18"/>
        <v>902135.2</v>
      </c>
      <c r="H225" s="14">
        <f>'A) Base RI'!E225</f>
        <v>0</v>
      </c>
      <c r="I225" s="14">
        <f>'A) Base RI'!F225</f>
        <v>0</v>
      </c>
      <c r="J225" s="14">
        <f>'A) Base RI'!G225+'A) Base RI'!H225</f>
        <v>33105.5</v>
      </c>
      <c r="K225" s="14">
        <f>'A) Base RI'!I225</f>
        <v>0</v>
      </c>
      <c r="L225" s="14">
        <f>'A) Base RI'!J225</f>
        <v>7091.3</v>
      </c>
      <c r="M225" s="14">
        <f>'A) Base RI'!K225</f>
        <v>368.5</v>
      </c>
      <c r="N225" s="14">
        <f>'A) Base RI'!Q225</f>
        <v>0</v>
      </c>
      <c r="O225" s="14">
        <f t="shared" si="19"/>
        <v>79068.416666666672</v>
      </c>
      <c r="P225" s="14">
        <f>'A) Base RI'!L225</f>
        <v>47441.05</v>
      </c>
      <c r="Q225" s="44">
        <f>'A) Base RI'!AR225</f>
        <v>0.6</v>
      </c>
      <c r="R225" s="4">
        <f t="shared" si="20"/>
        <v>1021768.9166666666</v>
      </c>
      <c r="S225" s="43">
        <f>'A) Base RI'!AM225</f>
        <v>69</v>
      </c>
      <c r="T225" s="4">
        <f t="shared" si="21"/>
        <v>942332</v>
      </c>
      <c r="U225" s="4">
        <f t="shared" si="22"/>
        <v>14808.245169082125</v>
      </c>
      <c r="V225" s="14">
        <f>'A) Base RI'!O225</f>
        <v>0</v>
      </c>
      <c r="W225" s="14">
        <f>'A) Base RI'!P225</f>
        <v>34199</v>
      </c>
      <c r="X225" s="14">
        <f>'A) Base RI'!R225</f>
        <v>20743.45</v>
      </c>
      <c r="Y225" s="4">
        <f t="shared" si="23"/>
        <v>54942.45</v>
      </c>
      <c r="Z225" s="14">
        <f>'A) Base RI'!N225</f>
        <v>20611.55</v>
      </c>
      <c r="AA225" s="14">
        <f>'A) Base RI'!S225+'A) Base RI'!T225</f>
        <v>981.25</v>
      </c>
      <c r="AB225" s="14">
        <f>'A) Base RI'!U225</f>
        <v>1545</v>
      </c>
      <c r="AC225" s="14">
        <f>'A) Base RI'!V225</f>
        <v>0</v>
      </c>
      <c r="AD225" s="14">
        <f>'A) Base RI'!W225</f>
        <v>0</v>
      </c>
      <c r="AE225" s="14">
        <f>'A) Base RI'!Y225</f>
        <v>5880</v>
      </c>
      <c r="AF225" s="14">
        <f>'A) Base RI'!Z225</f>
        <v>0</v>
      </c>
      <c r="AG225" s="14">
        <f>'A) Base RI'!AA225</f>
        <v>53556.800000000003</v>
      </c>
      <c r="AH225" s="14">
        <f>'A) Base RI'!AB225</f>
        <v>0</v>
      </c>
      <c r="AI225" s="14">
        <f>'A) Base RI'!AC225</f>
        <v>23124</v>
      </c>
      <c r="AJ225" s="14">
        <f>'A) Base RI'!AD225</f>
        <v>3591.45</v>
      </c>
      <c r="AK225" s="14">
        <f>'A) Base RI'!AE225</f>
        <v>0</v>
      </c>
      <c r="AL225" s="14">
        <f>'A) Base RI'!AF225</f>
        <v>0</v>
      </c>
      <c r="AM225" s="14">
        <f>'A) Base RI'!AG225</f>
        <v>0</v>
      </c>
      <c r="AN225" s="14">
        <f>'A) Base RI'!AH225</f>
        <v>10898.13</v>
      </c>
      <c r="AO225" s="14">
        <f>'A) Base RI'!AI225</f>
        <v>0</v>
      </c>
      <c r="AP225" s="14">
        <f>'A) Base RI'!AJ225</f>
        <v>0</v>
      </c>
      <c r="AQ225" s="14">
        <f>'A) Base RI'!AK225</f>
        <v>0</v>
      </c>
      <c r="AR225" s="14">
        <f>'A) Base RI'!AN225</f>
        <v>474</v>
      </c>
    </row>
    <row r="226" spans="1:44" x14ac:dyDescent="0.25">
      <c r="A226" s="12">
        <f>'A) Base RI'!A226</f>
        <v>5757</v>
      </c>
      <c r="B226" s="42" t="str">
        <f>'A) Base RI'!B226</f>
        <v>Orbe</v>
      </c>
      <c r="C226" s="14">
        <f>'A) Base RI'!C226+'A) Base RI'!D226</f>
        <v>11122804.690000001</v>
      </c>
      <c r="D226" s="14">
        <f>'A) Base RI'!AO226</f>
        <v>-260069.62</v>
      </c>
      <c r="E226" s="41">
        <f>'A) Base RI'!AP226</f>
        <v>0</v>
      </c>
      <c r="F226" s="41">
        <f>'A) Base RI'!AQ226</f>
        <v>-3464.81</v>
      </c>
      <c r="G226" s="4">
        <f t="shared" si="18"/>
        <v>10859270.260000002</v>
      </c>
      <c r="H226" s="14">
        <f>'A) Base RI'!E226</f>
        <v>0</v>
      </c>
      <c r="I226" s="14">
        <f>'A) Base RI'!F226</f>
        <v>0</v>
      </c>
      <c r="J226" s="14">
        <f>'A) Base RI'!G226+'A) Base RI'!H226</f>
        <v>2545887.7999999998</v>
      </c>
      <c r="K226" s="14">
        <f>'A) Base RI'!I226</f>
        <v>0</v>
      </c>
      <c r="L226" s="14">
        <f>'A) Base RI'!J226</f>
        <v>532263.12</v>
      </c>
      <c r="M226" s="14">
        <f>'A) Base RI'!K226</f>
        <v>59331.5</v>
      </c>
      <c r="N226" s="14">
        <f>'A) Base RI'!Q226</f>
        <v>104524.4</v>
      </c>
      <c r="O226" s="14">
        <f t="shared" si="19"/>
        <v>1049710.3999999999</v>
      </c>
      <c r="P226" s="14">
        <f>'A) Base RI'!L226</f>
        <v>1049710.3999999999</v>
      </c>
      <c r="Q226" s="44">
        <f>'A) Base RI'!AR226</f>
        <v>1</v>
      </c>
      <c r="R226" s="4">
        <f t="shared" si="20"/>
        <v>15150987.480000002</v>
      </c>
      <c r="S226" s="43">
        <f>'A) Base RI'!AM226</f>
        <v>72</v>
      </c>
      <c r="T226" s="4">
        <f t="shared" si="21"/>
        <v>14041945.580000002</v>
      </c>
      <c r="U226" s="4">
        <f t="shared" si="22"/>
        <v>210430.38166666671</v>
      </c>
      <c r="V226" s="14">
        <f>'A) Base RI'!O226</f>
        <v>14567.3</v>
      </c>
      <c r="W226" s="14">
        <f>'A) Base RI'!P226</f>
        <v>342180.7</v>
      </c>
      <c r="X226" s="14">
        <f>'A) Base RI'!R226</f>
        <v>415568.85</v>
      </c>
      <c r="Y226" s="4">
        <f t="shared" si="23"/>
        <v>772316.85</v>
      </c>
      <c r="Z226" s="14">
        <f>'A) Base RI'!N226</f>
        <v>2824411.25</v>
      </c>
      <c r="AA226" s="14">
        <f>'A) Base RI'!S226+'A) Base RI'!T226</f>
        <v>35306.800000000003</v>
      </c>
      <c r="AB226" s="14">
        <f>'A) Base RI'!U226</f>
        <v>40680</v>
      </c>
      <c r="AC226" s="14">
        <f>'A) Base RI'!V226</f>
        <v>180</v>
      </c>
      <c r="AD226" s="14">
        <f>'A) Base RI'!W226</f>
        <v>0</v>
      </c>
      <c r="AE226" s="14">
        <f>'A) Base RI'!Y226</f>
        <v>40110</v>
      </c>
      <c r="AF226" s="14">
        <f>'A) Base RI'!Z226</f>
        <v>0</v>
      </c>
      <c r="AG226" s="14">
        <f>'A) Base RI'!AA226</f>
        <v>1199562.8999999999</v>
      </c>
      <c r="AH226" s="14">
        <f>'A) Base RI'!AB226</f>
        <v>0</v>
      </c>
      <c r="AI226" s="14">
        <f>'A) Base RI'!AC226</f>
        <v>656474.35</v>
      </c>
      <c r="AJ226" s="14">
        <f>'A) Base RI'!AD226</f>
        <v>0</v>
      </c>
      <c r="AK226" s="14">
        <f>'A) Base RI'!AE226</f>
        <v>32279.25</v>
      </c>
      <c r="AL226" s="14">
        <f>'A) Base RI'!AF226</f>
        <v>0</v>
      </c>
      <c r="AM226" s="14">
        <f>'A) Base RI'!AG226</f>
        <v>18499</v>
      </c>
      <c r="AN226" s="14">
        <f>'A) Base RI'!AH226</f>
        <v>0</v>
      </c>
      <c r="AO226" s="14">
        <f>'A) Base RI'!AI226</f>
        <v>129837.7</v>
      </c>
      <c r="AP226" s="14">
        <f>'A) Base RI'!AJ226</f>
        <v>129837.7</v>
      </c>
      <c r="AQ226" s="14">
        <f>'A) Base RI'!AK226</f>
        <v>0</v>
      </c>
      <c r="AR226" s="14">
        <f>'A) Base RI'!AN226</f>
        <v>6767</v>
      </c>
    </row>
    <row r="227" spans="1:44" x14ac:dyDescent="0.25">
      <c r="A227" s="12">
        <f>'A) Base RI'!A227</f>
        <v>5758</v>
      </c>
      <c r="B227" s="42" t="str">
        <f>'A) Base RI'!B227</f>
        <v>La Praz</v>
      </c>
      <c r="C227" s="14">
        <f>'A) Base RI'!C227+'A) Base RI'!D227</f>
        <v>310046.87</v>
      </c>
      <c r="D227" s="14">
        <f>'A) Base RI'!AO227</f>
        <v>-12869.7</v>
      </c>
      <c r="E227" s="41">
        <f>'A) Base RI'!AP227</f>
        <v>0</v>
      </c>
      <c r="F227" s="41">
        <f>'A) Base RI'!AQ227</f>
        <v>0</v>
      </c>
      <c r="G227" s="4">
        <f t="shared" si="18"/>
        <v>297177.17</v>
      </c>
      <c r="H227" s="14">
        <f>'A) Base RI'!E227</f>
        <v>0</v>
      </c>
      <c r="I227" s="14">
        <f>'A) Base RI'!F227</f>
        <v>880</v>
      </c>
      <c r="J227" s="14">
        <f>'A) Base RI'!G227+'A) Base RI'!H227</f>
        <v>1293.1999999999998</v>
      </c>
      <c r="K227" s="14">
        <f>'A) Base RI'!I227</f>
        <v>0</v>
      </c>
      <c r="L227" s="14">
        <f>'A) Base RI'!J227</f>
        <v>358.98</v>
      </c>
      <c r="M227" s="14">
        <f>'A) Base RI'!K227</f>
        <v>0</v>
      </c>
      <c r="N227" s="14">
        <f>'A) Base RI'!Q227</f>
        <v>0</v>
      </c>
      <c r="O227" s="14">
        <f t="shared" si="19"/>
        <v>21019.944444444445</v>
      </c>
      <c r="P227" s="14">
        <f>'A) Base RI'!L227</f>
        <v>18917.95</v>
      </c>
      <c r="Q227" s="44">
        <f>'A) Base RI'!AR227</f>
        <v>0.9</v>
      </c>
      <c r="R227" s="4">
        <f t="shared" si="20"/>
        <v>320729.29444444441</v>
      </c>
      <c r="S227" s="43">
        <f>'A) Base RI'!AM227</f>
        <v>83</v>
      </c>
      <c r="T227" s="4">
        <f t="shared" si="21"/>
        <v>298829.34999999998</v>
      </c>
      <c r="U227" s="4">
        <f t="shared" si="22"/>
        <v>3864.2083668005353</v>
      </c>
      <c r="V227" s="14">
        <f>'A) Base RI'!O227</f>
        <v>6147.8</v>
      </c>
      <c r="W227" s="14">
        <f>'A) Base RI'!P227</f>
        <v>6503.55</v>
      </c>
      <c r="X227" s="14">
        <f>'A) Base RI'!R227</f>
        <v>0</v>
      </c>
      <c r="Y227" s="4">
        <f t="shared" si="23"/>
        <v>12651.35</v>
      </c>
      <c r="Z227" s="14">
        <f>'A) Base RI'!N227</f>
        <v>0</v>
      </c>
      <c r="AA227" s="14">
        <f>'A) Base RI'!S227+'A) Base RI'!T227</f>
        <v>0</v>
      </c>
      <c r="AB227" s="14">
        <f>'A) Base RI'!U227</f>
        <v>880</v>
      </c>
      <c r="AC227" s="14">
        <f>'A) Base RI'!V227</f>
        <v>0</v>
      </c>
      <c r="AD227" s="14">
        <f>'A) Base RI'!W227</f>
        <v>0</v>
      </c>
      <c r="AE227" s="14">
        <f>'A) Base RI'!Y227</f>
        <v>14504.3</v>
      </c>
      <c r="AF227" s="14">
        <f>'A) Base RI'!Z227</f>
        <v>0</v>
      </c>
      <c r="AG227" s="14">
        <f>'A) Base RI'!AA227</f>
        <v>26556.6</v>
      </c>
      <c r="AH227" s="14">
        <f>'A) Base RI'!AB227</f>
        <v>0</v>
      </c>
      <c r="AI227" s="14">
        <f>'A) Base RI'!AC227</f>
        <v>12623.3</v>
      </c>
      <c r="AJ227" s="14">
        <f>'A) Base RI'!AD227</f>
        <v>30218.6</v>
      </c>
      <c r="AK227" s="14">
        <f>'A) Base RI'!AE227</f>
        <v>0</v>
      </c>
      <c r="AL227" s="14">
        <f>'A) Base RI'!AF227</f>
        <v>0</v>
      </c>
      <c r="AM227" s="14">
        <f>'A) Base RI'!AG227</f>
        <v>0</v>
      </c>
      <c r="AN227" s="14">
        <f>'A) Base RI'!AH227</f>
        <v>0</v>
      </c>
      <c r="AO227" s="14">
        <f>'A) Base RI'!AI227</f>
        <v>0</v>
      </c>
      <c r="AP227" s="14">
        <f>'A) Base RI'!AJ227</f>
        <v>0</v>
      </c>
      <c r="AQ227" s="14">
        <f>'A) Base RI'!AK227</f>
        <v>0</v>
      </c>
      <c r="AR227" s="14">
        <f>'A) Base RI'!AN227</f>
        <v>160</v>
      </c>
    </row>
    <row r="228" spans="1:44" x14ac:dyDescent="0.25">
      <c r="A228" s="12">
        <f>'A) Base RI'!A228</f>
        <v>5759</v>
      </c>
      <c r="B228" s="42" t="str">
        <f>'A) Base RI'!B228</f>
        <v>Premier</v>
      </c>
      <c r="C228" s="14">
        <f>'A) Base RI'!C228+'A) Base RI'!D228</f>
        <v>335589.64999999997</v>
      </c>
      <c r="D228" s="14">
        <f>'A) Base RI'!AO228</f>
        <v>-212.33</v>
      </c>
      <c r="E228" s="41">
        <f>'A) Base RI'!AP228</f>
        <v>0</v>
      </c>
      <c r="F228" s="41">
        <f>'A) Base RI'!AQ228</f>
        <v>-133.77000000000001</v>
      </c>
      <c r="G228" s="4">
        <f t="shared" si="18"/>
        <v>335243.54999999993</v>
      </c>
      <c r="H228" s="14">
        <f>'A) Base RI'!E228</f>
        <v>0</v>
      </c>
      <c r="I228" s="14">
        <f>'A) Base RI'!F228</f>
        <v>0</v>
      </c>
      <c r="J228" s="14">
        <f>'A) Base RI'!G228+'A) Base RI'!H228</f>
        <v>5728.9</v>
      </c>
      <c r="K228" s="14">
        <f>'A) Base RI'!I228</f>
        <v>0</v>
      </c>
      <c r="L228" s="14">
        <f>'A) Base RI'!J228</f>
        <v>2764.98</v>
      </c>
      <c r="M228" s="14">
        <f>'A) Base RI'!K228</f>
        <v>242</v>
      </c>
      <c r="N228" s="14">
        <f>'A) Base RI'!Q228</f>
        <v>0</v>
      </c>
      <c r="O228" s="14">
        <f t="shared" si="19"/>
        <v>25277.3</v>
      </c>
      <c r="P228" s="14">
        <f>'A) Base RI'!L228</f>
        <v>25277.3</v>
      </c>
      <c r="Q228" s="44">
        <f>'A) Base RI'!AR228</f>
        <v>1</v>
      </c>
      <c r="R228" s="4">
        <f t="shared" si="20"/>
        <v>369256.72999999992</v>
      </c>
      <c r="S228" s="43">
        <f>'A) Base RI'!AM228</f>
        <v>81</v>
      </c>
      <c r="T228" s="4">
        <f t="shared" si="21"/>
        <v>343737.42999999993</v>
      </c>
      <c r="U228" s="4">
        <f t="shared" si="22"/>
        <v>4558.7250617283944</v>
      </c>
      <c r="V228" s="14">
        <f>'A) Base RI'!O228</f>
        <v>0</v>
      </c>
      <c r="W228" s="14">
        <f>'A) Base RI'!P228</f>
        <v>7985.8</v>
      </c>
      <c r="X228" s="14">
        <f>'A) Base RI'!R228</f>
        <v>11243.85</v>
      </c>
      <c r="Y228" s="4">
        <f t="shared" si="23"/>
        <v>19229.650000000001</v>
      </c>
      <c r="Z228" s="14">
        <f>'A) Base RI'!N228</f>
        <v>2753.1</v>
      </c>
      <c r="AA228" s="14">
        <f>'A) Base RI'!S228+'A) Base RI'!T228</f>
        <v>0</v>
      </c>
      <c r="AB228" s="14">
        <f>'A) Base RI'!U228</f>
        <v>1100</v>
      </c>
      <c r="AC228" s="14">
        <f>'A) Base RI'!V228</f>
        <v>0</v>
      </c>
      <c r="AD228" s="14">
        <f>'A) Base RI'!W228</f>
        <v>0</v>
      </c>
      <c r="AE228" s="14">
        <f>'A) Base RI'!Y228</f>
        <v>0</v>
      </c>
      <c r="AF228" s="14">
        <f>'A) Base RI'!Z228</f>
        <v>0</v>
      </c>
      <c r="AG228" s="14">
        <f>'A) Base RI'!AA228</f>
        <v>24937.5</v>
      </c>
      <c r="AH228" s="14">
        <f>'A) Base RI'!AB228</f>
        <v>0</v>
      </c>
      <c r="AI228" s="14">
        <f>'A) Base RI'!AC228</f>
        <v>17372.05</v>
      </c>
      <c r="AJ228" s="14">
        <f>'A) Base RI'!AD228</f>
        <v>0</v>
      </c>
      <c r="AK228" s="14">
        <f>'A) Base RI'!AE228</f>
        <v>0</v>
      </c>
      <c r="AL228" s="14">
        <f>'A) Base RI'!AF228</f>
        <v>0</v>
      </c>
      <c r="AM228" s="14">
        <f>'A) Base RI'!AG228</f>
        <v>0</v>
      </c>
      <c r="AN228" s="14">
        <f>'A) Base RI'!AH228</f>
        <v>0</v>
      </c>
      <c r="AO228" s="14">
        <f>'A) Base RI'!AI228</f>
        <v>0</v>
      </c>
      <c r="AP228" s="14">
        <f>'A) Base RI'!AJ228</f>
        <v>0</v>
      </c>
      <c r="AQ228" s="14">
        <f>'A) Base RI'!AK228</f>
        <v>0</v>
      </c>
      <c r="AR228" s="14">
        <f>'A) Base RI'!AN228</f>
        <v>185</v>
      </c>
    </row>
    <row r="229" spans="1:44" x14ac:dyDescent="0.25">
      <c r="A229" s="12">
        <f>'A) Base RI'!A229</f>
        <v>5760</v>
      </c>
      <c r="B229" s="42" t="str">
        <f>'A) Base RI'!B229</f>
        <v>Rances</v>
      </c>
      <c r="C229" s="14">
        <f>'A) Base RI'!C229+'A) Base RI'!D229</f>
        <v>837459.30999999994</v>
      </c>
      <c r="D229" s="14">
        <f>'A) Base RI'!AO229</f>
        <v>-12249.95</v>
      </c>
      <c r="E229" s="41">
        <f>'A) Base RI'!AP229</f>
        <v>0</v>
      </c>
      <c r="F229" s="41">
        <f>'A) Base RI'!AQ229</f>
        <v>-570.33000000000004</v>
      </c>
      <c r="G229" s="4">
        <f t="shared" si="18"/>
        <v>824639.03</v>
      </c>
      <c r="H229" s="14">
        <f>'A) Base RI'!E229</f>
        <v>0</v>
      </c>
      <c r="I229" s="14">
        <f>'A) Base RI'!F229</f>
        <v>0</v>
      </c>
      <c r="J229" s="14">
        <f>'A) Base RI'!G229+'A) Base RI'!H229</f>
        <v>1020.700000000001</v>
      </c>
      <c r="K229" s="14">
        <f>'A) Base RI'!I229</f>
        <v>0</v>
      </c>
      <c r="L229" s="14">
        <f>'A) Base RI'!J229</f>
        <v>9017.81</v>
      </c>
      <c r="M229" s="14">
        <f>'A) Base RI'!K229</f>
        <v>0</v>
      </c>
      <c r="N229" s="14">
        <f>'A) Base RI'!Q229</f>
        <v>475.8</v>
      </c>
      <c r="O229" s="14">
        <f t="shared" si="19"/>
        <v>59528.1</v>
      </c>
      <c r="P229" s="14">
        <f>'A) Base RI'!L229</f>
        <v>89292.15</v>
      </c>
      <c r="Q229" s="44">
        <f>'A) Base RI'!AR229</f>
        <v>1.5</v>
      </c>
      <c r="R229" s="4">
        <f t="shared" si="20"/>
        <v>894681.44000000006</v>
      </c>
      <c r="S229" s="43">
        <f>'A) Base RI'!AM229</f>
        <v>78</v>
      </c>
      <c r="T229" s="4">
        <f t="shared" si="21"/>
        <v>835153.34000000008</v>
      </c>
      <c r="U229" s="4">
        <f t="shared" si="22"/>
        <v>11470.274871794873</v>
      </c>
      <c r="V229" s="14">
        <f>'A) Base RI'!O229</f>
        <v>0</v>
      </c>
      <c r="W229" s="14">
        <f>'A) Base RI'!P229</f>
        <v>29868.25</v>
      </c>
      <c r="X229" s="14">
        <f>'A) Base RI'!R229</f>
        <v>15800.8</v>
      </c>
      <c r="Y229" s="4">
        <f t="shared" si="23"/>
        <v>45669.05</v>
      </c>
      <c r="Z229" s="14">
        <f>'A) Base RI'!N229</f>
        <v>7957.9</v>
      </c>
      <c r="AA229" s="14">
        <f>'A) Base RI'!S229+'A) Base RI'!T229</f>
        <v>15.65</v>
      </c>
      <c r="AB229" s="14">
        <f>'A) Base RI'!U229</f>
        <v>2330</v>
      </c>
      <c r="AC229" s="14">
        <f>'A) Base RI'!V229</f>
        <v>0</v>
      </c>
      <c r="AD229" s="14">
        <f>'A) Base RI'!W229</f>
        <v>0</v>
      </c>
      <c r="AE229" s="14">
        <f>'A) Base RI'!Y229</f>
        <v>0</v>
      </c>
      <c r="AF229" s="14">
        <f>'A) Base RI'!Z229</f>
        <v>0</v>
      </c>
      <c r="AG229" s="14">
        <f>'A) Base RI'!AA229</f>
        <v>0</v>
      </c>
      <c r="AH229" s="14">
        <f>'A) Base RI'!AB229</f>
        <v>43451.85</v>
      </c>
      <c r="AI229" s="14">
        <f>'A) Base RI'!AC229</f>
        <v>62195.8</v>
      </c>
      <c r="AJ229" s="14">
        <f>'A) Base RI'!AD229</f>
        <v>26791.95</v>
      </c>
      <c r="AK229" s="14">
        <f>'A) Base RI'!AE229</f>
        <v>0</v>
      </c>
      <c r="AL229" s="14">
        <f>'A) Base RI'!AF229</f>
        <v>0</v>
      </c>
      <c r="AM229" s="14">
        <f>'A) Base RI'!AG229</f>
        <v>0</v>
      </c>
      <c r="AN229" s="14">
        <f>'A) Base RI'!AH229</f>
        <v>0</v>
      </c>
      <c r="AO229" s="14">
        <f>'A) Base RI'!AI229</f>
        <v>0</v>
      </c>
      <c r="AP229" s="14">
        <f>'A) Base RI'!AJ229</f>
        <v>0</v>
      </c>
      <c r="AQ229" s="14">
        <f>'A) Base RI'!AK229</f>
        <v>0</v>
      </c>
      <c r="AR229" s="14">
        <f>'A) Base RI'!AN229</f>
        <v>460</v>
      </c>
    </row>
    <row r="230" spans="1:44" x14ac:dyDescent="0.25">
      <c r="A230" s="12">
        <f>'A) Base RI'!A230</f>
        <v>5761</v>
      </c>
      <c r="B230" s="42" t="str">
        <f>'A) Base RI'!B230</f>
        <v>Romainmôtier-Envy</v>
      </c>
      <c r="C230" s="14">
        <f>'A) Base RI'!C230+'A) Base RI'!D230</f>
        <v>785315.95</v>
      </c>
      <c r="D230" s="14">
        <f>'A) Base RI'!AO230</f>
        <v>-7961.9</v>
      </c>
      <c r="E230" s="41">
        <f>'A) Base RI'!AP230</f>
        <v>0</v>
      </c>
      <c r="F230" s="41">
        <f>'A) Base RI'!AQ230</f>
        <v>0</v>
      </c>
      <c r="G230" s="4">
        <f t="shared" si="18"/>
        <v>777354.04999999993</v>
      </c>
      <c r="H230" s="14">
        <f>'A) Base RI'!E230</f>
        <v>0</v>
      </c>
      <c r="I230" s="14">
        <f>'A) Base RI'!F230</f>
        <v>0</v>
      </c>
      <c r="J230" s="14">
        <f>'A) Base RI'!G230+'A) Base RI'!H230</f>
        <v>1915.25</v>
      </c>
      <c r="K230" s="14">
        <f>'A) Base RI'!I230</f>
        <v>0</v>
      </c>
      <c r="L230" s="14">
        <f>'A) Base RI'!J230</f>
        <v>8338.2199999999993</v>
      </c>
      <c r="M230" s="14">
        <f>'A) Base RI'!K230</f>
        <v>3614.5</v>
      </c>
      <c r="N230" s="14">
        <f>'A) Base RI'!Q230</f>
        <v>258.89</v>
      </c>
      <c r="O230" s="14">
        <f t="shared" si="19"/>
        <v>70918.125</v>
      </c>
      <c r="P230" s="14">
        <f>'A) Base RI'!L230</f>
        <v>56734.5</v>
      </c>
      <c r="Q230" s="44">
        <f>'A) Base RI'!AR230</f>
        <v>0.8</v>
      </c>
      <c r="R230" s="4">
        <f t="shared" si="20"/>
        <v>862399.03499999992</v>
      </c>
      <c r="S230" s="43">
        <f>'A) Base RI'!AM230</f>
        <v>76</v>
      </c>
      <c r="T230" s="4">
        <f t="shared" si="21"/>
        <v>787866.40999999992</v>
      </c>
      <c r="U230" s="4">
        <f t="shared" si="22"/>
        <v>11347.35572368421</v>
      </c>
      <c r="V230" s="14">
        <f>'A) Base RI'!O230</f>
        <v>6689.8</v>
      </c>
      <c r="W230" s="14">
        <f>'A) Base RI'!P230</f>
        <v>10042.450000000001</v>
      </c>
      <c r="X230" s="14">
        <f>'A) Base RI'!R230</f>
        <v>39696.949999999997</v>
      </c>
      <c r="Y230" s="4">
        <f t="shared" si="23"/>
        <v>56429.2</v>
      </c>
      <c r="Z230" s="14">
        <f>'A) Base RI'!N230</f>
        <v>48393.15</v>
      </c>
      <c r="AA230" s="14">
        <f>'A) Base RI'!S230+'A) Base RI'!T230</f>
        <v>242.5</v>
      </c>
      <c r="AB230" s="14">
        <f>'A) Base RI'!U230</f>
        <v>2916</v>
      </c>
      <c r="AC230" s="14">
        <f>'A) Base RI'!V230</f>
        <v>3935.3</v>
      </c>
      <c r="AD230" s="14">
        <f>'A) Base RI'!W230</f>
        <v>0</v>
      </c>
      <c r="AE230" s="14">
        <f>'A) Base RI'!Y230</f>
        <v>23157.85</v>
      </c>
      <c r="AF230" s="14">
        <f>'A) Base RI'!Z230</f>
        <v>0</v>
      </c>
      <c r="AG230" s="14">
        <f>'A) Base RI'!AA230</f>
        <v>91544.9</v>
      </c>
      <c r="AH230" s="14">
        <f>'A) Base RI'!AB230</f>
        <v>0</v>
      </c>
      <c r="AI230" s="14">
        <f>'A) Base RI'!AC230</f>
        <v>48451.3</v>
      </c>
      <c r="AJ230" s="14">
        <f>'A) Base RI'!AD230</f>
        <v>8421.0499999999993</v>
      </c>
      <c r="AK230" s="14">
        <f>'A) Base RI'!AE230</f>
        <v>0</v>
      </c>
      <c r="AL230" s="14">
        <f>'A) Base RI'!AF230</f>
        <v>0</v>
      </c>
      <c r="AM230" s="14">
        <f>'A) Base RI'!AG230</f>
        <v>0</v>
      </c>
      <c r="AN230" s="14">
        <f>'A) Base RI'!AH230</f>
        <v>15704.55</v>
      </c>
      <c r="AO230" s="14">
        <f>'A) Base RI'!AI230</f>
        <v>0</v>
      </c>
      <c r="AP230" s="14">
        <f>'A) Base RI'!AJ230</f>
        <v>0</v>
      </c>
      <c r="AQ230" s="14">
        <f>'A) Base RI'!AK230</f>
        <v>0</v>
      </c>
      <c r="AR230" s="14">
        <f>'A) Base RI'!AN230</f>
        <v>525</v>
      </c>
    </row>
    <row r="231" spans="1:44" x14ac:dyDescent="0.25">
      <c r="A231" s="12">
        <f>'A) Base RI'!A231</f>
        <v>5762</v>
      </c>
      <c r="B231" s="42" t="str">
        <f>'A) Base RI'!B231</f>
        <v>Sergey</v>
      </c>
      <c r="C231" s="14">
        <f>'A) Base RI'!C231+'A) Base RI'!D231</f>
        <v>241633.63999999998</v>
      </c>
      <c r="D231" s="14">
        <f>'A) Base RI'!AO231</f>
        <v>-6884.98</v>
      </c>
      <c r="E231" s="41">
        <f>'A) Base RI'!AP231</f>
        <v>0</v>
      </c>
      <c r="F231" s="41">
        <f>'A) Base RI'!AQ231</f>
        <v>0</v>
      </c>
      <c r="G231" s="4">
        <f t="shared" si="18"/>
        <v>234748.65999999997</v>
      </c>
      <c r="H231" s="14">
        <f>'A) Base RI'!E231</f>
        <v>0</v>
      </c>
      <c r="I231" s="14">
        <f>'A) Base RI'!F231</f>
        <v>0</v>
      </c>
      <c r="J231" s="14">
        <f>'A) Base RI'!G231+'A) Base RI'!H231</f>
        <v>-2598.4</v>
      </c>
      <c r="K231" s="14">
        <f>'A) Base RI'!I231</f>
        <v>0</v>
      </c>
      <c r="L231" s="14">
        <f>'A) Base RI'!J231</f>
        <v>1205.19</v>
      </c>
      <c r="M231" s="14">
        <f>'A) Base RI'!K231</f>
        <v>0</v>
      </c>
      <c r="N231" s="14">
        <f>'A) Base RI'!Q231</f>
        <v>0</v>
      </c>
      <c r="O231" s="14">
        <f t="shared" si="19"/>
        <v>18134.099999999999</v>
      </c>
      <c r="P231" s="14">
        <f>'A) Base RI'!L231</f>
        <v>18134.099999999999</v>
      </c>
      <c r="Q231" s="44">
        <f>'A) Base RI'!AR231</f>
        <v>1</v>
      </c>
      <c r="R231" s="4">
        <f t="shared" si="20"/>
        <v>251489.55</v>
      </c>
      <c r="S231" s="43">
        <f>'A) Base RI'!AM231</f>
        <v>81</v>
      </c>
      <c r="T231" s="4">
        <f t="shared" si="21"/>
        <v>233355.44999999998</v>
      </c>
      <c r="U231" s="4">
        <f t="shared" si="22"/>
        <v>3104.8092592592593</v>
      </c>
      <c r="V231" s="14">
        <f>'A) Base RI'!O231</f>
        <v>0</v>
      </c>
      <c r="W231" s="14">
        <f>'A) Base RI'!P231</f>
        <v>0</v>
      </c>
      <c r="X231" s="14">
        <f>'A) Base RI'!R231</f>
        <v>0</v>
      </c>
      <c r="Y231" s="4">
        <f t="shared" si="23"/>
        <v>0</v>
      </c>
      <c r="Z231" s="14">
        <f>'A) Base RI'!N231</f>
        <v>4150.2</v>
      </c>
      <c r="AA231" s="14">
        <f>'A) Base RI'!S231+'A) Base RI'!T231</f>
        <v>0</v>
      </c>
      <c r="AB231" s="14">
        <f>'A) Base RI'!U231</f>
        <v>1100</v>
      </c>
      <c r="AC231" s="14">
        <f>'A) Base RI'!V231</f>
        <v>0</v>
      </c>
      <c r="AD231" s="14">
        <f>'A) Base RI'!W231</f>
        <v>0</v>
      </c>
      <c r="AE231" s="14">
        <f>'A) Base RI'!Y231</f>
        <v>0</v>
      </c>
      <c r="AF231" s="14">
        <f>'A) Base RI'!Z231</f>
        <v>1317</v>
      </c>
      <c r="AG231" s="14">
        <f>'A) Base RI'!AA231</f>
        <v>5940</v>
      </c>
      <c r="AH231" s="14">
        <f>'A) Base RI'!AB231</f>
        <v>0</v>
      </c>
      <c r="AI231" s="14">
        <f>'A) Base RI'!AC231</f>
        <v>12970</v>
      </c>
      <c r="AJ231" s="14">
        <f>'A) Base RI'!AD231</f>
        <v>0</v>
      </c>
      <c r="AK231" s="14">
        <f>'A) Base RI'!AE231</f>
        <v>1881</v>
      </c>
      <c r="AL231" s="14">
        <f>'A) Base RI'!AF231</f>
        <v>0</v>
      </c>
      <c r="AM231" s="14">
        <f>'A) Base RI'!AG231</f>
        <v>0</v>
      </c>
      <c r="AN231" s="14">
        <f>'A) Base RI'!AH231</f>
        <v>0</v>
      </c>
      <c r="AO231" s="14">
        <f>'A) Base RI'!AI231</f>
        <v>0</v>
      </c>
      <c r="AP231" s="14">
        <f>'A) Base RI'!AJ231</f>
        <v>0</v>
      </c>
      <c r="AQ231" s="14">
        <f>'A) Base RI'!AK231</f>
        <v>0</v>
      </c>
      <c r="AR231" s="14">
        <f>'A) Base RI'!AN231</f>
        <v>144</v>
      </c>
    </row>
    <row r="232" spans="1:44" x14ac:dyDescent="0.25">
      <c r="A232" s="12">
        <f>'A) Base RI'!A232</f>
        <v>5763</v>
      </c>
      <c r="B232" s="42" t="str">
        <f>'A) Base RI'!B232</f>
        <v>Valeyres-sous-Rances</v>
      </c>
      <c r="C232" s="14">
        <f>'A) Base RI'!C232+'A) Base RI'!D232</f>
        <v>972613.66</v>
      </c>
      <c r="D232" s="14">
        <f>'A) Base RI'!AO232</f>
        <v>-2029.55</v>
      </c>
      <c r="E232" s="41">
        <f>'A) Base RI'!AP232</f>
        <v>0</v>
      </c>
      <c r="F232" s="41">
        <f>'A) Base RI'!AQ232</f>
        <v>-129.46</v>
      </c>
      <c r="G232" s="4">
        <f t="shared" si="18"/>
        <v>970454.65</v>
      </c>
      <c r="H232" s="14">
        <f>'A) Base RI'!E232</f>
        <v>0</v>
      </c>
      <c r="I232" s="14">
        <f>'A) Base RI'!F232</f>
        <v>3310</v>
      </c>
      <c r="J232" s="14">
        <f>'A) Base RI'!G232+'A) Base RI'!H232</f>
        <v>10018.65</v>
      </c>
      <c r="K232" s="14">
        <f>'A) Base RI'!I232</f>
        <v>0</v>
      </c>
      <c r="L232" s="14">
        <f>'A) Base RI'!J232</f>
        <v>35094.410000000003</v>
      </c>
      <c r="M232" s="14">
        <f>'A) Base RI'!K232</f>
        <v>3428.5</v>
      </c>
      <c r="N232" s="14">
        <f>'A) Base RI'!Q232</f>
        <v>477.46</v>
      </c>
      <c r="O232" s="14">
        <f t="shared" si="19"/>
        <v>73998.649999999994</v>
      </c>
      <c r="P232" s="14">
        <f>'A) Base RI'!L232</f>
        <v>73998.649999999994</v>
      </c>
      <c r="Q232" s="44">
        <f>'A) Base RI'!AR232</f>
        <v>1</v>
      </c>
      <c r="R232" s="4">
        <f t="shared" si="20"/>
        <v>1096782.32</v>
      </c>
      <c r="S232" s="43">
        <f>'A) Base RI'!AM232</f>
        <v>68</v>
      </c>
      <c r="T232" s="4">
        <f t="shared" si="21"/>
        <v>1016045.17</v>
      </c>
      <c r="U232" s="4">
        <f t="shared" si="22"/>
        <v>16129.151764705883</v>
      </c>
      <c r="V232" s="14">
        <f>'A) Base RI'!O232</f>
        <v>0</v>
      </c>
      <c r="W232" s="14">
        <f>'A) Base RI'!P232</f>
        <v>36605.050000000003</v>
      </c>
      <c r="X232" s="14">
        <f>'A) Base RI'!R232</f>
        <v>29960.1</v>
      </c>
      <c r="Y232" s="4">
        <f t="shared" si="23"/>
        <v>66565.149999999994</v>
      </c>
      <c r="Z232" s="14">
        <f>'A) Base RI'!N232</f>
        <v>80286.55</v>
      </c>
      <c r="AA232" s="14">
        <f>'A) Base RI'!S232+'A) Base RI'!T232</f>
        <v>1400</v>
      </c>
      <c r="AB232" s="14">
        <f>'A) Base RI'!U232</f>
        <v>3650</v>
      </c>
      <c r="AC232" s="14">
        <f>'A) Base RI'!V232</f>
        <v>0</v>
      </c>
      <c r="AD232" s="14">
        <f>'A) Base RI'!W232</f>
        <v>0</v>
      </c>
      <c r="AE232" s="14">
        <f>'A) Base RI'!Y232</f>
        <v>15624.8</v>
      </c>
      <c r="AF232" s="14">
        <f>'A) Base RI'!Z232</f>
        <v>0</v>
      </c>
      <c r="AG232" s="14">
        <f>'A) Base RI'!AA232</f>
        <v>89083.85</v>
      </c>
      <c r="AH232" s="14">
        <f>'A) Base RI'!AB232</f>
        <v>0</v>
      </c>
      <c r="AI232" s="14">
        <f>'A) Base RI'!AC232</f>
        <v>56379.85</v>
      </c>
      <c r="AJ232" s="14">
        <f>'A) Base RI'!AD232</f>
        <v>9794.9</v>
      </c>
      <c r="AK232" s="14">
        <f>'A) Base RI'!AE232</f>
        <v>0</v>
      </c>
      <c r="AL232" s="14">
        <f>'A) Base RI'!AF232</f>
        <v>0</v>
      </c>
      <c r="AM232" s="14">
        <f>'A) Base RI'!AG232</f>
        <v>0</v>
      </c>
      <c r="AN232" s="14">
        <f>'A) Base RI'!AH232</f>
        <v>0</v>
      </c>
      <c r="AO232" s="14">
        <f>'A) Base RI'!AI232</f>
        <v>0</v>
      </c>
      <c r="AP232" s="14">
        <f>'A) Base RI'!AJ232</f>
        <v>0</v>
      </c>
      <c r="AQ232" s="14">
        <f>'A) Base RI'!AK232</f>
        <v>0</v>
      </c>
      <c r="AR232" s="14">
        <f>'A) Base RI'!AN232</f>
        <v>600</v>
      </c>
    </row>
    <row r="233" spans="1:44" x14ac:dyDescent="0.25">
      <c r="A233" s="12">
        <f>'A) Base RI'!A233</f>
        <v>5764</v>
      </c>
      <c r="B233" s="42" t="str">
        <f>'A) Base RI'!B233</f>
        <v>Vallorbe</v>
      </c>
      <c r="C233" s="14">
        <f>'A) Base RI'!C233+'A) Base RI'!D233</f>
        <v>4932446.3699999992</v>
      </c>
      <c r="D233" s="14">
        <f>'A) Base RI'!AO233</f>
        <v>-148221.28</v>
      </c>
      <c r="E233" s="41">
        <f>'A) Base RI'!AP233</f>
        <v>0</v>
      </c>
      <c r="F233" s="41">
        <f>'A) Base RI'!AQ233</f>
        <v>-777.05</v>
      </c>
      <c r="G233" s="4">
        <f t="shared" si="18"/>
        <v>4783448.0399999991</v>
      </c>
      <c r="H233" s="14">
        <f>'A) Base RI'!E233</f>
        <v>0</v>
      </c>
      <c r="I233" s="14">
        <f>'A) Base RI'!F233</f>
        <v>0</v>
      </c>
      <c r="J233" s="14">
        <f>'A) Base RI'!G233+'A) Base RI'!H233</f>
        <v>753683.2</v>
      </c>
      <c r="K233" s="14">
        <f>'A) Base RI'!I233</f>
        <v>0</v>
      </c>
      <c r="L233" s="14">
        <f>'A) Base RI'!J233</f>
        <v>275244.33</v>
      </c>
      <c r="M233" s="14">
        <f>'A) Base RI'!K233</f>
        <v>19187</v>
      </c>
      <c r="N233" s="14">
        <f>'A) Base RI'!Q233</f>
        <v>34058.699999999997</v>
      </c>
      <c r="O233" s="14">
        <f t="shared" si="19"/>
        <v>379534.25</v>
      </c>
      <c r="P233" s="14">
        <f>'A) Base RI'!L233</f>
        <v>379534.25</v>
      </c>
      <c r="Q233" s="44">
        <f>'A) Base RI'!AR233</f>
        <v>1</v>
      </c>
      <c r="R233" s="4">
        <f t="shared" si="20"/>
        <v>6245155.5199999996</v>
      </c>
      <c r="S233" s="43">
        <f>'A) Base RI'!AM233</f>
        <v>74</v>
      </c>
      <c r="T233" s="4">
        <f t="shared" si="21"/>
        <v>5846434.2699999996</v>
      </c>
      <c r="U233" s="4">
        <f t="shared" si="22"/>
        <v>84393.993513513502</v>
      </c>
      <c r="V233" s="14">
        <f>'A) Base RI'!O233</f>
        <v>15995.2</v>
      </c>
      <c r="W233" s="14">
        <f>'A) Base RI'!P233</f>
        <v>168100.95</v>
      </c>
      <c r="X233" s="14">
        <f>'A) Base RI'!R233</f>
        <v>139517.35</v>
      </c>
      <c r="Y233" s="4">
        <f t="shared" si="23"/>
        <v>323613.5</v>
      </c>
      <c r="Z233" s="14">
        <f>'A) Base RI'!N233</f>
        <v>2510152.4500000002</v>
      </c>
      <c r="AA233" s="14">
        <f>'A) Base RI'!S233+'A) Base RI'!T233</f>
        <v>8274.4</v>
      </c>
      <c r="AB233" s="14">
        <f>'A) Base RI'!U233</f>
        <v>17692.5</v>
      </c>
      <c r="AC233" s="14">
        <f>'A) Base RI'!V233</f>
        <v>51345.599999999999</v>
      </c>
      <c r="AD233" s="14">
        <f>'A) Base RI'!W233</f>
        <v>6163.3</v>
      </c>
      <c r="AE233" s="14">
        <f>'A) Base RI'!Y233</f>
        <v>92024</v>
      </c>
      <c r="AF233" s="14">
        <f>'A) Base RI'!Z233</f>
        <v>17570</v>
      </c>
      <c r="AG233" s="14">
        <f>'A) Base RI'!AA233</f>
        <v>535193.49</v>
      </c>
      <c r="AH233" s="14">
        <f>'A) Base RI'!AB233</f>
        <v>0</v>
      </c>
      <c r="AI233" s="14">
        <f>'A) Base RI'!AC233</f>
        <v>529139.43999999994</v>
      </c>
      <c r="AJ233" s="14">
        <f>'A) Base RI'!AD233</f>
        <v>49712.2</v>
      </c>
      <c r="AK233" s="14">
        <f>'A) Base RI'!AE233</f>
        <v>7001.95</v>
      </c>
      <c r="AL233" s="14">
        <f>'A) Base RI'!AF233</f>
        <v>0</v>
      </c>
      <c r="AM233" s="14">
        <f>'A) Base RI'!AG233</f>
        <v>7429.45</v>
      </c>
      <c r="AN233" s="14">
        <f>'A) Base RI'!AH233</f>
        <v>186581.65</v>
      </c>
      <c r="AO233" s="14">
        <f>'A) Base RI'!AI233</f>
        <v>0</v>
      </c>
      <c r="AP233" s="14">
        <f>'A) Base RI'!AJ233</f>
        <v>0</v>
      </c>
      <c r="AQ233" s="14">
        <f>'A) Base RI'!AK233</f>
        <v>0</v>
      </c>
      <c r="AR233" s="14">
        <f>'A) Base RI'!AN233</f>
        <v>3650</v>
      </c>
    </row>
    <row r="234" spans="1:44" x14ac:dyDescent="0.25">
      <c r="A234" s="12">
        <f>'A) Base RI'!A234</f>
        <v>5765</v>
      </c>
      <c r="B234" s="42" t="str">
        <f>'A) Base RI'!B234</f>
        <v>Vaulion</v>
      </c>
      <c r="C234" s="14">
        <f>'A) Base RI'!C234+'A) Base RI'!D234</f>
        <v>684209.73</v>
      </c>
      <c r="D234" s="14">
        <f>'A) Base RI'!AO234</f>
        <v>-18777.439999999999</v>
      </c>
      <c r="E234" s="41">
        <f>'A) Base RI'!AP234</f>
        <v>0</v>
      </c>
      <c r="F234" s="41">
        <f>'A) Base RI'!AQ234</f>
        <v>-2.06</v>
      </c>
      <c r="G234" s="4">
        <f t="shared" si="18"/>
        <v>665430.23</v>
      </c>
      <c r="H234" s="14">
        <f>'A) Base RI'!E234</f>
        <v>0</v>
      </c>
      <c r="I234" s="14">
        <f>'A) Base RI'!F234</f>
        <v>0</v>
      </c>
      <c r="J234" s="14">
        <f>'A) Base RI'!G234+'A) Base RI'!H234</f>
        <v>11021.599999999999</v>
      </c>
      <c r="K234" s="14">
        <f>'A) Base RI'!I234</f>
        <v>0</v>
      </c>
      <c r="L234" s="14">
        <f>'A) Base RI'!J234</f>
        <v>19926.54</v>
      </c>
      <c r="M234" s="14">
        <f>'A) Base RI'!K234</f>
        <v>0</v>
      </c>
      <c r="N234" s="14">
        <f>'A) Base RI'!Q234</f>
        <v>910.72</v>
      </c>
      <c r="O234" s="14">
        <f t="shared" si="19"/>
        <v>56461.3</v>
      </c>
      <c r="P234" s="14">
        <f>'A) Base RI'!L234</f>
        <v>28230.65</v>
      </c>
      <c r="Q234" s="44">
        <f>'A) Base RI'!AR234</f>
        <v>0.5</v>
      </c>
      <c r="R234" s="4">
        <f t="shared" si="20"/>
        <v>753750.39</v>
      </c>
      <c r="S234" s="43">
        <f>'A) Base RI'!AM234</f>
        <v>81</v>
      </c>
      <c r="T234" s="4">
        <f t="shared" si="21"/>
        <v>697289.09</v>
      </c>
      <c r="U234" s="4">
        <f t="shared" si="22"/>
        <v>9305.5603703703709</v>
      </c>
      <c r="V234" s="14">
        <f>'A) Base RI'!O234</f>
        <v>1661.6</v>
      </c>
      <c r="W234" s="14">
        <f>'A) Base RI'!P234</f>
        <v>36810.35</v>
      </c>
      <c r="X234" s="14">
        <f>'A) Base RI'!R234</f>
        <v>47579.6</v>
      </c>
      <c r="Y234" s="4">
        <f t="shared" si="23"/>
        <v>86051.549999999988</v>
      </c>
      <c r="Z234" s="14">
        <f>'A) Base RI'!N234</f>
        <v>48456.65</v>
      </c>
      <c r="AA234" s="14">
        <f>'A) Base RI'!S234+'A) Base RI'!T234</f>
        <v>500</v>
      </c>
      <c r="AB234" s="14">
        <f>'A) Base RI'!U234</f>
        <v>4260</v>
      </c>
      <c r="AC234" s="14">
        <f>'A) Base RI'!V234</f>
        <v>805.5</v>
      </c>
      <c r="AD234" s="14">
        <f>'A) Base RI'!W234</f>
        <v>0</v>
      </c>
      <c r="AE234" s="14">
        <f>'A) Base RI'!Y234</f>
        <v>0</v>
      </c>
      <c r="AF234" s="14">
        <f>'A) Base RI'!Z234</f>
        <v>7330.6</v>
      </c>
      <c r="AG234" s="14">
        <f>'A) Base RI'!AA234</f>
        <v>126733.5</v>
      </c>
      <c r="AH234" s="14">
        <f>'A) Base RI'!AB234</f>
        <v>0</v>
      </c>
      <c r="AI234" s="14">
        <f>'A) Base RI'!AC234</f>
        <v>65124.800000000003</v>
      </c>
      <c r="AJ234" s="14">
        <f>'A) Base RI'!AD234</f>
        <v>0</v>
      </c>
      <c r="AK234" s="14">
        <f>'A) Base RI'!AE234</f>
        <v>4036.15</v>
      </c>
      <c r="AL234" s="14">
        <f>'A) Base RI'!AF234</f>
        <v>0</v>
      </c>
      <c r="AM234" s="14">
        <f>'A) Base RI'!AG234</f>
        <v>0</v>
      </c>
      <c r="AN234" s="14">
        <f>'A) Base RI'!AH234</f>
        <v>0</v>
      </c>
      <c r="AO234" s="14">
        <f>'A) Base RI'!AI234</f>
        <v>0</v>
      </c>
      <c r="AP234" s="14">
        <f>'A) Base RI'!AJ234</f>
        <v>0</v>
      </c>
      <c r="AQ234" s="14">
        <f>'A) Base RI'!AK234</f>
        <v>0</v>
      </c>
      <c r="AR234" s="14">
        <f>'A) Base RI'!AN234</f>
        <v>491</v>
      </c>
    </row>
    <row r="235" spans="1:44" x14ac:dyDescent="0.25">
      <c r="A235" s="12">
        <f>'A) Base RI'!A235</f>
        <v>5766</v>
      </c>
      <c r="B235" s="42" t="str">
        <f>'A) Base RI'!B235</f>
        <v>Vuiteboeuf</v>
      </c>
      <c r="C235" s="14">
        <f>'A) Base RI'!C235+'A) Base RI'!D235</f>
        <v>803871.06</v>
      </c>
      <c r="D235" s="14">
        <f>'A) Base RI'!AO235</f>
        <v>-11189.5</v>
      </c>
      <c r="E235" s="41">
        <f>'A) Base RI'!AP235</f>
        <v>0</v>
      </c>
      <c r="F235" s="41">
        <f>'A) Base RI'!AQ235</f>
        <v>-0.75</v>
      </c>
      <c r="G235" s="4">
        <f t="shared" si="18"/>
        <v>792680.81</v>
      </c>
      <c r="H235" s="14">
        <f>'A) Base RI'!E235</f>
        <v>0</v>
      </c>
      <c r="I235" s="14">
        <f>'A) Base RI'!F235</f>
        <v>0</v>
      </c>
      <c r="J235" s="14">
        <f>'A) Base RI'!G235+'A) Base RI'!H235</f>
        <v>-3255.9</v>
      </c>
      <c r="K235" s="14">
        <f>'A) Base RI'!I235</f>
        <v>0</v>
      </c>
      <c r="L235" s="14">
        <f>'A) Base RI'!J235</f>
        <v>28022.61</v>
      </c>
      <c r="M235" s="14">
        <f>'A) Base RI'!K235</f>
        <v>3500.5</v>
      </c>
      <c r="N235" s="14">
        <f>'A) Base RI'!Q235</f>
        <v>5349.14</v>
      </c>
      <c r="O235" s="14">
        <f t="shared" si="19"/>
        <v>68055.21428571429</v>
      </c>
      <c r="P235" s="14">
        <f>'A) Base RI'!L235</f>
        <v>47638.65</v>
      </c>
      <c r="Q235" s="44">
        <f>'A) Base RI'!AR235</f>
        <v>0.7</v>
      </c>
      <c r="R235" s="4">
        <f t="shared" si="20"/>
        <v>894352.37428571435</v>
      </c>
      <c r="S235" s="43">
        <f>'A) Base RI'!AM235</f>
        <v>77</v>
      </c>
      <c r="T235" s="4">
        <f t="shared" si="21"/>
        <v>822796.66</v>
      </c>
      <c r="U235" s="4">
        <f t="shared" si="22"/>
        <v>11614.965899814471</v>
      </c>
      <c r="V235" s="14">
        <f>'A) Base RI'!O235</f>
        <v>0</v>
      </c>
      <c r="W235" s="14">
        <f>'A) Base RI'!P235</f>
        <v>50012.4</v>
      </c>
      <c r="X235" s="14">
        <f>'A) Base RI'!R235</f>
        <v>14994.75</v>
      </c>
      <c r="Y235" s="4">
        <f t="shared" si="23"/>
        <v>65007.15</v>
      </c>
      <c r="Z235" s="14">
        <f>'A) Base RI'!N235</f>
        <v>24719.4</v>
      </c>
      <c r="AA235" s="14">
        <f>'A) Base RI'!S235+'A) Base RI'!T235</f>
        <v>62.5</v>
      </c>
      <c r="AB235" s="14">
        <f>'A) Base RI'!U235</f>
        <v>1860</v>
      </c>
      <c r="AC235" s="14">
        <f>'A) Base RI'!V235</f>
        <v>0</v>
      </c>
      <c r="AD235" s="14">
        <f>'A) Base RI'!W235</f>
        <v>0</v>
      </c>
      <c r="AE235" s="14">
        <f>'A) Base RI'!Y235</f>
        <v>0</v>
      </c>
      <c r="AF235" s="14">
        <f>'A) Base RI'!Z235</f>
        <v>0</v>
      </c>
      <c r="AG235" s="14">
        <f>'A) Base RI'!AA235</f>
        <v>38130.6</v>
      </c>
      <c r="AH235" s="14">
        <f>'A) Base RI'!AB235</f>
        <v>0</v>
      </c>
      <c r="AI235" s="14">
        <f>'A) Base RI'!AC235</f>
        <v>21026.7</v>
      </c>
      <c r="AJ235" s="14">
        <f>'A) Base RI'!AD235</f>
        <v>0</v>
      </c>
      <c r="AK235" s="14">
        <f>'A) Base RI'!AE235</f>
        <v>0</v>
      </c>
      <c r="AL235" s="14">
        <f>'A) Base RI'!AF235</f>
        <v>0</v>
      </c>
      <c r="AM235" s="14">
        <f>'A) Base RI'!AG235</f>
        <v>0</v>
      </c>
      <c r="AN235" s="14">
        <f>'A) Base RI'!AH235</f>
        <v>0</v>
      </c>
      <c r="AO235" s="14">
        <f>'A) Base RI'!AI235</f>
        <v>0</v>
      </c>
      <c r="AP235" s="14">
        <f>'A) Base RI'!AJ235</f>
        <v>0</v>
      </c>
      <c r="AQ235" s="14">
        <f>'A) Base RI'!AK235</f>
        <v>0</v>
      </c>
      <c r="AR235" s="14">
        <f>'A) Base RI'!AN235</f>
        <v>538</v>
      </c>
    </row>
    <row r="236" spans="1:44" x14ac:dyDescent="0.25">
      <c r="A236" s="12">
        <f>'A) Base RI'!A236</f>
        <v>5785</v>
      </c>
      <c r="B236" s="42" t="str">
        <f>'A) Base RI'!B236</f>
        <v>Corcelles-le-Jorat</v>
      </c>
      <c r="C236" s="14">
        <f>'A) Base RI'!C236+'A) Base RI'!D236</f>
        <v>850909.85</v>
      </c>
      <c r="D236" s="14">
        <f>'A) Base RI'!AO236</f>
        <v>-4128.7700000000004</v>
      </c>
      <c r="E236" s="41">
        <f>'A) Base RI'!AP236</f>
        <v>0</v>
      </c>
      <c r="F236" s="41">
        <f>'A) Base RI'!AQ236</f>
        <v>-12.16</v>
      </c>
      <c r="G236" s="4">
        <f t="shared" si="18"/>
        <v>846768.91999999993</v>
      </c>
      <c r="H236" s="14">
        <f>'A) Base RI'!E236</f>
        <v>0</v>
      </c>
      <c r="I236" s="14">
        <f>'A) Base RI'!F236</f>
        <v>0</v>
      </c>
      <c r="J236" s="14">
        <f>'A) Base RI'!G236+'A) Base RI'!H236</f>
        <v>40117.600000000006</v>
      </c>
      <c r="K236" s="14">
        <f>'A) Base RI'!I236</f>
        <v>0</v>
      </c>
      <c r="L236" s="14">
        <f>'A) Base RI'!J236</f>
        <v>15849.26</v>
      </c>
      <c r="M236" s="14">
        <f>'A) Base RI'!K236</f>
        <v>1403.5</v>
      </c>
      <c r="N236" s="14">
        <f>'A) Base RI'!Q236</f>
        <v>3506.43</v>
      </c>
      <c r="O236" s="14">
        <f t="shared" si="19"/>
        <v>63505.9</v>
      </c>
      <c r="P236" s="14">
        <f>'A) Base RI'!L236</f>
        <v>63505.9</v>
      </c>
      <c r="Q236" s="44">
        <f>'A) Base RI'!AR236</f>
        <v>1</v>
      </c>
      <c r="R236" s="4">
        <f t="shared" si="20"/>
        <v>971151.61</v>
      </c>
      <c r="S236" s="43">
        <f>'A) Base RI'!AM236</f>
        <v>79</v>
      </c>
      <c r="T236" s="4">
        <f t="shared" si="21"/>
        <v>906242.21</v>
      </c>
      <c r="U236" s="4">
        <f t="shared" si="22"/>
        <v>12293.058354430379</v>
      </c>
      <c r="V236" s="14">
        <f>'A) Base RI'!O236</f>
        <v>0</v>
      </c>
      <c r="W236" s="14">
        <f>'A) Base RI'!P236</f>
        <v>24171.95</v>
      </c>
      <c r="X236" s="14">
        <f>'A) Base RI'!R236</f>
        <v>14777.4</v>
      </c>
      <c r="Y236" s="4">
        <f t="shared" si="23"/>
        <v>38949.35</v>
      </c>
      <c r="Z236" s="14">
        <f>'A) Base RI'!N236</f>
        <v>2882.75</v>
      </c>
      <c r="AA236" s="14">
        <f>'A) Base RI'!S236+'A) Base RI'!T236</f>
        <v>37.5</v>
      </c>
      <c r="AB236" s="14">
        <f>'A) Base RI'!U236</f>
        <v>2920</v>
      </c>
      <c r="AC236" s="14">
        <f>'A) Base RI'!V236</f>
        <v>0</v>
      </c>
      <c r="AD236" s="14">
        <f>'A) Base RI'!W236</f>
        <v>0</v>
      </c>
      <c r="AE236" s="14">
        <f>'A) Base RI'!Y236</f>
        <v>12000</v>
      </c>
      <c r="AF236" s="14">
        <f>'A) Base RI'!Z236</f>
        <v>0</v>
      </c>
      <c r="AG236" s="14">
        <f>'A) Base RI'!AA236</f>
        <v>67169.649999999994</v>
      </c>
      <c r="AH236" s="14">
        <f>'A) Base RI'!AB236</f>
        <v>0</v>
      </c>
      <c r="AI236" s="14">
        <f>'A) Base RI'!AC236</f>
        <v>39228.699999999997</v>
      </c>
      <c r="AJ236" s="14">
        <f>'A) Base RI'!AD236</f>
        <v>23200</v>
      </c>
      <c r="AK236" s="14">
        <f>'A) Base RI'!AE236</f>
        <v>0</v>
      </c>
      <c r="AL236" s="14">
        <f>'A) Base RI'!AF236</f>
        <v>0</v>
      </c>
      <c r="AM236" s="14">
        <f>'A) Base RI'!AG236</f>
        <v>0</v>
      </c>
      <c r="AN236" s="14">
        <f>'A) Base RI'!AH236</f>
        <v>0</v>
      </c>
      <c r="AO236" s="14">
        <f>'A) Base RI'!AI236</f>
        <v>0</v>
      </c>
      <c r="AP236" s="14">
        <f>'A) Base RI'!AJ236</f>
        <v>0</v>
      </c>
      <c r="AQ236" s="14">
        <f>'A) Base RI'!AK236</f>
        <v>0</v>
      </c>
      <c r="AR236" s="14">
        <f>'A) Base RI'!AN236</f>
        <v>421</v>
      </c>
    </row>
    <row r="237" spans="1:44" x14ac:dyDescent="0.25">
      <c r="A237" s="12">
        <f>'A) Base RI'!A237</f>
        <v>5788</v>
      </c>
      <c r="B237" s="42" t="str">
        <f>'A) Base RI'!B237</f>
        <v>Essertes</v>
      </c>
      <c r="C237" s="14">
        <f>'A) Base RI'!C237+'A) Base RI'!D237</f>
        <v>645277.37</v>
      </c>
      <c r="D237" s="14">
        <f>'A) Base RI'!AO237</f>
        <v>-5662.5</v>
      </c>
      <c r="E237" s="41">
        <f>'A) Base RI'!AP237</f>
        <v>0</v>
      </c>
      <c r="F237" s="41">
        <f>'A) Base RI'!AQ237</f>
        <v>0</v>
      </c>
      <c r="G237" s="4">
        <f t="shared" si="18"/>
        <v>639614.87</v>
      </c>
      <c r="H237" s="14">
        <f>'A) Base RI'!E237</f>
        <v>0</v>
      </c>
      <c r="I237" s="14">
        <f>'A) Base RI'!F237</f>
        <v>0</v>
      </c>
      <c r="J237" s="14">
        <f>'A) Base RI'!G237+'A) Base RI'!H237</f>
        <v>19123.349999999999</v>
      </c>
      <c r="K237" s="14">
        <f>'A) Base RI'!I237</f>
        <v>0</v>
      </c>
      <c r="L237" s="14">
        <f>'A) Base RI'!J237</f>
        <v>13513.84</v>
      </c>
      <c r="M237" s="14">
        <f>'A) Base RI'!K237</f>
        <v>585</v>
      </c>
      <c r="N237" s="14">
        <f>'A) Base RI'!Q237</f>
        <v>1691.93</v>
      </c>
      <c r="O237" s="14">
        <f t="shared" si="19"/>
        <v>54333.4</v>
      </c>
      <c r="P237" s="14">
        <f>'A) Base RI'!L237</f>
        <v>67916.75</v>
      </c>
      <c r="Q237" s="44">
        <f>'A) Base RI'!AR237</f>
        <v>1.25</v>
      </c>
      <c r="R237" s="4">
        <f t="shared" si="20"/>
        <v>728862.39</v>
      </c>
      <c r="S237" s="43">
        <f>'A) Base RI'!AM237</f>
        <v>70</v>
      </c>
      <c r="T237" s="4">
        <f t="shared" si="21"/>
        <v>673943.99</v>
      </c>
      <c r="U237" s="4">
        <f t="shared" si="22"/>
        <v>10412.319857142857</v>
      </c>
      <c r="V237" s="14">
        <f>'A) Base RI'!O237</f>
        <v>0</v>
      </c>
      <c r="W237" s="14">
        <f>'A) Base RI'!P237</f>
        <v>28754.45</v>
      </c>
      <c r="X237" s="14">
        <f>'A) Base RI'!R237</f>
        <v>14682.5</v>
      </c>
      <c r="Y237" s="4">
        <f t="shared" si="23"/>
        <v>43436.95</v>
      </c>
      <c r="Z237" s="14">
        <f>'A) Base RI'!N237</f>
        <v>0</v>
      </c>
      <c r="AA237" s="14">
        <f>'A) Base RI'!S237+'A) Base RI'!T237</f>
        <v>50</v>
      </c>
      <c r="AB237" s="14">
        <f>'A) Base RI'!U237</f>
        <v>1260</v>
      </c>
      <c r="AC237" s="14">
        <f>'A) Base RI'!V237</f>
        <v>0</v>
      </c>
      <c r="AD237" s="14">
        <f>'A) Base RI'!W237</f>
        <v>0</v>
      </c>
      <c r="AE237" s="14">
        <f>'A) Base RI'!Y237</f>
        <v>14500</v>
      </c>
      <c r="AF237" s="14">
        <f>'A) Base RI'!Z237</f>
        <v>0</v>
      </c>
      <c r="AG237" s="14">
        <f>'A) Base RI'!AA237</f>
        <v>41936</v>
      </c>
      <c r="AH237" s="14">
        <f>'A) Base RI'!AB237</f>
        <v>0</v>
      </c>
      <c r="AI237" s="14">
        <f>'A) Base RI'!AC237</f>
        <v>17622.8</v>
      </c>
      <c r="AJ237" s="14">
        <f>'A) Base RI'!AD237</f>
        <v>0</v>
      </c>
      <c r="AK237" s="14">
        <f>'A) Base RI'!AE237</f>
        <v>0</v>
      </c>
      <c r="AL237" s="14">
        <f>'A) Base RI'!AF237</f>
        <v>0</v>
      </c>
      <c r="AM237" s="14">
        <f>'A) Base RI'!AG237</f>
        <v>0</v>
      </c>
      <c r="AN237" s="14">
        <f>'A) Base RI'!AH237</f>
        <v>0</v>
      </c>
      <c r="AO237" s="14">
        <f>'A) Base RI'!AI237</f>
        <v>0</v>
      </c>
      <c r="AP237" s="14">
        <f>'A) Base RI'!AJ237</f>
        <v>0</v>
      </c>
      <c r="AQ237" s="14">
        <f>'A) Base RI'!AK237</f>
        <v>0</v>
      </c>
      <c r="AR237" s="14">
        <f>'A) Base RI'!AN237</f>
        <v>330</v>
      </c>
    </row>
    <row r="238" spans="1:44" x14ac:dyDescent="0.25">
      <c r="A238" s="12">
        <f>'A) Base RI'!A238</f>
        <v>5790</v>
      </c>
      <c r="B238" s="42" t="str">
        <f>'A) Base RI'!B238</f>
        <v>Maracon</v>
      </c>
      <c r="C238" s="14">
        <f>'A) Base RI'!C238+'A) Base RI'!D238</f>
        <v>845070.41999999993</v>
      </c>
      <c r="D238" s="14">
        <f>'A) Base RI'!AO238</f>
        <v>-11711.9</v>
      </c>
      <c r="E238" s="41">
        <f>'A) Base RI'!AP238</f>
        <v>0</v>
      </c>
      <c r="F238" s="41">
        <f>'A) Base RI'!AQ238</f>
        <v>-18.18</v>
      </c>
      <c r="G238" s="4">
        <f t="shared" si="18"/>
        <v>833340.33999999985</v>
      </c>
      <c r="H238" s="14">
        <f>'A) Base RI'!E238</f>
        <v>0</v>
      </c>
      <c r="I238" s="14">
        <f>'A) Base RI'!F238</f>
        <v>0</v>
      </c>
      <c r="J238" s="14">
        <f>'A) Base RI'!G238+'A) Base RI'!H238</f>
        <v>4700.25</v>
      </c>
      <c r="K238" s="14">
        <f>'A) Base RI'!I238</f>
        <v>0</v>
      </c>
      <c r="L238" s="14">
        <f>'A) Base RI'!J238</f>
        <v>12721.95</v>
      </c>
      <c r="M238" s="14">
        <f>'A) Base RI'!K238</f>
        <v>277.5</v>
      </c>
      <c r="N238" s="14">
        <f>'A) Base RI'!Q238</f>
        <v>0</v>
      </c>
      <c r="O238" s="14">
        <f t="shared" si="19"/>
        <v>69145.850000000006</v>
      </c>
      <c r="P238" s="14">
        <f>'A) Base RI'!L238</f>
        <v>69145.850000000006</v>
      </c>
      <c r="Q238" s="44">
        <f>'A) Base RI'!AR238</f>
        <v>1</v>
      </c>
      <c r="R238" s="4">
        <f t="shared" si="20"/>
        <v>920185.88999999978</v>
      </c>
      <c r="S238" s="43">
        <f>'A) Base RI'!AM238</f>
        <v>76</v>
      </c>
      <c r="T238" s="4">
        <f t="shared" si="21"/>
        <v>850762.5399999998</v>
      </c>
      <c r="U238" s="4">
        <f t="shared" si="22"/>
        <v>12107.709078947366</v>
      </c>
      <c r="V238" s="14">
        <f>'A) Base RI'!O238</f>
        <v>83250</v>
      </c>
      <c r="W238" s="14">
        <f>'A) Base RI'!P238</f>
        <v>98365.7</v>
      </c>
      <c r="X238" s="14">
        <f>'A) Base RI'!R238</f>
        <v>33697.050000000003</v>
      </c>
      <c r="Y238" s="4">
        <f t="shared" si="23"/>
        <v>215312.75</v>
      </c>
      <c r="Z238" s="14">
        <f>'A) Base RI'!N238</f>
        <v>0</v>
      </c>
      <c r="AA238" s="14">
        <f>'A) Base RI'!S238+'A) Base RI'!T238</f>
        <v>52</v>
      </c>
      <c r="AB238" s="14">
        <f>'A) Base RI'!U238</f>
        <v>4850</v>
      </c>
      <c r="AC238" s="14">
        <f>'A) Base RI'!V238</f>
        <v>0</v>
      </c>
      <c r="AD238" s="14">
        <f>'A) Base RI'!W238</f>
        <v>0</v>
      </c>
      <c r="AE238" s="14">
        <f>'A) Base RI'!Y238</f>
        <v>28117</v>
      </c>
      <c r="AF238" s="14">
        <f>'A) Base RI'!Z238</f>
        <v>0</v>
      </c>
      <c r="AG238" s="14">
        <f>'A) Base RI'!AA238</f>
        <v>57470.8</v>
      </c>
      <c r="AH238" s="14">
        <f>'A) Base RI'!AB238</f>
        <v>0</v>
      </c>
      <c r="AI238" s="14">
        <f>'A) Base RI'!AC238</f>
        <v>23687.35</v>
      </c>
      <c r="AJ238" s="14">
        <f>'A) Base RI'!AD238</f>
        <v>3267</v>
      </c>
      <c r="AK238" s="14">
        <f>'A) Base RI'!AE238</f>
        <v>0</v>
      </c>
      <c r="AL238" s="14">
        <f>'A) Base RI'!AF238</f>
        <v>0</v>
      </c>
      <c r="AM238" s="14">
        <f>'A) Base RI'!AG238</f>
        <v>0</v>
      </c>
      <c r="AN238" s="14">
        <f>'A) Base RI'!AH238</f>
        <v>0</v>
      </c>
      <c r="AO238" s="14">
        <f>'A) Base RI'!AI238</f>
        <v>0</v>
      </c>
      <c r="AP238" s="14">
        <f>'A) Base RI'!AJ238</f>
        <v>0</v>
      </c>
      <c r="AQ238" s="14">
        <f>'A) Base RI'!AK238</f>
        <v>0</v>
      </c>
      <c r="AR238" s="14">
        <f>'A) Base RI'!AN238</f>
        <v>444</v>
      </c>
    </row>
    <row r="239" spans="1:44" x14ac:dyDescent="0.25">
      <c r="A239" s="12">
        <f>'A) Base RI'!A239</f>
        <v>5792</v>
      </c>
      <c r="B239" s="42" t="str">
        <f>'A) Base RI'!B239</f>
        <v>Montpreveyres</v>
      </c>
      <c r="C239" s="14">
        <f>'A) Base RI'!C239+'A) Base RI'!D239</f>
        <v>1291634.5</v>
      </c>
      <c r="D239" s="14">
        <f>'A) Base RI'!AO239</f>
        <v>-7993.22</v>
      </c>
      <c r="E239" s="41">
        <f>'A) Base RI'!AP239</f>
        <v>0</v>
      </c>
      <c r="F239" s="41">
        <f>'A) Base RI'!AQ239</f>
        <v>-11.4</v>
      </c>
      <c r="G239" s="4">
        <f t="shared" si="18"/>
        <v>1283629.8800000001</v>
      </c>
      <c r="H239" s="14">
        <f>'A) Base RI'!E239</f>
        <v>0</v>
      </c>
      <c r="I239" s="14">
        <f>'A) Base RI'!F239</f>
        <v>0</v>
      </c>
      <c r="J239" s="14">
        <f>'A) Base RI'!G239+'A) Base RI'!H239</f>
        <v>60951.55</v>
      </c>
      <c r="K239" s="14">
        <f>'A) Base RI'!I239</f>
        <v>0</v>
      </c>
      <c r="L239" s="14">
        <f>'A) Base RI'!J239</f>
        <v>24804.82</v>
      </c>
      <c r="M239" s="14">
        <f>'A) Base RI'!K239</f>
        <v>1418</v>
      </c>
      <c r="N239" s="14">
        <f>'A) Base RI'!Q239</f>
        <v>56.1</v>
      </c>
      <c r="O239" s="14">
        <f t="shared" si="19"/>
        <v>98953.7</v>
      </c>
      <c r="P239" s="14">
        <f>'A) Base RI'!L239</f>
        <v>98953.7</v>
      </c>
      <c r="Q239" s="44">
        <f>'A) Base RI'!AR239</f>
        <v>1</v>
      </c>
      <c r="R239" s="4">
        <f t="shared" si="20"/>
        <v>1469814.0500000003</v>
      </c>
      <c r="S239" s="43">
        <f>'A) Base RI'!AM239</f>
        <v>77</v>
      </c>
      <c r="T239" s="4">
        <f t="shared" si="21"/>
        <v>1369442.3500000003</v>
      </c>
      <c r="U239" s="4">
        <f t="shared" si="22"/>
        <v>19088.494155844161</v>
      </c>
      <c r="V239" s="14">
        <f>'A) Base RI'!O239</f>
        <v>0</v>
      </c>
      <c r="W239" s="14">
        <f>'A) Base RI'!P239</f>
        <v>14575</v>
      </c>
      <c r="X239" s="14">
        <f>'A) Base RI'!R239</f>
        <v>42126.85</v>
      </c>
      <c r="Y239" s="4">
        <f t="shared" si="23"/>
        <v>56701.85</v>
      </c>
      <c r="Z239" s="14">
        <f>'A) Base RI'!N239</f>
        <v>2352.5500000000002</v>
      </c>
      <c r="AA239" s="14">
        <f>'A) Base RI'!S239+'A) Base RI'!T239</f>
        <v>62.5</v>
      </c>
      <c r="AB239" s="14">
        <f>'A) Base RI'!U239</f>
        <v>2550</v>
      </c>
      <c r="AC239" s="14">
        <f>'A) Base RI'!V239</f>
        <v>0</v>
      </c>
      <c r="AD239" s="14">
        <f>'A) Base RI'!W239</f>
        <v>0</v>
      </c>
      <c r="AE239" s="14">
        <f>'A) Base RI'!Y239</f>
        <v>33169.599999999999</v>
      </c>
      <c r="AF239" s="14">
        <f>'A) Base RI'!Z239</f>
        <v>0</v>
      </c>
      <c r="AG239" s="14">
        <f>'A) Base RI'!AA239</f>
        <v>64342.45</v>
      </c>
      <c r="AH239" s="14">
        <f>'A) Base RI'!AB239</f>
        <v>0</v>
      </c>
      <c r="AI239" s="14">
        <f>'A) Base RI'!AC239</f>
        <v>40200</v>
      </c>
      <c r="AJ239" s="14">
        <f>'A) Base RI'!AD239</f>
        <v>0</v>
      </c>
      <c r="AK239" s="14">
        <f>'A) Base RI'!AE239</f>
        <v>0</v>
      </c>
      <c r="AL239" s="14">
        <f>'A) Base RI'!AF239</f>
        <v>0</v>
      </c>
      <c r="AM239" s="14">
        <f>'A) Base RI'!AG239</f>
        <v>0</v>
      </c>
      <c r="AN239" s="14">
        <f>'A) Base RI'!AH239</f>
        <v>12531.95</v>
      </c>
      <c r="AO239" s="14">
        <f>'A) Base RI'!AI239</f>
        <v>0</v>
      </c>
      <c r="AP239" s="14">
        <f>'A) Base RI'!AJ239</f>
        <v>0</v>
      </c>
      <c r="AQ239" s="14">
        <f>'A) Base RI'!AK239</f>
        <v>0</v>
      </c>
      <c r="AR239" s="14">
        <f>'A) Base RI'!AN239</f>
        <v>628</v>
      </c>
    </row>
    <row r="240" spans="1:44" x14ac:dyDescent="0.25">
      <c r="A240" s="12">
        <f>'A) Base RI'!A240</f>
        <v>5798</v>
      </c>
      <c r="B240" s="42" t="str">
        <f>'A) Base RI'!B240</f>
        <v>Ropraz</v>
      </c>
      <c r="C240" s="14">
        <f>'A) Base RI'!C240+'A) Base RI'!D240</f>
        <v>689855.59</v>
      </c>
      <c r="D240" s="14">
        <f>'A) Base RI'!AO240</f>
        <v>-17870</v>
      </c>
      <c r="E240" s="41">
        <f>'A) Base RI'!AP240</f>
        <v>0</v>
      </c>
      <c r="F240" s="41">
        <f>'A) Base RI'!AQ240</f>
        <v>-215.09</v>
      </c>
      <c r="G240" s="4">
        <f t="shared" si="18"/>
        <v>671770.5</v>
      </c>
      <c r="H240" s="14">
        <f>'A) Base RI'!E240</f>
        <v>0</v>
      </c>
      <c r="I240" s="14">
        <f>'A) Base RI'!F240</f>
        <v>0</v>
      </c>
      <c r="J240" s="14">
        <f>'A) Base RI'!G240+'A) Base RI'!H240</f>
        <v>3144.6999999999898</v>
      </c>
      <c r="K240" s="14">
        <f>'A) Base RI'!I240</f>
        <v>0</v>
      </c>
      <c r="L240" s="14">
        <f>'A) Base RI'!J240</f>
        <v>19144.34</v>
      </c>
      <c r="M240" s="14">
        <f>'A) Base RI'!K240</f>
        <v>3908</v>
      </c>
      <c r="N240" s="14">
        <f>'A) Base RI'!Q240</f>
        <v>6526.93</v>
      </c>
      <c r="O240" s="14">
        <f t="shared" si="19"/>
        <v>36274.300000000003</v>
      </c>
      <c r="P240" s="14">
        <f>'A) Base RI'!L240</f>
        <v>36274.300000000003</v>
      </c>
      <c r="Q240" s="44">
        <f>'A) Base RI'!AR240</f>
        <v>1</v>
      </c>
      <c r="R240" s="4">
        <f t="shared" si="20"/>
        <v>740768.77</v>
      </c>
      <c r="S240" s="43">
        <f>'A) Base RI'!AM240</f>
        <v>77.5</v>
      </c>
      <c r="T240" s="4">
        <f t="shared" si="21"/>
        <v>700586.47</v>
      </c>
      <c r="U240" s="4">
        <f t="shared" si="22"/>
        <v>9558.3067096774193</v>
      </c>
      <c r="V240" s="14">
        <f>'A) Base RI'!O240</f>
        <v>1357.7</v>
      </c>
      <c r="W240" s="14">
        <f>'A) Base RI'!P240</f>
        <v>75699.55</v>
      </c>
      <c r="X240" s="14">
        <f>'A) Base RI'!R240</f>
        <v>9677.2999999999993</v>
      </c>
      <c r="Y240" s="4">
        <f t="shared" si="23"/>
        <v>86734.55</v>
      </c>
      <c r="Z240" s="14">
        <f>'A) Base RI'!N240</f>
        <v>0</v>
      </c>
      <c r="AA240" s="14">
        <f>'A) Base RI'!S240+'A) Base RI'!T240</f>
        <v>87.5</v>
      </c>
      <c r="AB240" s="14">
        <f>'A) Base RI'!U240</f>
        <v>2340</v>
      </c>
      <c r="AC240" s="14">
        <f>'A) Base RI'!V240</f>
        <v>0</v>
      </c>
      <c r="AD240" s="14">
        <f>'A) Base RI'!W240</f>
        <v>0</v>
      </c>
      <c r="AE240" s="14">
        <f>'A) Base RI'!Y240</f>
        <v>67960</v>
      </c>
      <c r="AF240" s="14">
        <f>'A) Base RI'!Z240</f>
        <v>0</v>
      </c>
      <c r="AG240" s="14">
        <f>'A) Base RI'!AA240</f>
        <v>51225</v>
      </c>
      <c r="AH240" s="14">
        <f>'A) Base RI'!AB240</f>
        <v>0</v>
      </c>
      <c r="AI240" s="14">
        <f>'A) Base RI'!AC240</f>
        <v>27450.2</v>
      </c>
      <c r="AJ240" s="14">
        <f>'A) Base RI'!AD240</f>
        <v>38652.5</v>
      </c>
      <c r="AK240" s="14">
        <f>'A) Base RI'!AE240</f>
        <v>0</v>
      </c>
      <c r="AL240" s="14">
        <f>'A) Base RI'!AF240</f>
        <v>0</v>
      </c>
      <c r="AM240" s="14">
        <f>'A) Base RI'!AG240</f>
        <v>0</v>
      </c>
      <c r="AN240" s="14">
        <f>'A) Base RI'!AH240</f>
        <v>0</v>
      </c>
      <c r="AO240" s="14">
        <f>'A) Base RI'!AI240</f>
        <v>0</v>
      </c>
      <c r="AP240" s="14">
        <f>'A) Base RI'!AJ240</f>
        <v>0</v>
      </c>
      <c r="AQ240" s="14">
        <f>'A) Base RI'!AK240</f>
        <v>0</v>
      </c>
      <c r="AR240" s="14">
        <f>'A) Base RI'!AN240</f>
        <v>405</v>
      </c>
    </row>
    <row r="241" spans="1:44" x14ac:dyDescent="0.25">
      <c r="A241" s="12">
        <f>'A) Base RI'!A241</f>
        <v>5799</v>
      </c>
      <c r="B241" s="42" t="str">
        <f>'A) Base RI'!B241</f>
        <v>Servion</v>
      </c>
      <c r="C241" s="14">
        <f>'A) Base RI'!C241+'A) Base RI'!D241</f>
        <v>3553998.18</v>
      </c>
      <c r="D241" s="14">
        <f>'A) Base RI'!AO241</f>
        <v>-121078.9</v>
      </c>
      <c r="E241" s="41">
        <f>'A) Base RI'!AP241</f>
        <v>0</v>
      </c>
      <c r="F241" s="41">
        <f>'A) Base RI'!AQ241</f>
        <v>-190.3</v>
      </c>
      <c r="G241" s="4">
        <f t="shared" si="18"/>
        <v>3432728.9800000004</v>
      </c>
      <c r="H241" s="14">
        <f>'A) Base RI'!E241</f>
        <v>0</v>
      </c>
      <c r="I241" s="14">
        <f>'A) Base RI'!F241</f>
        <v>0</v>
      </c>
      <c r="J241" s="14">
        <f>'A) Base RI'!G241+'A) Base RI'!H241</f>
        <v>-201983.55000000002</v>
      </c>
      <c r="K241" s="14">
        <f>'A) Base RI'!I241</f>
        <v>-31893.4</v>
      </c>
      <c r="L241" s="14">
        <f>'A) Base RI'!J241</f>
        <v>-1619.8999999999901</v>
      </c>
      <c r="M241" s="14">
        <f>'A) Base RI'!K241</f>
        <v>12399.5</v>
      </c>
      <c r="N241" s="14">
        <f>'A) Base RI'!Q241</f>
        <v>2132.88</v>
      </c>
      <c r="O241" s="14">
        <f t="shared" si="19"/>
        <v>332522.45</v>
      </c>
      <c r="P241" s="14">
        <f>'A) Base RI'!L241</f>
        <v>332522.45</v>
      </c>
      <c r="Q241" s="44">
        <f>'A) Base RI'!AR241</f>
        <v>1</v>
      </c>
      <c r="R241" s="4">
        <f t="shared" si="20"/>
        <v>3544286.9600000009</v>
      </c>
      <c r="S241" s="43">
        <f>'A) Base RI'!AM241</f>
        <v>69</v>
      </c>
      <c r="T241" s="4">
        <f t="shared" si="21"/>
        <v>3199365.0100000007</v>
      </c>
      <c r="U241" s="4">
        <f t="shared" si="22"/>
        <v>51366.477681159435</v>
      </c>
      <c r="V241" s="14">
        <f>'A) Base RI'!O241</f>
        <v>166291.29999999999</v>
      </c>
      <c r="W241" s="14">
        <f>'A) Base RI'!P241</f>
        <v>141393.15</v>
      </c>
      <c r="X241" s="14">
        <f>'A) Base RI'!R241</f>
        <v>172923.1</v>
      </c>
      <c r="Y241" s="4">
        <f t="shared" si="23"/>
        <v>480607.54999999993</v>
      </c>
      <c r="Z241" s="14">
        <f>'A) Base RI'!N241</f>
        <v>12106.1</v>
      </c>
      <c r="AA241" s="14">
        <f>'A) Base RI'!S241+'A) Base RI'!T241</f>
        <v>3425</v>
      </c>
      <c r="AB241" s="14">
        <f>'A) Base RI'!U241</f>
        <v>9275</v>
      </c>
      <c r="AC241" s="14">
        <f>'A) Base RI'!V241</f>
        <v>64228</v>
      </c>
      <c r="AD241" s="14">
        <f>'A) Base RI'!W241</f>
        <v>0</v>
      </c>
      <c r="AE241" s="14">
        <f>'A) Base RI'!Y241</f>
        <v>12686.4</v>
      </c>
      <c r="AF241" s="14">
        <f>'A) Base RI'!Z241</f>
        <v>0</v>
      </c>
      <c r="AG241" s="14">
        <f>'A) Base RI'!AA241</f>
        <v>225052.85</v>
      </c>
      <c r="AH241" s="14">
        <f>'A) Base RI'!AB241</f>
        <v>0</v>
      </c>
      <c r="AI241" s="14">
        <f>'A) Base RI'!AC241</f>
        <v>113106.3</v>
      </c>
      <c r="AJ241" s="14">
        <f>'A) Base RI'!AD241</f>
        <v>0</v>
      </c>
      <c r="AK241" s="14">
        <f>'A) Base RI'!AE241</f>
        <v>0</v>
      </c>
      <c r="AL241" s="14">
        <f>'A) Base RI'!AF241</f>
        <v>0</v>
      </c>
      <c r="AM241" s="14">
        <f>'A) Base RI'!AG241</f>
        <v>0</v>
      </c>
      <c r="AN241" s="14">
        <f>'A) Base RI'!AH241</f>
        <v>53718.9</v>
      </c>
      <c r="AO241" s="14">
        <f>'A) Base RI'!AI241</f>
        <v>0</v>
      </c>
      <c r="AP241" s="14">
        <f>'A) Base RI'!AJ241</f>
        <v>0</v>
      </c>
      <c r="AQ241" s="14">
        <f>'A) Base RI'!AK241</f>
        <v>0</v>
      </c>
      <c r="AR241" s="14">
        <f>'A) Base RI'!AN241</f>
        <v>1908</v>
      </c>
    </row>
    <row r="242" spans="1:44" x14ac:dyDescent="0.25">
      <c r="A242" s="12">
        <f>'A) Base RI'!A242</f>
        <v>5803</v>
      </c>
      <c r="B242" s="42" t="str">
        <f>'A) Base RI'!B242</f>
        <v>Vulliens</v>
      </c>
      <c r="C242" s="14">
        <f>'A) Base RI'!C242+'A) Base RI'!D242</f>
        <v>939574.6</v>
      </c>
      <c r="D242" s="14">
        <f>'A) Base RI'!AO242</f>
        <v>-4227.03</v>
      </c>
      <c r="E242" s="41">
        <f>'A) Base RI'!AP242</f>
        <v>0</v>
      </c>
      <c r="F242" s="41">
        <f>'A) Base RI'!AQ242</f>
        <v>-215.58</v>
      </c>
      <c r="G242" s="4">
        <f t="shared" si="18"/>
        <v>935131.99</v>
      </c>
      <c r="H242" s="14">
        <f>'A) Base RI'!E242</f>
        <v>0</v>
      </c>
      <c r="I242" s="14">
        <f>'A) Base RI'!F242</f>
        <v>0</v>
      </c>
      <c r="J242" s="14">
        <f>'A) Base RI'!G242+'A) Base RI'!H242</f>
        <v>-6987.05</v>
      </c>
      <c r="K242" s="14">
        <f>'A) Base RI'!I242</f>
        <v>0</v>
      </c>
      <c r="L242" s="14">
        <f>'A) Base RI'!J242</f>
        <v>23729.41</v>
      </c>
      <c r="M242" s="14">
        <f>'A) Base RI'!K242</f>
        <v>0</v>
      </c>
      <c r="N242" s="14">
        <f>'A) Base RI'!Q242</f>
        <v>0</v>
      </c>
      <c r="O242" s="14">
        <f t="shared" si="19"/>
        <v>67846.75</v>
      </c>
      <c r="P242" s="14">
        <f>'A) Base RI'!L242</f>
        <v>67846.75</v>
      </c>
      <c r="Q242" s="44">
        <f>'A) Base RI'!AR242</f>
        <v>1</v>
      </c>
      <c r="R242" s="4">
        <f t="shared" si="20"/>
        <v>1019721.1</v>
      </c>
      <c r="S242" s="43">
        <f>'A) Base RI'!AM242</f>
        <v>81</v>
      </c>
      <c r="T242" s="4">
        <f t="shared" si="21"/>
        <v>951874.35</v>
      </c>
      <c r="U242" s="4">
        <f t="shared" si="22"/>
        <v>12589.149382716048</v>
      </c>
      <c r="V242" s="14">
        <f>'A) Base RI'!O242</f>
        <v>9342.2999999999993</v>
      </c>
      <c r="W242" s="14">
        <f>'A) Base RI'!P242</f>
        <v>58169.8</v>
      </c>
      <c r="X242" s="14">
        <f>'A) Base RI'!R242</f>
        <v>105581.4</v>
      </c>
      <c r="Y242" s="4">
        <f t="shared" si="23"/>
        <v>173093.5</v>
      </c>
      <c r="Z242" s="14">
        <f>'A) Base RI'!N242</f>
        <v>0</v>
      </c>
      <c r="AA242" s="14">
        <f>'A) Base RI'!S242+'A) Base RI'!T242</f>
        <v>750</v>
      </c>
      <c r="AB242" s="14">
        <f>'A) Base RI'!U242</f>
        <v>5450</v>
      </c>
      <c r="AC242" s="14">
        <f>'A) Base RI'!V242</f>
        <v>300</v>
      </c>
      <c r="AD242" s="14">
        <f>'A) Base RI'!W242</f>
        <v>0</v>
      </c>
      <c r="AE242" s="14">
        <f>'A) Base RI'!Y242</f>
        <v>24725</v>
      </c>
      <c r="AF242" s="14">
        <f>'A) Base RI'!Z242</f>
        <v>0</v>
      </c>
      <c r="AG242" s="14">
        <f>'A) Base RI'!AA242</f>
        <v>36712</v>
      </c>
      <c r="AH242" s="14">
        <f>'A) Base RI'!AB242</f>
        <v>0</v>
      </c>
      <c r="AI242" s="14">
        <f>'A) Base RI'!AC242</f>
        <v>25035.8</v>
      </c>
      <c r="AJ242" s="14">
        <f>'A) Base RI'!AD242</f>
        <v>43510</v>
      </c>
      <c r="AK242" s="14">
        <f>'A) Base RI'!AE242</f>
        <v>10200</v>
      </c>
      <c r="AL242" s="14">
        <f>'A) Base RI'!AF242</f>
        <v>0</v>
      </c>
      <c r="AM242" s="14">
        <f>'A) Base RI'!AG242</f>
        <v>0</v>
      </c>
      <c r="AN242" s="14">
        <f>'A) Base RI'!AH242</f>
        <v>0</v>
      </c>
      <c r="AO242" s="14">
        <f>'A) Base RI'!AI242</f>
        <v>0</v>
      </c>
      <c r="AP242" s="14">
        <f>'A) Base RI'!AJ242</f>
        <v>0</v>
      </c>
      <c r="AQ242" s="14">
        <f>'A) Base RI'!AK242</f>
        <v>0</v>
      </c>
      <c r="AR242" s="14">
        <f>'A) Base RI'!AN242</f>
        <v>462</v>
      </c>
    </row>
    <row r="243" spans="1:44" x14ac:dyDescent="0.25">
      <c r="A243" s="12">
        <f>'A) Base RI'!A243</f>
        <v>5804</v>
      </c>
      <c r="B243" s="42" t="str">
        <f>'A) Base RI'!B243</f>
        <v>Jorat-Menthue</v>
      </c>
      <c r="C243" s="14">
        <f>'A) Base RI'!C243+'A) Base RI'!D243</f>
        <v>2680549.77</v>
      </c>
      <c r="D243" s="14">
        <f>'A) Base RI'!AO243</f>
        <v>-23139.38</v>
      </c>
      <c r="E243" s="41">
        <f>'A) Base RI'!AP243</f>
        <v>0</v>
      </c>
      <c r="F243" s="41">
        <f>'A) Base RI'!AQ243</f>
        <v>-130.82</v>
      </c>
      <c r="G243" s="4">
        <f t="shared" si="18"/>
        <v>2657279.5700000003</v>
      </c>
      <c r="H243" s="14">
        <f>'A) Base RI'!E243</f>
        <v>0</v>
      </c>
      <c r="I243" s="14">
        <f>'A) Base RI'!F243</f>
        <v>0</v>
      </c>
      <c r="J243" s="14">
        <f>'A) Base RI'!G243+'A) Base RI'!H243</f>
        <v>26029.5</v>
      </c>
      <c r="K243" s="14">
        <f>'A) Base RI'!I243</f>
        <v>0</v>
      </c>
      <c r="L243" s="14">
        <f>'A) Base RI'!J243</f>
        <v>48482.51</v>
      </c>
      <c r="M243" s="14">
        <f>'A) Base RI'!K243</f>
        <v>3083</v>
      </c>
      <c r="N243" s="14">
        <f>'A) Base RI'!Q243</f>
        <v>2905.39</v>
      </c>
      <c r="O243" s="14">
        <f t="shared" si="19"/>
        <v>226004.05</v>
      </c>
      <c r="P243" s="14">
        <f>'A) Base RI'!L243</f>
        <v>226004.05</v>
      </c>
      <c r="Q243" s="44">
        <f>'A) Base RI'!AR243</f>
        <v>1</v>
      </c>
      <c r="R243" s="4">
        <f t="shared" si="20"/>
        <v>2963784.02</v>
      </c>
      <c r="S243" s="43">
        <f>'A) Base RI'!AM243</f>
        <v>72</v>
      </c>
      <c r="T243" s="4">
        <f t="shared" si="21"/>
        <v>2734696.97</v>
      </c>
      <c r="U243" s="4">
        <f t="shared" si="22"/>
        <v>41163.666944444441</v>
      </c>
      <c r="V243" s="14">
        <f>'A) Base RI'!O243</f>
        <v>80554.899999999994</v>
      </c>
      <c r="W243" s="14">
        <f>'A) Base RI'!P243</f>
        <v>39469.449999999997</v>
      </c>
      <c r="X243" s="14">
        <f>'A) Base RI'!R243</f>
        <v>106455.55</v>
      </c>
      <c r="Y243" s="4">
        <f t="shared" si="23"/>
        <v>226479.9</v>
      </c>
      <c r="Z243" s="14">
        <f>'A) Base RI'!N243</f>
        <v>11176.1</v>
      </c>
      <c r="AA243" s="14">
        <f>'A) Base RI'!S243+'A) Base RI'!T243</f>
        <v>1647.5</v>
      </c>
      <c r="AB243" s="14">
        <f>'A) Base RI'!U243</f>
        <v>12600</v>
      </c>
      <c r="AC243" s="14">
        <f>'A) Base RI'!V243</f>
        <v>0</v>
      </c>
      <c r="AD243" s="14">
        <f>'A) Base RI'!W243</f>
        <v>0</v>
      </c>
      <c r="AE243" s="14">
        <f>'A) Base RI'!Y243</f>
        <v>17904.25</v>
      </c>
      <c r="AF243" s="14">
        <f>'A) Base RI'!Z243</f>
        <v>0</v>
      </c>
      <c r="AG243" s="14">
        <f>'A) Base RI'!AA243</f>
        <v>262686.95</v>
      </c>
      <c r="AH243" s="14">
        <f>'A) Base RI'!AB243</f>
        <v>0</v>
      </c>
      <c r="AI243" s="14">
        <f>'A) Base RI'!AC243</f>
        <v>138392.07</v>
      </c>
      <c r="AJ243" s="14">
        <f>'A) Base RI'!AD243</f>
        <v>23145.55</v>
      </c>
      <c r="AK243" s="14">
        <f>'A) Base RI'!AE243</f>
        <v>0</v>
      </c>
      <c r="AL243" s="14">
        <f>'A) Base RI'!AF243</f>
        <v>0</v>
      </c>
      <c r="AM243" s="14">
        <f>'A) Base RI'!AG243</f>
        <v>0</v>
      </c>
      <c r="AN243" s="14">
        <f>'A) Base RI'!AH243</f>
        <v>38858.800000000003</v>
      </c>
      <c r="AO243" s="14">
        <f>'A) Base RI'!AI243</f>
        <v>0</v>
      </c>
      <c r="AP243" s="14">
        <f>'A) Base RI'!AJ243</f>
        <v>0</v>
      </c>
      <c r="AQ243" s="14">
        <f>'A) Base RI'!AK243</f>
        <v>0</v>
      </c>
      <c r="AR243" s="14">
        <f>'A) Base RI'!AN243</f>
        <v>1518</v>
      </c>
    </row>
    <row r="244" spans="1:44" x14ac:dyDescent="0.25">
      <c r="A244" s="12">
        <f>'A) Base RI'!A244</f>
        <v>5805</v>
      </c>
      <c r="B244" s="42" t="str">
        <f>'A) Base RI'!B244</f>
        <v>Oron</v>
      </c>
      <c r="C244" s="14">
        <f>'A) Base RI'!C244+'A) Base RI'!D244</f>
        <v>8009659.3099999996</v>
      </c>
      <c r="D244" s="14">
        <f>'A) Base RI'!AO244</f>
        <v>-185423.1</v>
      </c>
      <c r="E244" s="41">
        <f>'A) Base RI'!AP244</f>
        <v>0</v>
      </c>
      <c r="F244" s="41">
        <f>'A) Base RI'!AQ244</f>
        <v>-2243.63</v>
      </c>
      <c r="G244" s="4">
        <f t="shared" si="18"/>
        <v>7821992.5800000001</v>
      </c>
      <c r="H244" s="14">
        <f>'A) Base RI'!E244</f>
        <v>0</v>
      </c>
      <c r="I244" s="14">
        <f>'A) Base RI'!F244</f>
        <v>0</v>
      </c>
      <c r="J244" s="14">
        <f>'A) Base RI'!G244+'A) Base RI'!H244</f>
        <v>1060895.1499999999</v>
      </c>
      <c r="K244" s="14">
        <f>'A) Base RI'!I244</f>
        <v>0</v>
      </c>
      <c r="L244" s="14">
        <f>'A) Base RI'!J244</f>
        <v>292998.82</v>
      </c>
      <c r="M244" s="14">
        <f>'A) Base RI'!K244</f>
        <v>54190.5</v>
      </c>
      <c r="N244" s="14">
        <f>'A) Base RI'!Q244</f>
        <v>91617.54</v>
      </c>
      <c r="O244" s="14">
        <f t="shared" si="19"/>
        <v>787116.59090909082</v>
      </c>
      <c r="P244" s="14">
        <f>'A) Base RI'!L244</f>
        <v>865828.25</v>
      </c>
      <c r="Q244" s="44">
        <f>'A) Base RI'!AR244</f>
        <v>1.1000000000000001</v>
      </c>
      <c r="R244" s="4">
        <f t="shared" si="20"/>
        <v>10108811.18090909</v>
      </c>
      <c r="S244" s="43">
        <f>'A) Base RI'!AM244</f>
        <v>69</v>
      </c>
      <c r="T244" s="4">
        <f t="shared" si="21"/>
        <v>9267504.0899999999</v>
      </c>
      <c r="U244" s="4">
        <f t="shared" si="22"/>
        <v>146504.50986824767</v>
      </c>
      <c r="V244" s="14">
        <f>'A) Base RI'!O244</f>
        <v>202501</v>
      </c>
      <c r="W244" s="14">
        <f>'A) Base RI'!P244</f>
        <v>446393.35</v>
      </c>
      <c r="X244" s="14">
        <f>'A) Base RI'!R244</f>
        <v>235229.15</v>
      </c>
      <c r="Y244" s="4">
        <f t="shared" si="23"/>
        <v>884123.5</v>
      </c>
      <c r="Z244" s="14">
        <f>'A) Base RI'!N244</f>
        <v>64015.55</v>
      </c>
      <c r="AA244" s="14">
        <f>'A) Base RI'!S244+'A) Base RI'!T244</f>
        <v>4667.5</v>
      </c>
      <c r="AB244" s="14">
        <f>'A) Base RI'!U244</f>
        <v>37400</v>
      </c>
      <c r="AC244" s="14">
        <f>'A) Base RI'!V244</f>
        <v>2550</v>
      </c>
      <c r="AD244" s="14">
        <f>'A) Base RI'!W244</f>
        <v>1959.5</v>
      </c>
      <c r="AE244" s="14">
        <f>'A) Base RI'!Y244</f>
        <v>197320.5</v>
      </c>
      <c r="AF244" s="14">
        <f>'A) Base RI'!Z244</f>
        <v>0</v>
      </c>
      <c r="AG244" s="14">
        <f>'A) Base RI'!AA244</f>
        <v>766725.8</v>
      </c>
      <c r="AH244" s="14">
        <f>'A) Base RI'!AB244</f>
        <v>0</v>
      </c>
      <c r="AI244" s="14">
        <f>'A) Base RI'!AC244</f>
        <v>528385.75</v>
      </c>
      <c r="AJ244" s="14">
        <f>'A) Base RI'!AD244</f>
        <v>96902.399999999994</v>
      </c>
      <c r="AK244" s="14">
        <f>'A) Base RI'!AE244</f>
        <v>0</v>
      </c>
      <c r="AL244" s="14">
        <f>'A) Base RI'!AF244</f>
        <v>0</v>
      </c>
      <c r="AM244" s="14">
        <f>'A) Base RI'!AG244</f>
        <v>0</v>
      </c>
      <c r="AN244" s="14">
        <f>'A) Base RI'!AH244</f>
        <v>0</v>
      </c>
      <c r="AO244" s="14">
        <f>'A) Base RI'!AI244</f>
        <v>0</v>
      </c>
      <c r="AP244" s="14">
        <f>'A) Base RI'!AJ244</f>
        <v>0</v>
      </c>
      <c r="AQ244" s="14">
        <f>'A) Base RI'!AK244</f>
        <v>0</v>
      </c>
      <c r="AR244" s="14">
        <f>'A) Base RI'!AN244</f>
        <v>5297</v>
      </c>
    </row>
    <row r="245" spans="1:44" x14ac:dyDescent="0.25">
      <c r="A245" s="12">
        <f>'A) Base RI'!A245</f>
        <v>5806</v>
      </c>
      <c r="B245" s="42" t="str">
        <f>'A) Base RI'!B245</f>
        <v>Jorat-Mézières</v>
      </c>
      <c r="C245" s="14">
        <f>'A) Base RI'!C245+'A) Base RI'!D245</f>
        <v>5591960.6900000004</v>
      </c>
      <c r="D245" s="14">
        <f>'A) Base RI'!AO245</f>
        <v>-114928.05</v>
      </c>
      <c r="E245" s="41">
        <f>'A) Base RI'!AP245</f>
        <v>0</v>
      </c>
      <c r="F245" s="41">
        <f>'A) Base RI'!AQ245</f>
        <v>-292.87</v>
      </c>
      <c r="G245" s="4">
        <f t="shared" si="18"/>
        <v>5476739.7700000005</v>
      </c>
      <c r="H245" s="14">
        <f>'A) Base RI'!E245</f>
        <v>0</v>
      </c>
      <c r="I245" s="14">
        <f>'A) Base RI'!F245</f>
        <v>0</v>
      </c>
      <c r="J245" s="14">
        <f>'A) Base RI'!G245+'A) Base RI'!H245</f>
        <v>207509.25</v>
      </c>
      <c r="K245" s="14">
        <f>'A) Base RI'!I245</f>
        <v>54947.5</v>
      </c>
      <c r="L245" s="14">
        <f>'A) Base RI'!J245</f>
        <v>121870.14</v>
      </c>
      <c r="M245" s="14">
        <f>'A) Base RI'!K245</f>
        <v>14537</v>
      </c>
      <c r="N245" s="14">
        <f>'A) Base RI'!Q245</f>
        <v>19636.68</v>
      </c>
      <c r="O245" s="14">
        <f t="shared" si="19"/>
        <v>427238</v>
      </c>
      <c r="P245" s="14">
        <f>'A) Base RI'!L245</f>
        <v>427238</v>
      </c>
      <c r="Q245" s="44">
        <f>'A) Base RI'!AR245</f>
        <v>1</v>
      </c>
      <c r="R245" s="4">
        <f t="shared" si="20"/>
        <v>6322478.3399999999</v>
      </c>
      <c r="S245" s="43">
        <f>'A) Base RI'!AM245</f>
        <v>76.12</v>
      </c>
      <c r="T245" s="4">
        <f t="shared" si="21"/>
        <v>5880703.3399999999</v>
      </c>
      <c r="U245" s="4">
        <f t="shared" si="22"/>
        <v>83059.358118759847</v>
      </c>
      <c r="V245" s="14">
        <f>'A) Base RI'!O245</f>
        <v>71559.199999999997</v>
      </c>
      <c r="W245" s="14">
        <f>'A) Base RI'!P245</f>
        <v>175833.05000000002</v>
      </c>
      <c r="X245" s="14">
        <f>'A) Base RI'!R245</f>
        <v>181033.60000000001</v>
      </c>
      <c r="Y245" s="4">
        <f t="shared" si="23"/>
        <v>428425.85</v>
      </c>
      <c r="Z245" s="14">
        <f>'A) Base RI'!N245</f>
        <v>16699.75</v>
      </c>
      <c r="AA245" s="14">
        <f>'A) Base RI'!S245+'A) Base RI'!T245</f>
        <v>2731.25</v>
      </c>
      <c r="AB245" s="14">
        <f>'A) Base RI'!U245</f>
        <v>11020</v>
      </c>
      <c r="AC245" s="14">
        <f>'A) Base RI'!V245</f>
        <v>20000</v>
      </c>
      <c r="AD245" s="14">
        <f>'A) Base RI'!W245</f>
        <v>0</v>
      </c>
      <c r="AE245" s="14">
        <f>'A) Base RI'!Y245</f>
        <v>91738.6</v>
      </c>
      <c r="AF245" s="14">
        <f>'A) Base RI'!Z245</f>
        <v>0</v>
      </c>
      <c r="AG245" s="14">
        <f>'A) Base RI'!AA245</f>
        <v>353620.35</v>
      </c>
      <c r="AH245" s="14">
        <f>'A) Base RI'!AB245</f>
        <v>0</v>
      </c>
      <c r="AI245" s="14">
        <f>'A) Base RI'!AC245</f>
        <v>148840.59999999998</v>
      </c>
      <c r="AJ245" s="14">
        <f>'A) Base RI'!AD245</f>
        <v>68197.5</v>
      </c>
      <c r="AK245" s="14">
        <f>'A) Base RI'!AE245</f>
        <v>0</v>
      </c>
      <c r="AL245" s="14">
        <f>'A) Base RI'!AF245</f>
        <v>0</v>
      </c>
      <c r="AM245" s="14">
        <f>'A) Base RI'!AG245</f>
        <v>2082</v>
      </c>
      <c r="AN245" s="14">
        <f>'A) Base RI'!AH245</f>
        <v>0</v>
      </c>
      <c r="AO245" s="14">
        <f>'A) Base RI'!AI245</f>
        <v>0</v>
      </c>
      <c r="AP245" s="14">
        <f>'A) Base RI'!AJ245</f>
        <v>0</v>
      </c>
      <c r="AQ245" s="14">
        <f>'A) Base RI'!AK245</f>
        <v>0</v>
      </c>
      <c r="AR245" s="14">
        <f>'A) Base RI'!AN245</f>
        <v>2755</v>
      </c>
    </row>
    <row r="246" spans="1:44" x14ac:dyDescent="0.25">
      <c r="A246" s="12">
        <f>'A) Base RI'!A246</f>
        <v>5812</v>
      </c>
      <c r="B246" s="42" t="str">
        <f>'A) Base RI'!B246</f>
        <v>Champtauroz</v>
      </c>
      <c r="C246" s="14">
        <f>'A) Base RI'!C246+'A) Base RI'!D246</f>
        <v>174200.48</v>
      </c>
      <c r="D246" s="14">
        <f>'A) Base RI'!AO246</f>
        <v>-3462.07</v>
      </c>
      <c r="E246" s="41">
        <f>'A) Base RI'!AP246</f>
        <v>0</v>
      </c>
      <c r="F246" s="41">
        <f>'A) Base RI'!AQ246</f>
        <v>0</v>
      </c>
      <c r="G246" s="4">
        <f t="shared" si="18"/>
        <v>170738.41</v>
      </c>
      <c r="H246" s="14">
        <f>'A) Base RI'!E246</f>
        <v>0</v>
      </c>
      <c r="I246" s="14">
        <f>'A) Base RI'!F246</f>
        <v>0</v>
      </c>
      <c r="J246" s="14">
        <f>'A) Base RI'!G246+'A) Base RI'!H246</f>
        <v>1317.35</v>
      </c>
      <c r="K246" s="14">
        <f>'A) Base RI'!I246</f>
        <v>0</v>
      </c>
      <c r="L246" s="14">
        <f>'A) Base RI'!J246</f>
        <v>-308.89</v>
      </c>
      <c r="M246" s="14">
        <f>'A) Base RI'!K246</f>
        <v>10</v>
      </c>
      <c r="N246" s="14">
        <f>'A) Base RI'!Q246</f>
        <v>70.48</v>
      </c>
      <c r="O246" s="14">
        <f t="shared" si="19"/>
        <v>14527.125</v>
      </c>
      <c r="P246" s="14">
        <f>'A) Base RI'!L246</f>
        <v>11621.7</v>
      </c>
      <c r="Q246" s="44">
        <f>'A) Base RI'!AR246</f>
        <v>0.8</v>
      </c>
      <c r="R246" s="4">
        <f t="shared" si="20"/>
        <v>186354.47500000001</v>
      </c>
      <c r="S246" s="43">
        <f>'A) Base RI'!AM246</f>
        <v>77</v>
      </c>
      <c r="T246" s="4">
        <f t="shared" si="21"/>
        <v>171817.35</v>
      </c>
      <c r="U246" s="4">
        <f t="shared" si="22"/>
        <v>2420.1879870129869</v>
      </c>
      <c r="V246" s="14">
        <f>'A) Base RI'!O246</f>
        <v>0</v>
      </c>
      <c r="W246" s="14">
        <f>'A) Base RI'!P246</f>
        <v>15914.85</v>
      </c>
      <c r="X246" s="14">
        <f>'A) Base RI'!R246</f>
        <v>19161.75</v>
      </c>
      <c r="Y246" s="4">
        <f t="shared" si="23"/>
        <v>35076.6</v>
      </c>
      <c r="Z246" s="14">
        <f>'A) Base RI'!N246</f>
        <v>0</v>
      </c>
      <c r="AA246" s="14">
        <f>'A) Base RI'!S246+'A) Base RI'!T246</f>
        <v>0</v>
      </c>
      <c r="AB246" s="14">
        <f>'A) Base RI'!U246</f>
        <v>560</v>
      </c>
      <c r="AC246" s="14">
        <f>'A) Base RI'!V246</f>
        <v>0</v>
      </c>
      <c r="AD246" s="14">
        <f>'A) Base RI'!W246</f>
        <v>0</v>
      </c>
      <c r="AE246" s="14">
        <f>'A) Base RI'!Y246</f>
        <v>0</v>
      </c>
      <c r="AF246" s="14">
        <f>'A) Base RI'!Z246</f>
        <v>0</v>
      </c>
      <c r="AG246" s="14">
        <f>'A) Base RI'!AA246</f>
        <v>11158</v>
      </c>
      <c r="AH246" s="14">
        <f>'A) Base RI'!AB246</f>
        <v>0</v>
      </c>
      <c r="AI246" s="14">
        <f>'A) Base RI'!AC246</f>
        <v>6973</v>
      </c>
      <c r="AJ246" s="14">
        <f>'A) Base RI'!AD246</f>
        <v>0</v>
      </c>
      <c r="AK246" s="14">
        <f>'A) Base RI'!AE246</f>
        <v>0</v>
      </c>
      <c r="AL246" s="14">
        <f>'A) Base RI'!AF246</f>
        <v>120</v>
      </c>
      <c r="AM246" s="14">
        <f>'A) Base RI'!AG246</f>
        <v>0</v>
      </c>
      <c r="AN246" s="14">
        <f>'A) Base RI'!AH246</f>
        <v>2834</v>
      </c>
      <c r="AO246" s="14">
        <f>'A) Base RI'!AI246</f>
        <v>0</v>
      </c>
      <c r="AP246" s="14">
        <f>'A) Base RI'!AJ246</f>
        <v>0</v>
      </c>
      <c r="AQ246" s="14">
        <f>'A) Base RI'!AK246</f>
        <v>0</v>
      </c>
      <c r="AR246" s="14">
        <f>'A) Base RI'!AN246</f>
        <v>133</v>
      </c>
    </row>
    <row r="247" spans="1:44" x14ac:dyDescent="0.25">
      <c r="A247" s="12">
        <f>'A) Base RI'!A247</f>
        <v>5813</v>
      </c>
      <c r="B247" s="42" t="str">
        <f>'A) Base RI'!B247</f>
        <v>Chevroux</v>
      </c>
      <c r="C247" s="14">
        <f>'A) Base RI'!C247+'A) Base RI'!D247</f>
        <v>709246.78</v>
      </c>
      <c r="D247" s="14">
        <f>'A) Base RI'!AO247</f>
        <v>-7224.84</v>
      </c>
      <c r="E247" s="41">
        <f>'A) Base RI'!AP247</f>
        <v>0</v>
      </c>
      <c r="F247" s="41">
        <f>'A) Base RI'!AQ247</f>
        <v>-122.5</v>
      </c>
      <c r="G247" s="4">
        <f t="shared" si="18"/>
        <v>701899.44000000006</v>
      </c>
      <c r="H247" s="14">
        <f>'A) Base RI'!E247</f>
        <v>0</v>
      </c>
      <c r="I247" s="14">
        <f>'A) Base RI'!F247</f>
        <v>2730</v>
      </c>
      <c r="J247" s="14">
        <f>'A) Base RI'!G247+'A) Base RI'!H247</f>
        <v>21448.95</v>
      </c>
      <c r="K247" s="14">
        <f>'A) Base RI'!I247</f>
        <v>0</v>
      </c>
      <c r="L247" s="14">
        <f>'A) Base RI'!J247</f>
        <v>18253.95</v>
      </c>
      <c r="M247" s="14">
        <f>'A) Base RI'!K247</f>
        <v>0</v>
      </c>
      <c r="N247" s="14">
        <f>'A) Base RI'!Q247</f>
        <v>104.31</v>
      </c>
      <c r="O247" s="14">
        <f t="shared" si="19"/>
        <v>66884.250000000015</v>
      </c>
      <c r="P247" s="14">
        <f>'A) Base RI'!L247</f>
        <v>80261.100000000006</v>
      </c>
      <c r="Q247" s="44">
        <f>'A) Base RI'!AR247</f>
        <v>1.2</v>
      </c>
      <c r="R247" s="4">
        <f t="shared" si="20"/>
        <v>811320.9</v>
      </c>
      <c r="S247" s="43">
        <f>'A) Base RI'!AM247</f>
        <v>70</v>
      </c>
      <c r="T247" s="4">
        <f t="shared" si="21"/>
        <v>741706.65</v>
      </c>
      <c r="U247" s="4">
        <f t="shared" si="22"/>
        <v>11590.298571428571</v>
      </c>
      <c r="V247" s="14">
        <f>'A) Base RI'!O247</f>
        <v>10436.1</v>
      </c>
      <c r="W247" s="14">
        <f>'A) Base RI'!P247</f>
        <v>35255</v>
      </c>
      <c r="X247" s="14">
        <f>'A) Base RI'!R247</f>
        <v>20744.099999999999</v>
      </c>
      <c r="Y247" s="4">
        <f t="shared" si="23"/>
        <v>66435.199999999997</v>
      </c>
      <c r="Z247" s="14">
        <f>'A) Base RI'!N247</f>
        <v>0</v>
      </c>
      <c r="AA247" s="14">
        <f>'A) Base RI'!S247+'A) Base RI'!T247</f>
        <v>960</v>
      </c>
      <c r="AB247" s="14">
        <f>'A) Base RI'!U247</f>
        <v>3750</v>
      </c>
      <c r="AC247" s="14">
        <f>'A) Base RI'!V247</f>
        <v>0</v>
      </c>
      <c r="AD247" s="14">
        <f>'A) Base RI'!W247</f>
        <v>0</v>
      </c>
      <c r="AE247" s="14">
        <f>'A) Base RI'!Y247</f>
        <v>8122</v>
      </c>
      <c r="AF247" s="14">
        <f>'A) Base RI'!Z247</f>
        <v>0</v>
      </c>
      <c r="AG247" s="14">
        <f>'A) Base RI'!AA247</f>
        <v>49160</v>
      </c>
      <c r="AH247" s="14">
        <f>'A) Base RI'!AB247</f>
        <v>0</v>
      </c>
      <c r="AI247" s="14">
        <f>'A) Base RI'!AC247</f>
        <v>43372.1</v>
      </c>
      <c r="AJ247" s="14">
        <f>'A) Base RI'!AD247</f>
        <v>4061</v>
      </c>
      <c r="AK247" s="14">
        <f>'A) Base RI'!AE247</f>
        <v>0</v>
      </c>
      <c r="AL247" s="14">
        <f>'A) Base RI'!AF247</f>
        <v>0</v>
      </c>
      <c r="AM247" s="14">
        <f>'A) Base RI'!AG247</f>
        <v>84071.5</v>
      </c>
      <c r="AN247" s="14">
        <f>'A) Base RI'!AH247</f>
        <v>0</v>
      </c>
      <c r="AO247" s="14">
        <f>'A) Base RI'!AI247</f>
        <v>16423.099999999999</v>
      </c>
      <c r="AP247" s="14">
        <f>'A) Base RI'!AJ247</f>
        <v>0</v>
      </c>
      <c r="AQ247" s="14">
        <f>'A) Base RI'!AK247</f>
        <v>0</v>
      </c>
      <c r="AR247" s="14">
        <f>'A) Base RI'!AN247</f>
        <v>430</v>
      </c>
    </row>
    <row r="248" spans="1:44" x14ac:dyDescent="0.25">
      <c r="A248" s="12">
        <f>'A) Base RI'!A248</f>
        <v>5816</v>
      </c>
      <c r="B248" s="42" t="str">
        <f>'A) Base RI'!B248</f>
        <v>Corcelles-près-Payerne</v>
      </c>
      <c r="C248" s="14">
        <f>'A) Base RI'!C248+'A) Base RI'!D248</f>
        <v>3003278.4499999997</v>
      </c>
      <c r="D248" s="14">
        <f>'A) Base RI'!AO248</f>
        <v>-199731.88</v>
      </c>
      <c r="E248" s="41">
        <f>'A) Base RI'!AP248</f>
        <v>0</v>
      </c>
      <c r="F248" s="41">
        <f>'A) Base RI'!AQ248</f>
        <v>-10.87</v>
      </c>
      <c r="G248" s="4">
        <f t="shared" si="18"/>
        <v>2803535.6999999997</v>
      </c>
      <c r="H248" s="14">
        <f>'A) Base RI'!E248</f>
        <v>0</v>
      </c>
      <c r="I248" s="14">
        <f>'A) Base RI'!F248</f>
        <v>0</v>
      </c>
      <c r="J248" s="14">
        <f>'A) Base RI'!G248+'A) Base RI'!H248</f>
        <v>426686.2</v>
      </c>
      <c r="K248" s="14">
        <f>'A) Base RI'!I248</f>
        <v>0</v>
      </c>
      <c r="L248" s="14">
        <f>'A) Base RI'!J248</f>
        <v>156592.57</v>
      </c>
      <c r="M248" s="14">
        <f>'A) Base RI'!K248</f>
        <v>2977</v>
      </c>
      <c r="N248" s="14">
        <f>'A) Base RI'!Q248</f>
        <v>145949.46</v>
      </c>
      <c r="O248" s="14">
        <f t="shared" si="19"/>
        <v>276918.85714285716</v>
      </c>
      <c r="P248" s="14">
        <f>'A) Base RI'!L248</f>
        <v>193843.20000000001</v>
      </c>
      <c r="Q248" s="44">
        <f>'A) Base RI'!AR248</f>
        <v>0.7</v>
      </c>
      <c r="R248" s="4">
        <f t="shared" si="20"/>
        <v>3812659.787142857</v>
      </c>
      <c r="S248" s="43">
        <f>'A) Base RI'!AM248</f>
        <v>72</v>
      </c>
      <c r="T248" s="4">
        <f t="shared" si="21"/>
        <v>3532763.9299999997</v>
      </c>
      <c r="U248" s="4">
        <f t="shared" si="22"/>
        <v>52953.608154761903</v>
      </c>
      <c r="V248" s="14">
        <f>'A) Base RI'!O248</f>
        <v>72343.8</v>
      </c>
      <c r="W248" s="14">
        <f>'A) Base RI'!P248</f>
        <v>259257.65</v>
      </c>
      <c r="X248" s="14">
        <f>'A) Base RI'!R248</f>
        <v>144862.65</v>
      </c>
      <c r="Y248" s="4">
        <f t="shared" si="23"/>
        <v>476464.1</v>
      </c>
      <c r="Z248" s="14">
        <f>'A) Base RI'!N248</f>
        <v>7755.25</v>
      </c>
      <c r="AA248" s="14">
        <f>'A) Base RI'!S248+'A) Base RI'!T248</f>
        <v>6725</v>
      </c>
      <c r="AB248" s="14">
        <f>'A) Base RI'!U248</f>
        <v>7950</v>
      </c>
      <c r="AC248" s="14">
        <f>'A) Base RI'!V248</f>
        <v>0</v>
      </c>
      <c r="AD248" s="14">
        <f>'A) Base RI'!W248</f>
        <v>0</v>
      </c>
      <c r="AE248" s="14">
        <f>'A) Base RI'!Y248</f>
        <v>103253.3</v>
      </c>
      <c r="AF248" s="14">
        <f>'A) Base RI'!Z248</f>
        <v>0</v>
      </c>
      <c r="AG248" s="14">
        <f>'A) Base RI'!AA248</f>
        <v>438797.85</v>
      </c>
      <c r="AH248" s="14">
        <f>'A) Base RI'!AB248</f>
        <v>0</v>
      </c>
      <c r="AI248" s="14">
        <f>'A) Base RI'!AC248</f>
        <v>144344.25</v>
      </c>
      <c r="AJ248" s="14">
        <f>'A) Base RI'!AD248</f>
        <v>54069.2</v>
      </c>
      <c r="AK248" s="14">
        <f>'A) Base RI'!AE248</f>
        <v>0</v>
      </c>
      <c r="AL248" s="14">
        <f>'A) Base RI'!AF248</f>
        <v>0</v>
      </c>
      <c r="AM248" s="14">
        <f>'A) Base RI'!AG248</f>
        <v>0</v>
      </c>
      <c r="AN248" s="14">
        <f>'A) Base RI'!AH248</f>
        <v>0</v>
      </c>
      <c r="AO248" s="14">
        <f>'A) Base RI'!AI248</f>
        <v>0</v>
      </c>
      <c r="AP248" s="14">
        <f>'A) Base RI'!AJ248</f>
        <v>0</v>
      </c>
      <c r="AQ248" s="14">
        <f>'A) Base RI'!AK248</f>
        <v>0</v>
      </c>
      <c r="AR248" s="14">
        <f>'A) Base RI'!AN248</f>
        <v>2229</v>
      </c>
    </row>
    <row r="249" spans="1:44" x14ac:dyDescent="0.25">
      <c r="A249" s="12">
        <f>'A) Base RI'!A249</f>
        <v>5817</v>
      </c>
      <c r="B249" s="42" t="str">
        <f>'A) Base RI'!B249</f>
        <v>Grandcour</v>
      </c>
      <c r="C249" s="14">
        <f>'A) Base RI'!C249+'A) Base RI'!D249</f>
        <v>1491175.6400000001</v>
      </c>
      <c r="D249" s="14">
        <f>'A) Base RI'!AO249</f>
        <v>-9354.32</v>
      </c>
      <c r="E249" s="41">
        <f>'A) Base RI'!AP249</f>
        <v>0</v>
      </c>
      <c r="F249" s="41">
        <f>'A) Base RI'!AQ249</f>
        <v>-27.62</v>
      </c>
      <c r="G249" s="4">
        <f t="shared" si="18"/>
        <v>1481793.7</v>
      </c>
      <c r="H249" s="14">
        <f>'A) Base RI'!E249</f>
        <v>0</v>
      </c>
      <c r="I249" s="14">
        <f>'A) Base RI'!F249</f>
        <v>4740</v>
      </c>
      <c r="J249" s="14">
        <f>'A) Base RI'!G249+'A) Base RI'!H249</f>
        <v>44897.25</v>
      </c>
      <c r="K249" s="14">
        <f>'A) Base RI'!I249</f>
        <v>0</v>
      </c>
      <c r="L249" s="14">
        <f>'A) Base RI'!J249</f>
        <v>23848.21</v>
      </c>
      <c r="M249" s="14">
        <f>'A) Base RI'!K249</f>
        <v>3299.5</v>
      </c>
      <c r="N249" s="14">
        <f>'A) Base RI'!Q249</f>
        <v>4131.72</v>
      </c>
      <c r="O249" s="14">
        <f t="shared" si="19"/>
        <v>98504.9</v>
      </c>
      <c r="P249" s="14">
        <f>'A) Base RI'!L249</f>
        <v>98504.9</v>
      </c>
      <c r="Q249" s="44">
        <f>'A) Base RI'!AR249</f>
        <v>1</v>
      </c>
      <c r="R249" s="4">
        <f t="shared" si="20"/>
        <v>1661215.2799999998</v>
      </c>
      <c r="S249" s="43">
        <f>'A) Base RI'!AM249</f>
        <v>79.5</v>
      </c>
      <c r="T249" s="4">
        <f t="shared" si="21"/>
        <v>1554670.88</v>
      </c>
      <c r="U249" s="4">
        <f t="shared" si="22"/>
        <v>20895.78968553459</v>
      </c>
      <c r="V249" s="14">
        <f>'A) Base RI'!O249</f>
        <v>2584</v>
      </c>
      <c r="W249" s="14">
        <f>'A) Base RI'!P249</f>
        <v>49422.85</v>
      </c>
      <c r="X249" s="14">
        <f>'A) Base RI'!R249</f>
        <v>28132.2</v>
      </c>
      <c r="Y249" s="4">
        <f t="shared" si="23"/>
        <v>80139.05</v>
      </c>
      <c r="Z249" s="14">
        <f>'A) Base RI'!N249</f>
        <v>0</v>
      </c>
      <c r="AA249" s="14">
        <f>'A) Base RI'!S249+'A) Base RI'!T249</f>
        <v>125</v>
      </c>
      <c r="AB249" s="14">
        <f>'A) Base RI'!U249</f>
        <v>5475</v>
      </c>
      <c r="AC249" s="14">
        <f>'A) Base RI'!V249</f>
        <v>0</v>
      </c>
      <c r="AD249" s="14">
        <f>'A) Base RI'!W249</f>
        <v>0</v>
      </c>
      <c r="AE249" s="14">
        <f>'A) Base RI'!Y249</f>
        <v>53378.7</v>
      </c>
      <c r="AF249" s="14">
        <f>'A) Base RI'!Z249</f>
        <v>0</v>
      </c>
      <c r="AG249" s="14">
        <f>'A) Base RI'!AA249</f>
        <v>234584.4</v>
      </c>
      <c r="AH249" s="14">
        <f>'A) Base RI'!AB249</f>
        <v>0</v>
      </c>
      <c r="AI249" s="14">
        <f>'A) Base RI'!AC249</f>
        <v>70144.600000000006</v>
      </c>
      <c r="AJ249" s="14">
        <f>'A) Base RI'!AD249</f>
        <v>20178.5</v>
      </c>
      <c r="AK249" s="14">
        <f>'A) Base RI'!AE249</f>
        <v>0</v>
      </c>
      <c r="AL249" s="14">
        <f>'A) Base RI'!AF249</f>
        <v>0</v>
      </c>
      <c r="AM249" s="14">
        <f>'A) Base RI'!AG249</f>
        <v>0</v>
      </c>
      <c r="AN249" s="14">
        <f>'A) Base RI'!AH249</f>
        <v>13136</v>
      </c>
      <c r="AO249" s="14">
        <f>'A) Base RI'!AI249</f>
        <v>0</v>
      </c>
      <c r="AP249" s="14">
        <f>'A) Base RI'!AJ249</f>
        <v>0</v>
      </c>
      <c r="AQ249" s="14">
        <f>'A) Base RI'!AK249</f>
        <v>0</v>
      </c>
      <c r="AR249" s="14">
        <f>'A) Base RI'!AN249</f>
        <v>856</v>
      </c>
    </row>
    <row r="250" spans="1:44" x14ac:dyDescent="0.25">
      <c r="A250" s="12">
        <f>'A) Base RI'!A250</f>
        <v>5819</v>
      </c>
      <c r="B250" s="42" t="str">
        <f>'A) Base RI'!B250</f>
        <v>Henniez</v>
      </c>
      <c r="C250" s="14">
        <f>'A) Base RI'!C250+'A) Base RI'!D250</f>
        <v>563897.81000000006</v>
      </c>
      <c r="D250" s="14">
        <f>'A) Base RI'!AO250</f>
        <v>-14156.45</v>
      </c>
      <c r="E250" s="41">
        <f>'A) Base RI'!AP250</f>
        <v>0</v>
      </c>
      <c r="F250" s="41">
        <f>'A) Base RI'!AQ250</f>
        <v>-8.31</v>
      </c>
      <c r="G250" s="4">
        <f t="shared" si="18"/>
        <v>549733.05000000005</v>
      </c>
      <c r="H250" s="14">
        <f>'A) Base RI'!E250</f>
        <v>0</v>
      </c>
      <c r="I250" s="14">
        <f>'A) Base RI'!F250</f>
        <v>0</v>
      </c>
      <c r="J250" s="14">
        <f>'A) Base RI'!G250+'A) Base RI'!H250</f>
        <v>228966.85</v>
      </c>
      <c r="K250" s="14">
        <f>'A) Base RI'!I250</f>
        <v>0</v>
      </c>
      <c r="L250" s="14">
        <f>'A) Base RI'!J250</f>
        <v>23475.03</v>
      </c>
      <c r="M250" s="14">
        <f>'A) Base RI'!K250</f>
        <v>1534.5</v>
      </c>
      <c r="N250" s="14">
        <f>'A) Base RI'!Q250</f>
        <v>2077.54</v>
      </c>
      <c r="O250" s="14">
        <f t="shared" si="19"/>
        <v>72380.649999999994</v>
      </c>
      <c r="P250" s="14">
        <f>'A) Base RI'!L250</f>
        <v>72380.649999999994</v>
      </c>
      <c r="Q250" s="44">
        <f>'A) Base RI'!AR250</f>
        <v>1</v>
      </c>
      <c r="R250" s="4">
        <f t="shared" si="20"/>
        <v>878167.62000000011</v>
      </c>
      <c r="S250" s="43">
        <f>'A) Base RI'!AM250</f>
        <v>67</v>
      </c>
      <c r="T250" s="4">
        <f t="shared" si="21"/>
        <v>804252.47000000009</v>
      </c>
      <c r="U250" s="4">
        <f t="shared" si="22"/>
        <v>13106.979402985076</v>
      </c>
      <c r="V250" s="14">
        <f>'A) Base RI'!O250</f>
        <v>1734</v>
      </c>
      <c r="W250" s="14">
        <f>'A) Base RI'!P250</f>
        <v>23661</v>
      </c>
      <c r="X250" s="14">
        <f>'A) Base RI'!R250</f>
        <v>11709.65</v>
      </c>
      <c r="Y250" s="4">
        <f t="shared" si="23"/>
        <v>37104.65</v>
      </c>
      <c r="Z250" s="14">
        <f>'A) Base RI'!N250</f>
        <v>21737.15</v>
      </c>
      <c r="AA250" s="14">
        <f>'A) Base RI'!S250+'A) Base RI'!T250</f>
        <v>0</v>
      </c>
      <c r="AB250" s="14">
        <f>'A) Base RI'!U250</f>
        <v>750</v>
      </c>
      <c r="AC250" s="14">
        <f>'A) Base RI'!V250</f>
        <v>0</v>
      </c>
      <c r="AD250" s="14">
        <f>'A) Base RI'!W250</f>
        <v>0</v>
      </c>
      <c r="AE250" s="14">
        <f>'A) Base RI'!Y250</f>
        <v>12500</v>
      </c>
      <c r="AF250" s="14">
        <f>'A) Base RI'!Z250</f>
        <v>0</v>
      </c>
      <c r="AG250" s="14">
        <f>'A) Base RI'!AA250</f>
        <v>15348.8</v>
      </c>
      <c r="AH250" s="14">
        <f>'A) Base RI'!AB250</f>
        <v>0</v>
      </c>
      <c r="AI250" s="14">
        <f>'A) Base RI'!AC250</f>
        <v>31230.799999999999</v>
      </c>
      <c r="AJ250" s="14">
        <f>'A) Base RI'!AD250</f>
        <v>5300</v>
      </c>
      <c r="AK250" s="14">
        <f>'A) Base RI'!AE250</f>
        <v>0</v>
      </c>
      <c r="AL250" s="14">
        <f>'A) Base RI'!AF250</f>
        <v>0</v>
      </c>
      <c r="AM250" s="14">
        <f>'A) Base RI'!AG250</f>
        <v>0</v>
      </c>
      <c r="AN250" s="14">
        <f>'A) Base RI'!AH250</f>
        <v>0</v>
      </c>
      <c r="AO250" s="14">
        <f>'A) Base RI'!AI250</f>
        <v>0</v>
      </c>
      <c r="AP250" s="14">
        <f>'A) Base RI'!AJ250</f>
        <v>0</v>
      </c>
      <c r="AQ250" s="14">
        <f>'A) Base RI'!AK250</f>
        <v>0</v>
      </c>
      <c r="AR250" s="14">
        <f>'A) Base RI'!AN250</f>
        <v>339</v>
      </c>
    </row>
    <row r="251" spans="1:44" x14ac:dyDescent="0.25">
      <c r="A251" s="12">
        <f>'A) Base RI'!A251</f>
        <v>5821</v>
      </c>
      <c r="B251" s="42" t="str">
        <f>'A) Base RI'!B251</f>
        <v>Missy</v>
      </c>
      <c r="C251" s="14">
        <f>'A) Base RI'!C251+'A) Base RI'!D251</f>
        <v>494274.83999999997</v>
      </c>
      <c r="D251" s="14">
        <f>'A) Base RI'!AO251</f>
        <v>-35295.67</v>
      </c>
      <c r="E251" s="41">
        <f>'A) Base RI'!AP251</f>
        <v>0</v>
      </c>
      <c r="F251" s="41">
        <f>'A) Base RI'!AQ251</f>
        <v>0</v>
      </c>
      <c r="G251" s="4">
        <f t="shared" si="18"/>
        <v>458979.17</v>
      </c>
      <c r="H251" s="14">
        <f>'A) Base RI'!E251</f>
        <v>0</v>
      </c>
      <c r="I251" s="14">
        <f>'A) Base RI'!F251</f>
        <v>0</v>
      </c>
      <c r="J251" s="14">
        <f>'A) Base RI'!G251+'A) Base RI'!H251</f>
        <v>5310.85</v>
      </c>
      <c r="K251" s="14">
        <f>'A) Base RI'!I251</f>
        <v>0</v>
      </c>
      <c r="L251" s="14">
        <f>'A) Base RI'!J251</f>
        <v>22945.02</v>
      </c>
      <c r="M251" s="14">
        <f>'A) Base RI'!K251</f>
        <v>1306.5</v>
      </c>
      <c r="N251" s="14">
        <f>'A) Base RI'!Q251</f>
        <v>-2655.73</v>
      </c>
      <c r="O251" s="14">
        <f t="shared" si="19"/>
        <v>40708.300000000003</v>
      </c>
      <c r="P251" s="14">
        <f>'A) Base RI'!L251</f>
        <v>40708.300000000003</v>
      </c>
      <c r="Q251" s="44">
        <f>'A) Base RI'!AR251</f>
        <v>1</v>
      </c>
      <c r="R251" s="4">
        <f t="shared" si="20"/>
        <v>526594.11</v>
      </c>
      <c r="S251" s="43">
        <f>'A) Base RI'!AM251</f>
        <v>72</v>
      </c>
      <c r="T251" s="4">
        <f t="shared" si="21"/>
        <v>484579.31</v>
      </c>
      <c r="U251" s="4">
        <f t="shared" si="22"/>
        <v>7313.8070833333331</v>
      </c>
      <c r="V251" s="14">
        <f>'A) Base RI'!O251</f>
        <v>63755.4</v>
      </c>
      <c r="W251" s="14">
        <f>'A) Base RI'!P251</f>
        <v>16148.8</v>
      </c>
      <c r="X251" s="14">
        <f>'A) Base RI'!R251</f>
        <v>17238.099999999999</v>
      </c>
      <c r="Y251" s="4">
        <f t="shared" si="23"/>
        <v>97142.299999999988</v>
      </c>
      <c r="Z251" s="14">
        <f>'A) Base RI'!N251</f>
        <v>0</v>
      </c>
      <c r="AA251" s="14">
        <f>'A) Base RI'!S251+'A) Base RI'!T251</f>
        <v>0</v>
      </c>
      <c r="AB251" s="14">
        <f>'A) Base RI'!U251</f>
        <v>3150</v>
      </c>
      <c r="AC251" s="14">
        <f>'A) Base RI'!V251</f>
        <v>0</v>
      </c>
      <c r="AD251" s="14">
        <f>'A) Base RI'!W251</f>
        <v>0</v>
      </c>
      <c r="AE251" s="14">
        <f>'A) Base RI'!Y251</f>
        <v>17970</v>
      </c>
      <c r="AF251" s="14">
        <f>'A) Base RI'!Z251</f>
        <v>0</v>
      </c>
      <c r="AG251" s="14">
        <f>'A) Base RI'!AA251</f>
        <v>52137.5</v>
      </c>
      <c r="AH251" s="14">
        <f>'A) Base RI'!AB251</f>
        <v>0</v>
      </c>
      <c r="AI251" s="14">
        <f>'A) Base RI'!AC251</f>
        <v>28765.1</v>
      </c>
      <c r="AJ251" s="14">
        <f>'A) Base RI'!AD251</f>
        <v>27755.35</v>
      </c>
      <c r="AK251" s="14">
        <f>'A) Base RI'!AE251</f>
        <v>0</v>
      </c>
      <c r="AL251" s="14">
        <f>'A) Base RI'!AF251</f>
        <v>0</v>
      </c>
      <c r="AM251" s="14">
        <f>'A) Base RI'!AG251</f>
        <v>0</v>
      </c>
      <c r="AN251" s="14">
        <f>'A) Base RI'!AH251</f>
        <v>7819.85</v>
      </c>
      <c r="AO251" s="14">
        <f>'A) Base RI'!AI251</f>
        <v>0</v>
      </c>
      <c r="AP251" s="14">
        <f>'A) Base RI'!AJ251</f>
        <v>72.75</v>
      </c>
      <c r="AQ251" s="14">
        <f>'A) Base RI'!AK251</f>
        <v>0</v>
      </c>
      <c r="AR251" s="14">
        <f>'A) Base RI'!AN251</f>
        <v>350</v>
      </c>
    </row>
    <row r="252" spans="1:44" x14ac:dyDescent="0.25">
      <c r="A252" s="12">
        <f>'A) Base RI'!A252</f>
        <v>5822</v>
      </c>
      <c r="B252" s="42" t="str">
        <f>'A) Base RI'!B252</f>
        <v>Payerne</v>
      </c>
      <c r="C252" s="14">
        <f>'A) Base RI'!C252+'A) Base RI'!D252</f>
        <v>13549927.23</v>
      </c>
      <c r="D252" s="14">
        <f>'A) Base RI'!AO252</f>
        <v>-672577.71</v>
      </c>
      <c r="E252" s="41">
        <f>'A) Base RI'!AP252</f>
        <v>0</v>
      </c>
      <c r="F252" s="41">
        <f>'A) Base RI'!AQ252</f>
        <v>-400.05</v>
      </c>
      <c r="G252" s="4">
        <f t="shared" si="18"/>
        <v>12876949.469999999</v>
      </c>
      <c r="H252" s="14">
        <f>'A) Base RI'!E252</f>
        <v>0</v>
      </c>
      <c r="I252" s="14">
        <f>'A) Base RI'!F252</f>
        <v>0</v>
      </c>
      <c r="J252" s="14">
        <f>'A) Base RI'!G252+'A) Base RI'!H252</f>
        <v>1826677.25</v>
      </c>
      <c r="K252" s="14">
        <f>'A) Base RI'!I252</f>
        <v>0</v>
      </c>
      <c r="L252" s="14">
        <f>'A) Base RI'!J252</f>
        <v>678510.52</v>
      </c>
      <c r="M252" s="14">
        <f>'A) Base RI'!K252</f>
        <v>146425.5</v>
      </c>
      <c r="N252" s="14">
        <f>'A) Base RI'!Q252</f>
        <v>116187.35</v>
      </c>
      <c r="O252" s="14">
        <f t="shared" si="19"/>
        <v>1188663.05</v>
      </c>
      <c r="P252" s="14">
        <f>'A) Base RI'!L252</f>
        <v>1188663.05</v>
      </c>
      <c r="Q252" s="44">
        <f>'A) Base RI'!AR252</f>
        <v>1</v>
      </c>
      <c r="R252" s="4">
        <f t="shared" si="20"/>
        <v>16833413.139999997</v>
      </c>
      <c r="S252" s="43">
        <f>'A) Base RI'!AM252</f>
        <v>75</v>
      </c>
      <c r="T252" s="4">
        <f t="shared" si="21"/>
        <v>15498324.589999998</v>
      </c>
      <c r="U252" s="4">
        <f t="shared" si="22"/>
        <v>224445.50853333328</v>
      </c>
      <c r="V252" s="14">
        <f>'A) Base RI'!O252</f>
        <v>124887.6</v>
      </c>
      <c r="W252" s="14">
        <f>'A) Base RI'!P252</f>
        <v>809056.95</v>
      </c>
      <c r="X252" s="14">
        <f>'A) Base RI'!R252</f>
        <v>407033.35</v>
      </c>
      <c r="Y252" s="4">
        <f t="shared" si="23"/>
        <v>1340977.8999999999</v>
      </c>
      <c r="Z252" s="14">
        <f>'A) Base RI'!N252</f>
        <v>48080.9</v>
      </c>
      <c r="AA252" s="14">
        <f>'A) Base RI'!S252+'A) Base RI'!T252</f>
        <v>101617.95</v>
      </c>
      <c r="AB252" s="14">
        <f>'A) Base RI'!U252</f>
        <v>17950</v>
      </c>
      <c r="AC252" s="14">
        <f>'A) Base RI'!V252</f>
        <v>64896.7</v>
      </c>
      <c r="AD252" s="14">
        <f>'A) Base RI'!W252</f>
        <v>0</v>
      </c>
      <c r="AE252" s="14">
        <f>'A) Base RI'!Y252</f>
        <v>572946.5</v>
      </c>
      <c r="AF252" s="14">
        <f>'A) Base RI'!Z252</f>
        <v>0</v>
      </c>
      <c r="AG252" s="14">
        <f>'A) Base RI'!AA252</f>
        <v>2198806.2999999998</v>
      </c>
      <c r="AH252" s="14">
        <f>'A) Base RI'!AB252</f>
        <v>0</v>
      </c>
      <c r="AI252" s="14">
        <f>'A) Base RI'!AC252</f>
        <v>0</v>
      </c>
      <c r="AJ252" s="14">
        <f>'A) Base RI'!AD252</f>
        <v>1151126.79</v>
      </c>
      <c r="AK252" s="14">
        <f>'A) Base RI'!AE252</f>
        <v>152289.35</v>
      </c>
      <c r="AL252" s="14">
        <f>'A) Base RI'!AF252</f>
        <v>0</v>
      </c>
      <c r="AM252" s="14">
        <f>'A) Base RI'!AG252</f>
        <v>1590</v>
      </c>
      <c r="AN252" s="14">
        <f>'A) Base RI'!AH252</f>
        <v>0</v>
      </c>
      <c r="AO252" s="14">
        <f>'A) Base RI'!AI252</f>
        <v>0</v>
      </c>
      <c r="AP252" s="14">
        <f>'A) Base RI'!AJ252</f>
        <v>0</v>
      </c>
      <c r="AQ252" s="14">
        <f>'A) Base RI'!AK252</f>
        <v>0</v>
      </c>
      <c r="AR252" s="14">
        <f>'A) Base RI'!AN252</f>
        <v>9302</v>
      </c>
    </row>
    <row r="253" spans="1:44" x14ac:dyDescent="0.25">
      <c r="A253" s="12">
        <f>'A) Base RI'!A253</f>
        <v>5827</v>
      </c>
      <c r="B253" s="42" t="str">
        <f>'A) Base RI'!B253</f>
        <v>Trey</v>
      </c>
      <c r="C253" s="14">
        <f>'A) Base RI'!C253+'A) Base RI'!D253</f>
        <v>469473.01</v>
      </c>
      <c r="D253" s="14">
        <f>'A) Base RI'!AO253</f>
        <v>-11268.8</v>
      </c>
      <c r="E253" s="41">
        <f>'A) Base RI'!AP253</f>
        <v>0</v>
      </c>
      <c r="F253" s="41">
        <f>'A) Base RI'!AQ253</f>
        <v>-9.5399999999999991</v>
      </c>
      <c r="G253" s="4">
        <f t="shared" si="18"/>
        <v>458194.67000000004</v>
      </c>
      <c r="H253" s="14">
        <f>'A) Base RI'!E253</f>
        <v>0</v>
      </c>
      <c r="I253" s="14">
        <f>'A) Base RI'!F253</f>
        <v>1340</v>
      </c>
      <c r="J253" s="14">
        <f>'A) Base RI'!G253+'A) Base RI'!H253</f>
        <v>24424.400000000001</v>
      </c>
      <c r="K253" s="14">
        <f>'A) Base RI'!I253</f>
        <v>0</v>
      </c>
      <c r="L253" s="14">
        <f>'A) Base RI'!J253</f>
        <v>5080.47</v>
      </c>
      <c r="M253" s="14">
        <f>'A) Base RI'!K253</f>
        <v>141</v>
      </c>
      <c r="N253" s="14">
        <f>'A) Base RI'!Q253</f>
        <v>2196.1999999999998</v>
      </c>
      <c r="O253" s="14">
        <f t="shared" si="19"/>
        <v>32169.95</v>
      </c>
      <c r="P253" s="14">
        <f>'A) Base RI'!L253</f>
        <v>32169.95</v>
      </c>
      <c r="Q253" s="44">
        <f>'A) Base RI'!AR253</f>
        <v>1</v>
      </c>
      <c r="R253" s="4">
        <f t="shared" si="20"/>
        <v>523546.69000000006</v>
      </c>
      <c r="S253" s="43">
        <f>'A) Base RI'!AM253</f>
        <v>80</v>
      </c>
      <c r="T253" s="4">
        <f t="shared" si="21"/>
        <v>489895.74000000005</v>
      </c>
      <c r="U253" s="4">
        <f t="shared" si="22"/>
        <v>6544.3336250000011</v>
      </c>
      <c r="V253" s="14">
        <f>'A) Base RI'!O253</f>
        <v>0</v>
      </c>
      <c r="W253" s="14">
        <f>'A) Base RI'!P253</f>
        <v>25559.8</v>
      </c>
      <c r="X253" s="14">
        <f>'A) Base RI'!R253</f>
        <v>20130</v>
      </c>
      <c r="Y253" s="4">
        <f t="shared" si="23"/>
        <v>45689.8</v>
      </c>
      <c r="Z253" s="14">
        <f>'A) Base RI'!N253</f>
        <v>10533.4</v>
      </c>
      <c r="AA253" s="14">
        <f>'A) Base RI'!S253+'A) Base RI'!T253</f>
        <v>0</v>
      </c>
      <c r="AB253" s="14">
        <f>'A) Base RI'!U253</f>
        <v>1700</v>
      </c>
      <c r="AC253" s="14">
        <f>'A) Base RI'!V253</f>
        <v>0</v>
      </c>
      <c r="AD253" s="14">
        <f>'A) Base RI'!W253</f>
        <v>0</v>
      </c>
      <c r="AE253" s="14">
        <f>'A) Base RI'!Y253</f>
        <v>0</v>
      </c>
      <c r="AF253" s="14">
        <f>'A) Base RI'!Z253</f>
        <v>0</v>
      </c>
      <c r="AG253" s="14">
        <f>'A) Base RI'!AA253</f>
        <v>43178.6</v>
      </c>
      <c r="AH253" s="14">
        <f>'A) Base RI'!AB253</f>
        <v>0</v>
      </c>
      <c r="AI253" s="14">
        <f>'A) Base RI'!AC253</f>
        <v>13090</v>
      </c>
      <c r="AJ253" s="14">
        <f>'A) Base RI'!AD253</f>
        <v>0</v>
      </c>
      <c r="AK253" s="14">
        <f>'A) Base RI'!AE253</f>
        <v>0</v>
      </c>
      <c r="AL253" s="14">
        <f>'A) Base RI'!AF253</f>
        <v>0</v>
      </c>
      <c r="AM253" s="14">
        <f>'A) Base RI'!AG253</f>
        <v>0</v>
      </c>
      <c r="AN253" s="14">
        <f>'A) Base RI'!AH253</f>
        <v>0</v>
      </c>
      <c r="AO253" s="14">
        <f>'A) Base RI'!AI253</f>
        <v>0</v>
      </c>
      <c r="AP253" s="14">
        <f>'A) Base RI'!AJ253</f>
        <v>0</v>
      </c>
      <c r="AQ253" s="14">
        <f>'A) Base RI'!AK253</f>
        <v>0</v>
      </c>
      <c r="AR253" s="14">
        <f>'A) Base RI'!AN253</f>
        <v>255</v>
      </c>
    </row>
    <row r="254" spans="1:44" x14ac:dyDescent="0.25">
      <c r="A254" s="12">
        <f>'A) Base RI'!A254</f>
        <v>5828</v>
      </c>
      <c r="B254" s="42" t="str">
        <f>'A) Base RI'!B254</f>
        <v>Treytorrens (Payerne)</v>
      </c>
      <c r="C254" s="14">
        <f>'A) Base RI'!C254+'A) Base RI'!D254</f>
        <v>167376.93</v>
      </c>
      <c r="D254" s="14">
        <f>'A) Base RI'!AO254</f>
        <v>-4086.27</v>
      </c>
      <c r="E254" s="41">
        <f>'A) Base RI'!AP254</f>
        <v>0</v>
      </c>
      <c r="F254" s="41">
        <f>'A) Base RI'!AQ254</f>
        <v>-0.08</v>
      </c>
      <c r="G254" s="4">
        <f t="shared" si="18"/>
        <v>163290.58000000002</v>
      </c>
      <c r="H254" s="14">
        <f>'A) Base RI'!E254</f>
        <v>0</v>
      </c>
      <c r="I254" s="14">
        <f>'A) Base RI'!F254</f>
        <v>0</v>
      </c>
      <c r="J254" s="14">
        <f>'A) Base RI'!G254+'A) Base RI'!H254</f>
        <v>448.55</v>
      </c>
      <c r="K254" s="14">
        <f>'A) Base RI'!I254</f>
        <v>0</v>
      </c>
      <c r="L254" s="14">
        <f>'A) Base RI'!J254</f>
        <v>2077.92</v>
      </c>
      <c r="M254" s="14">
        <f>'A) Base RI'!K254</f>
        <v>0</v>
      </c>
      <c r="N254" s="14">
        <f>'A) Base RI'!Q254</f>
        <v>0</v>
      </c>
      <c r="O254" s="14">
        <f t="shared" si="19"/>
        <v>13650.366666666667</v>
      </c>
      <c r="P254" s="14">
        <f>'A) Base RI'!L254</f>
        <v>20475.55</v>
      </c>
      <c r="Q254" s="44">
        <f>'A) Base RI'!AR254</f>
        <v>1.5</v>
      </c>
      <c r="R254" s="4">
        <f t="shared" si="20"/>
        <v>179467.41666666669</v>
      </c>
      <c r="S254" s="43">
        <f>'A) Base RI'!AM254</f>
        <v>84</v>
      </c>
      <c r="T254" s="4">
        <f t="shared" si="21"/>
        <v>165817.05000000002</v>
      </c>
      <c r="U254" s="4">
        <f t="shared" si="22"/>
        <v>2136.5168650793653</v>
      </c>
      <c r="V254" s="14">
        <f>'A) Base RI'!O254</f>
        <v>0</v>
      </c>
      <c r="W254" s="14">
        <f>'A) Base RI'!P254</f>
        <v>6712.8</v>
      </c>
      <c r="X254" s="14">
        <f>'A) Base RI'!R254</f>
        <v>9585.4500000000007</v>
      </c>
      <c r="Y254" s="4">
        <f t="shared" si="23"/>
        <v>16298.25</v>
      </c>
      <c r="Z254" s="14">
        <f>'A) Base RI'!N254</f>
        <v>0</v>
      </c>
      <c r="AA254" s="14">
        <f>'A) Base RI'!S254+'A) Base RI'!T254</f>
        <v>0</v>
      </c>
      <c r="AB254" s="14">
        <f>'A) Base RI'!U254</f>
        <v>580</v>
      </c>
      <c r="AC254" s="14">
        <f>'A) Base RI'!V254</f>
        <v>0</v>
      </c>
      <c r="AD254" s="14">
        <f>'A) Base RI'!W254</f>
        <v>0</v>
      </c>
      <c r="AE254" s="14">
        <f>'A) Base RI'!Y254</f>
        <v>0</v>
      </c>
      <c r="AF254" s="14">
        <f>'A) Base RI'!Z254</f>
        <v>0</v>
      </c>
      <c r="AG254" s="14">
        <f>'A) Base RI'!AA254</f>
        <v>18980</v>
      </c>
      <c r="AH254" s="14">
        <f>'A) Base RI'!AB254</f>
        <v>0</v>
      </c>
      <c r="AI254" s="14">
        <f>'A) Base RI'!AC254</f>
        <v>9584.2999999999993</v>
      </c>
      <c r="AJ254" s="14">
        <f>'A) Base RI'!AD254</f>
        <v>0</v>
      </c>
      <c r="AK254" s="14">
        <f>'A) Base RI'!AE254</f>
        <v>0</v>
      </c>
      <c r="AL254" s="14">
        <f>'A) Base RI'!AF254</f>
        <v>0</v>
      </c>
      <c r="AM254" s="14">
        <f>'A) Base RI'!AG254</f>
        <v>0</v>
      </c>
      <c r="AN254" s="14">
        <f>'A) Base RI'!AH254</f>
        <v>2994.8</v>
      </c>
      <c r="AO254" s="14">
        <f>'A) Base RI'!AI254</f>
        <v>0</v>
      </c>
      <c r="AP254" s="14">
        <f>'A) Base RI'!AJ254</f>
        <v>0</v>
      </c>
      <c r="AQ254" s="14">
        <f>'A) Base RI'!AK254</f>
        <v>0</v>
      </c>
      <c r="AR254" s="14">
        <f>'A) Base RI'!AN254</f>
        <v>124</v>
      </c>
    </row>
    <row r="255" spans="1:44" x14ac:dyDescent="0.25">
      <c r="A255" s="12">
        <f>'A) Base RI'!A255</f>
        <v>5830</v>
      </c>
      <c r="B255" s="42" t="str">
        <f>'A) Base RI'!B255</f>
        <v>Villarzel</v>
      </c>
      <c r="C255" s="14">
        <f>'A) Base RI'!C255+'A) Base RI'!D255</f>
        <v>743583.33</v>
      </c>
      <c r="D255" s="14">
        <f>'A) Base RI'!AO255</f>
        <v>-5952.52</v>
      </c>
      <c r="E255" s="41">
        <f>'A) Base RI'!AP255</f>
        <v>0</v>
      </c>
      <c r="F255" s="41">
        <f>'A) Base RI'!AQ255</f>
        <v>-1.1599999999999999</v>
      </c>
      <c r="G255" s="4">
        <f t="shared" si="18"/>
        <v>737629.64999999991</v>
      </c>
      <c r="H255" s="14">
        <f>'A) Base RI'!E255</f>
        <v>0</v>
      </c>
      <c r="I255" s="14">
        <f>'A) Base RI'!F255</f>
        <v>2460</v>
      </c>
      <c r="J255" s="14">
        <f>'A) Base RI'!G255+'A) Base RI'!H255</f>
        <v>2122.5</v>
      </c>
      <c r="K255" s="14">
        <f>'A) Base RI'!I255</f>
        <v>0</v>
      </c>
      <c r="L255" s="14">
        <f>'A) Base RI'!J255</f>
        <v>11864.11</v>
      </c>
      <c r="M255" s="14">
        <f>'A) Base RI'!K255</f>
        <v>1396.5</v>
      </c>
      <c r="N255" s="14">
        <f>'A) Base RI'!Q255</f>
        <v>2833.53</v>
      </c>
      <c r="O255" s="14">
        <f t="shared" si="19"/>
        <v>50415.25</v>
      </c>
      <c r="P255" s="14">
        <f>'A) Base RI'!L255</f>
        <v>50415.25</v>
      </c>
      <c r="Q255" s="44">
        <f>'A) Base RI'!AR255</f>
        <v>1</v>
      </c>
      <c r="R255" s="4">
        <f t="shared" si="20"/>
        <v>808721.53999999992</v>
      </c>
      <c r="S255" s="43">
        <f>'A) Base RI'!AM255</f>
        <v>79</v>
      </c>
      <c r="T255" s="4">
        <f t="shared" si="21"/>
        <v>754449.78999999992</v>
      </c>
      <c r="U255" s="4">
        <f t="shared" si="22"/>
        <v>10236.981518987341</v>
      </c>
      <c r="V255" s="14">
        <f>'A) Base RI'!O255</f>
        <v>0</v>
      </c>
      <c r="W255" s="14">
        <f>'A) Base RI'!P255</f>
        <v>22117.05</v>
      </c>
      <c r="X255" s="14">
        <f>'A) Base RI'!R255</f>
        <v>9342</v>
      </c>
      <c r="Y255" s="4">
        <f t="shared" si="23"/>
        <v>31459.05</v>
      </c>
      <c r="Z255" s="14">
        <f>'A) Base RI'!N255</f>
        <v>0</v>
      </c>
      <c r="AA255" s="14">
        <f>'A) Base RI'!S255+'A) Base RI'!T255</f>
        <v>0</v>
      </c>
      <c r="AB255" s="14">
        <f>'A) Base RI'!U255</f>
        <v>2910</v>
      </c>
      <c r="AC255" s="14">
        <f>'A) Base RI'!V255</f>
        <v>0</v>
      </c>
      <c r="AD255" s="14">
        <f>'A) Base RI'!W255</f>
        <v>0</v>
      </c>
      <c r="AE255" s="14">
        <f>'A) Base RI'!Y255</f>
        <v>43000</v>
      </c>
      <c r="AF255" s="14">
        <f>'A) Base RI'!Z255</f>
        <v>0</v>
      </c>
      <c r="AG255" s="14">
        <f>'A) Base RI'!AA255</f>
        <v>51961.2</v>
      </c>
      <c r="AH255" s="14">
        <f>'A) Base RI'!AB255</f>
        <v>0</v>
      </c>
      <c r="AI255" s="14">
        <f>'A) Base RI'!AC255</f>
        <v>28019.15</v>
      </c>
      <c r="AJ255" s="14">
        <f>'A) Base RI'!AD255</f>
        <v>14000</v>
      </c>
      <c r="AK255" s="14">
        <f>'A) Base RI'!AE255</f>
        <v>0</v>
      </c>
      <c r="AL255" s="14">
        <f>'A) Base RI'!AF255</f>
        <v>0</v>
      </c>
      <c r="AM255" s="14">
        <f>'A) Base RI'!AG255</f>
        <v>0</v>
      </c>
      <c r="AN255" s="14">
        <f>'A) Base RI'!AH255</f>
        <v>0</v>
      </c>
      <c r="AO255" s="14">
        <f>'A) Base RI'!AI255</f>
        <v>0</v>
      </c>
      <c r="AP255" s="14">
        <f>'A) Base RI'!AJ255</f>
        <v>0</v>
      </c>
      <c r="AQ255" s="14">
        <f>'A) Base RI'!AK255</f>
        <v>0</v>
      </c>
      <c r="AR255" s="14">
        <f>'A) Base RI'!AN255</f>
        <v>415</v>
      </c>
    </row>
    <row r="256" spans="1:44" x14ac:dyDescent="0.25">
      <c r="A256" s="12">
        <f>'A) Base RI'!A256</f>
        <v>5831</v>
      </c>
      <c r="B256" s="42" t="str">
        <f>'A) Base RI'!B256</f>
        <v>Valbroye</v>
      </c>
      <c r="C256" s="14">
        <f>'A) Base RI'!C256+'A) Base RI'!D256</f>
        <v>4659502.8499999996</v>
      </c>
      <c r="D256" s="14">
        <f>'A) Base RI'!AO256</f>
        <v>-69451.69</v>
      </c>
      <c r="E256" s="41">
        <f>'A) Base RI'!AP256</f>
        <v>0</v>
      </c>
      <c r="F256" s="41">
        <f>'A) Base RI'!AQ256</f>
        <v>-307.89</v>
      </c>
      <c r="G256" s="4">
        <f t="shared" si="18"/>
        <v>4589743.2699999996</v>
      </c>
      <c r="H256" s="14">
        <f>'A) Base RI'!E256</f>
        <v>0</v>
      </c>
      <c r="I256" s="14">
        <f>'A) Base RI'!F256</f>
        <v>0</v>
      </c>
      <c r="J256" s="14">
        <f>'A) Base RI'!G256+'A) Base RI'!H256</f>
        <v>544881.9</v>
      </c>
      <c r="K256" s="14">
        <f>'A) Base RI'!I256</f>
        <v>0</v>
      </c>
      <c r="L256" s="14">
        <f>'A) Base RI'!J256</f>
        <v>158558.10999999999</v>
      </c>
      <c r="M256" s="14">
        <f>'A) Base RI'!K256</f>
        <v>14554</v>
      </c>
      <c r="N256" s="14">
        <f>'A) Base RI'!Q256</f>
        <v>10214.52</v>
      </c>
      <c r="O256" s="14">
        <f t="shared" si="19"/>
        <v>378801.5</v>
      </c>
      <c r="P256" s="14">
        <f>'A) Base RI'!L256</f>
        <v>227280.9</v>
      </c>
      <c r="Q256" s="44">
        <f>'A) Base RI'!AR256</f>
        <v>0.6</v>
      </c>
      <c r="R256" s="4">
        <f t="shared" si="20"/>
        <v>5696753.2999999998</v>
      </c>
      <c r="S256" s="43">
        <f>'A) Base RI'!AM256</f>
        <v>73</v>
      </c>
      <c r="T256" s="4">
        <f t="shared" si="21"/>
        <v>5303397.8</v>
      </c>
      <c r="U256" s="4">
        <f t="shared" si="22"/>
        <v>78037.716438356161</v>
      </c>
      <c r="V256" s="14">
        <f>'A) Base RI'!O256</f>
        <v>20045.400000000001</v>
      </c>
      <c r="W256" s="14">
        <f>'A) Base RI'!P256</f>
        <v>118024.2</v>
      </c>
      <c r="X256" s="14">
        <f>'A) Base RI'!R256</f>
        <v>71420.55</v>
      </c>
      <c r="Y256" s="4">
        <f t="shared" si="23"/>
        <v>209490.15000000002</v>
      </c>
      <c r="Z256" s="14">
        <f>'A) Base RI'!N256</f>
        <v>15624.5</v>
      </c>
      <c r="AA256" s="14">
        <f>'A) Base RI'!S256+'A) Base RI'!T256</f>
        <v>800</v>
      </c>
      <c r="AB256" s="14">
        <f>'A) Base RI'!U256</f>
        <v>15700</v>
      </c>
      <c r="AC256" s="14">
        <f>'A) Base RI'!V256</f>
        <v>0</v>
      </c>
      <c r="AD256" s="14">
        <f>'A) Base RI'!W256</f>
        <v>0</v>
      </c>
      <c r="AE256" s="14">
        <f>'A) Base RI'!Y256</f>
        <v>421085</v>
      </c>
      <c r="AF256" s="14">
        <f>'A) Base RI'!Z256</f>
        <v>0</v>
      </c>
      <c r="AG256" s="14">
        <f>'A) Base RI'!AA256</f>
        <v>317378.40000000002</v>
      </c>
      <c r="AH256" s="14">
        <f>'A) Base RI'!AB256</f>
        <v>0</v>
      </c>
      <c r="AI256" s="14">
        <f>'A) Base RI'!AC256</f>
        <v>252863.92</v>
      </c>
      <c r="AJ256" s="14">
        <f>'A) Base RI'!AD256</f>
        <v>118828.5</v>
      </c>
      <c r="AK256" s="14">
        <f>'A) Base RI'!AE256</f>
        <v>0</v>
      </c>
      <c r="AL256" s="14">
        <f>'A) Base RI'!AF256</f>
        <v>0</v>
      </c>
      <c r="AM256" s="14">
        <f>'A) Base RI'!AG256</f>
        <v>0</v>
      </c>
      <c r="AN256" s="14">
        <f>'A) Base RI'!AH256</f>
        <v>144044.25</v>
      </c>
      <c r="AO256" s="14">
        <f>'A) Base RI'!AI256</f>
        <v>0</v>
      </c>
      <c r="AP256" s="14">
        <f>'A) Base RI'!AJ256</f>
        <v>0</v>
      </c>
      <c r="AQ256" s="14">
        <f>'A) Base RI'!AK256</f>
        <v>0</v>
      </c>
      <c r="AR256" s="14">
        <f>'A) Base RI'!AN256</f>
        <v>2960</v>
      </c>
    </row>
    <row r="257" spans="1:44" x14ac:dyDescent="0.25">
      <c r="A257" s="12">
        <f>'A) Base RI'!A257</f>
        <v>5841</v>
      </c>
      <c r="B257" s="42" t="str">
        <f>'A) Base RI'!B257</f>
        <v>Château-d'Oex</v>
      </c>
      <c r="C257" s="14">
        <f>'A) Base RI'!C257+'A) Base RI'!D257</f>
        <v>6743024.5800000001</v>
      </c>
      <c r="D257" s="14">
        <f>'A) Base RI'!AO257</f>
        <v>-60285.38</v>
      </c>
      <c r="E257" s="41">
        <f>'A) Base RI'!AP257</f>
        <v>0</v>
      </c>
      <c r="F257" s="41">
        <f>'A) Base RI'!AQ257</f>
        <v>-3389.2</v>
      </c>
      <c r="G257" s="4">
        <f t="shared" si="18"/>
        <v>6679350</v>
      </c>
      <c r="H257" s="14">
        <f>'A) Base RI'!E257</f>
        <v>0</v>
      </c>
      <c r="I257" s="14">
        <f>'A) Base RI'!F257</f>
        <v>0</v>
      </c>
      <c r="J257" s="14">
        <f>'A) Base RI'!G257+'A) Base RI'!H257</f>
        <v>530490.55000000005</v>
      </c>
      <c r="K257" s="14">
        <f>'A) Base RI'!I257</f>
        <v>402138.35</v>
      </c>
      <c r="L257" s="14">
        <f>'A) Base RI'!J257</f>
        <v>396476.08</v>
      </c>
      <c r="M257" s="14">
        <f>'A) Base RI'!K257</f>
        <v>21166</v>
      </c>
      <c r="N257" s="14">
        <f>'A) Base RI'!Q257</f>
        <v>15507.12</v>
      </c>
      <c r="O257" s="14">
        <f t="shared" si="19"/>
        <v>879507.96666666667</v>
      </c>
      <c r="P257" s="14">
        <f>'A) Base RI'!L257</f>
        <v>1319261.95</v>
      </c>
      <c r="Q257" s="44">
        <f>'A) Base RI'!AR257</f>
        <v>1.5</v>
      </c>
      <c r="R257" s="4">
        <f t="shared" si="20"/>
        <v>8924636.0666666664</v>
      </c>
      <c r="S257" s="43">
        <f>'A) Base RI'!AM257</f>
        <v>83</v>
      </c>
      <c r="T257" s="4">
        <f t="shared" si="21"/>
        <v>8023962.0999999996</v>
      </c>
      <c r="U257" s="4">
        <f t="shared" si="22"/>
        <v>107525.73574297188</v>
      </c>
      <c r="V257" s="14">
        <f>'A) Base RI'!O257</f>
        <v>245457.5</v>
      </c>
      <c r="W257" s="14">
        <f>'A) Base RI'!P257</f>
        <v>591028.69999999995</v>
      </c>
      <c r="X257" s="14">
        <f>'A) Base RI'!R257</f>
        <v>350583.1</v>
      </c>
      <c r="Y257" s="4">
        <f t="shared" si="23"/>
        <v>1187069.2999999998</v>
      </c>
      <c r="Z257" s="14">
        <f>'A) Base RI'!N257</f>
        <v>6542.25</v>
      </c>
      <c r="AA257" s="14">
        <f>'A) Base RI'!S257+'A) Base RI'!T257</f>
        <v>19626.25</v>
      </c>
      <c r="AB257" s="14">
        <f>'A) Base RI'!U257</f>
        <v>22860</v>
      </c>
      <c r="AC257" s="14">
        <f>'A) Base RI'!V257</f>
        <v>0</v>
      </c>
      <c r="AD257" s="14">
        <f>'A) Base RI'!W257</f>
        <v>0</v>
      </c>
      <c r="AE257" s="14">
        <f>'A) Base RI'!Y257</f>
        <v>58425.98</v>
      </c>
      <c r="AF257" s="14">
        <f>'A) Base RI'!Z257</f>
        <v>0</v>
      </c>
      <c r="AG257" s="14">
        <f>'A) Base RI'!AA257</f>
        <v>1098577.1200000001</v>
      </c>
      <c r="AH257" s="14">
        <f>'A) Base RI'!AB257</f>
        <v>0</v>
      </c>
      <c r="AI257" s="14">
        <f>'A) Base RI'!AC257</f>
        <v>595039.43000000005</v>
      </c>
      <c r="AJ257" s="14">
        <f>'A) Base RI'!AD257</f>
        <v>0</v>
      </c>
      <c r="AK257" s="14">
        <f>'A) Base RI'!AE257</f>
        <v>0</v>
      </c>
      <c r="AL257" s="14">
        <f>'A) Base RI'!AF257</f>
        <v>0</v>
      </c>
      <c r="AM257" s="14">
        <f>'A) Base RI'!AG257</f>
        <v>551644.69999999995</v>
      </c>
      <c r="AN257" s="14">
        <f>'A) Base RI'!AH257</f>
        <v>155082.85</v>
      </c>
      <c r="AO257" s="14">
        <f>'A) Base RI'!AI257</f>
        <v>0</v>
      </c>
      <c r="AP257" s="14">
        <f>'A) Base RI'!AJ257</f>
        <v>0</v>
      </c>
      <c r="AQ257" s="14">
        <f>'A) Base RI'!AK257</f>
        <v>0</v>
      </c>
      <c r="AR257" s="14">
        <f>'A) Base RI'!AN257</f>
        <v>3408</v>
      </c>
    </row>
    <row r="258" spans="1:44" x14ac:dyDescent="0.25">
      <c r="A258" s="12">
        <f>'A) Base RI'!A258</f>
        <v>5842</v>
      </c>
      <c r="B258" s="42" t="str">
        <f>'A) Base RI'!B258</f>
        <v>Rossinière</v>
      </c>
      <c r="C258" s="14">
        <f>'A) Base RI'!C258+'A) Base RI'!D258</f>
        <v>1270278.0499999998</v>
      </c>
      <c r="D258" s="14">
        <f>'A) Base RI'!AO258</f>
        <v>-33300.019999999997</v>
      </c>
      <c r="E258" s="41">
        <f>'A) Base RI'!AP258</f>
        <v>0</v>
      </c>
      <c r="F258" s="41">
        <f>'A) Base RI'!AQ258</f>
        <v>-587.13</v>
      </c>
      <c r="G258" s="4">
        <f t="shared" si="18"/>
        <v>1236390.8999999999</v>
      </c>
      <c r="H258" s="14">
        <f>'A) Base RI'!E258</f>
        <v>0</v>
      </c>
      <c r="I258" s="14">
        <f>'A) Base RI'!F258</f>
        <v>0</v>
      </c>
      <c r="J258" s="14">
        <f>'A) Base RI'!G258+'A) Base RI'!H258</f>
        <v>15695.800000000001</v>
      </c>
      <c r="K258" s="14">
        <f>'A) Base RI'!I258</f>
        <v>-50592</v>
      </c>
      <c r="L258" s="14">
        <f>'A) Base RI'!J258</f>
        <v>26513.34</v>
      </c>
      <c r="M258" s="14">
        <f>'A) Base RI'!K258</f>
        <v>387.5</v>
      </c>
      <c r="N258" s="14">
        <f>'A) Base RI'!Q258</f>
        <v>29275.48</v>
      </c>
      <c r="O258" s="14">
        <f t="shared" si="19"/>
        <v>83213.133333333331</v>
      </c>
      <c r="P258" s="14">
        <f>'A) Base RI'!L258</f>
        <v>124819.7</v>
      </c>
      <c r="Q258" s="44">
        <f>'A) Base RI'!AR258</f>
        <v>1.5</v>
      </c>
      <c r="R258" s="4">
        <f t="shared" si="20"/>
        <v>1340884.1533333333</v>
      </c>
      <c r="S258" s="43">
        <f>'A) Base RI'!AM258</f>
        <v>81</v>
      </c>
      <c r="T258" s="4">
        <f t="shared" si="21"/>
        <v>1257283.52</v>
      </c>
      <c r="U258" s="4">
        <f t="shared" si="22"/>
        <v>16554.125349794238</v>
      </c>
      <c r="V258" s="14">
        <f>'A) Base RI'!O258</f>
        <v>906</v>
      </c>
      <c r="W258" s="14">
        <f>'A) Base RI'!P258</f>
        <v>24868.5</v>
      </c>
      <c r="X258" s="14">
        <f>'A) Base RI'!R258</f>
        <v>40321.85</v>
      </c>
      <c r="Y258" s="4">
        <f t="shared" si="23"/>
        <v>66096.350000000006</v>
      </c>
      <c r="Z258" s="14">
        <f>'A) Base RI'!N258</f>
        <v>0</v>
      </c>
      <c r="AA258" s="14">
        <f>'A) Base RI'!S258+'A) Base RI'!T258</f>
        <v>93.75</v>
      </c>
      <c r="AB258" s="14">
        <f>'A) Base RI'!U258</f>
        <v>2920</v>
      </c>
      <c r="AC258" s="14">
        <f>'A) Base RI'!V258</f>
        <v>0</v>
      </c>
      <c r="AD258" s="14">
        <f>'A) Base RI'!W258</f>
        <v>0</v>
      </c>
      <c r="AE258" s="14">
        <f>'A) Base RI'!Y258</f>
        <v>0</v>
      </c>
      <c r="AF258" s="14">
        <f>'A) Base RI'!Z258</f>
        <v>0</v>
      </c>
      <c r="AG258" s="14">
        <f>'A) Base RI'!AA258</f>
        <v>64978.55</v>
      </c>
      <c r="AH258" s="14">
        <f>'A) Base RI'!AB258</f>
        <v>0</v>
      </c>
      <c r="AI258" s="14">
        <f>'A) Base RI'!AC258</f>
        <v>42058.720000000001</v>
      </c>
      <c r="AJ258" s="14">
        <f>'A) Base RI'!AD258</f>
        <v>0</v>
      </c>
      <c r="AK258" s="14">
        <f>'A) Base RI'!AE258</f>
        <v>0</v>
      </c>
      <c r="AL258" s="14">
        <f>'A) Base RI'!AF258</f>
        <v>0</v>
      </c>
      <c r="AM258" s="14">
        <f>'A) Base RI'!AG258</f>
        <v>0</v>
      </c>
      <c r="AN258" s="14">
        <f>'A) Base RI'!AH258</f>
        <v>0</v>
      </c>
      <c r="AO258" s="14">
        <f>'A) Base RI'!AI258</f>
        <v>0</v>
      </c>
      <c r="AP258" s="14">
        <f>'A) Base RI'!AJ258</f>
        <v>0</v>
      </c>
      <c r="AQ258" s="14">
        <f>'A) Base RI'!AK258</f>
        <v>0</v>
      </c>
      <c r="AR258" s="14">
        <f>'A) Base RI'!AN258</f>
        <v>565</v>
      </c>
    </row>
    <row r="259" spans="1:44" x14ac:dyDescent="0.25">
      <c r="A259" s="12">
        <f>'A) Base RI'!A259</f>
        <v>5843</v>
      </c>
      <c r="B259" s="42" t="str">
        <f>'A) Base RI'!B259</f>
        <v>Rougemont</v>
      </c>
      <c r="C259" s="14">
        <f>'A) Base RI'!C259+'A) Base RI'!D259</f>
        <v>3915471.83</v>
      </c>
      <c r="D259" s="14">
        <f>'A) Base RI'!AO259</f>
        <v>-15867.56</v>
      </c>
      <c r="E259" s="41">
        <f>'A) Base RI'!AP259</f>
        <v>0</v>
      </c>
      <c r="F259" s="41">
        <f>'A) Base RI'!AQ259</f>
        <v>-4807.5600000000004</v>
      </c>
      <c r="G259" s="4">
        <f t="shared" si="18"/>
        <v>3894796.71</v>
      </c>
      <c r="H259" s="14">
        <f>'A) Base RI'!E259</f>
        <v>0</v>
      </c>
      <c r="I259" s="14">
        <f>'A) Base RI'!F259</f>
        <v>0</v>
      </c>
      <c r="J259" s="14">
        <f>'A) Base RI'!G259+'A) Base RI'!H259</f>
        <v>188701.40000000002</v>
      </c>
      <c r="K259" s="14">
        <f>'A) Base RI'!I259</f>
        <v>1369263.38</v>
      </c>
      <c r="L259" s="14">
        <f>'A) Base RI'!J259</f>
        <v>223773.67</v>
      </c>
      <c r="M259" s="14">
        <f>'A) Base RI'!K259</f>
        <v>14008.5</v>
      </c>
      <c r="N259" s="14">
        <f>'A) Base RI'!Q259</f>
        <v>479.82</v>
      </c>
      <c r="O259" s="14">
        <f t="shared" si="19"/>
        <v>677500.83333333337</v>
      </c>
      <c r="P259" s="14">
        <f>'A) Base RI'!L259</f>
        <v>1016251.25</v>
      </c>
      <c r="Q259" s="44">
        <f>'A) Base RI'!AR259</f>
        <v>1.5</v>
      </c>
      <c r="R259" s="4">
        <f t="shared" si="20"/>
        <v>6368524.3133333335</v>
      </c>
      <c r="S259" s="43">
        <f>'A) Base RI'!AM259</f>
        <v>69</v>
      </c>
      <c r="T259" s="4">
        <f t="shared" si="21"/>
        <v>5677014.9800000004</v>
      </c>
      <c r="U259" s="4">
        <f t="shared" si="22"/>
        <v>92297.453816425128</v>
      </c>
      <c r="V259" s="14">
        <f>'A) Base RI'!O259</f>
        <v>372020.3</v>
      </c>
      <c r="W259" s="14">
        <f>'A) Base RI'!P259</f>
        <v>665186.35</v>
      </c>
      <c r="X259" s="14">
        <f>'A) Base RI'!R259</f>
        <v>1087677.2</v>
      </c>
      <c r="Y259" s="4">
        <f t="shared" si="23"/>
        <v>2124883.8499999996</v>
      </c>
      <c r="Z259" s="14">
        <f>'A) Base RI'!N259</f>
        <v>0</v>
      </c>
      <c r="AA259" s="14">
        <f>'A) Base RI'!S259+'A) Base RI'!T259</f>
        <v>2677.5</v>
      </c>
      <c r="AB259" s="14">
        <f>'A) Base RI'!U259</f>
        <v>4980</v>
      </c>
      <c r="AC259" s="14">
        <f>'A) Base RI'!V259</f>
        <v>0</v>
      </c>
      <c r="AD259" s="14">
        <f>'A) Base RI'!W259</f>
        <v>0</v>
      </c>
      <c r="AE259" s="14">
        <f>'A) Base RI'!Y259</f>
        <v>90825</v>
      </c>
      <c r="AF259" s="14">
        <f>'A) Base RI'!Z259</f>
        <v>0</v>
      </c>
      <c r="AG259" s="14">
        <f>'A) Base RI'!AA259</f>
        <v>228689.35</v>
      </c>
      <c r="AH259" s="14">
        <f>'A) Base RI'!AB259</f>
        <v>0</v>
      </c>
      <c r="AI259" s="14">
        <f>'A) Base RI'!AC259</f>
        <v>239340.17</v>
      </c>
      <c r="AJ259" s="14">
        <f>'A) Base RI'!AD259</f>
        <v>144450</v>
      </c>
      <c r="AK259" s="14">
        <f>'A) Base RI'!AE259</f>
        <v>0</v>
      </c>
      <c r="AL259" s="14">
        <f>'A) Base RI'!AF259</f>
        <v>0</v>
      </c>
      <c r="AM259" s="14">
        <f>'A) Base RI'!AG259</f>
        <v>744396.65</v>
      </c>
      <c r="AN259" s="14">
        <f>'A) Base RI'!AH259</f>
        <v>81623.100000000006</v>
      </c>
      <c r="AO259" s="14">
        <f>'A) Base RI'!AI259</f>
        <v>0</v>
      </c>
      <c r="AP259" s="14">
        <f>'A) Base RI'!AJ259</f>
        <v>0</v>
      </c>
      <c r="AQ259" s="14">
        <f>'A) Base RI'!AK259</f>
        <v>0</v>
      </c>
      <c r="AR259" s="14">
        <f>'A) Base RI'!AN259</f>
        <v>881</v>
      </c>
    </row>
    <row r="260" spans="1:44" x14ac:dyDescent="0.25">
      <c r="A260" s="12">
        <f>'A) Base RI'!A260</f>
        <v>5851</v>
      </c>
      <c r="B260" s="42" t="str">
        <f>'A) Base RI'!B260</f>
        <v>Allaman</v>
      </c>
      <c r="C260" s="14">
        <f>'A) Base RI'!C260+'A) Base RI'!D260</f>
        <v>975442.53</v>
      </c>
      <c r="D260" s="14">
        <f>'A) Base RI'!AO260</f>
        <v>-5169.84</v>
      </c>
      <c r="E260" s="41">
        <f>'A) Base RI'!AP260</f>
        <v>0</v>
      </c>
      <c r="F260" s="41">
        <f>'A) Base RI'!AQ260</f>
        <v>-190.97</v>
      </c>
      <c r="G260" s="4">
        <f t="shared" si="18"/>
        <v>970081.72000000009</v>
      </c>
      <c r="H260" s="14">
        <f>'A) Base RI'!E260</f>
        <v>0</v>
      </c>
      <c r="I260" s="14">
        <f>'A) Base RI'!F260</f>
        <v>0</v>
      </c>
      <c r="J260" s="14">
        <f>'A) Base RI'!G260+'A) Base RI'!H260</f>
        <v>384496.4</v>
      </c>
      <c r="K260" s="14">
        <f>'A) Base RI'!I260</f>
        <v>0</v>
      </c>
      <c r="L260" s="14">
        <f>'A) Base RI'!J260</f>
        <v>52232.76</v>
      </c>
      <c r="M260" s="14">
        <f>'A) Base RI'!K260</f>
        <v>23919</v>
      </c>
      <c r="N260" s="14">
        <f>'A) Base RI'!Q260</f>
        <v>1947.81</v>
      </c>
      <c r="O260" s="14">
        <f t="shared" si="19"/>
        <v>198659.81818181815</v>
      </c>
      <c r="P260" s="14">
        <f>'A) Base RI'!L260</f>
        <v>218525.8</v>
      </c>
      <c r="Q260" s="44">
        <f>'A) Base RI'!AR260</f>
        <v>1.1000000000000001</v>
      </c>
      <c r="R260" s="4">
        <f t="shared" si="20"/>
        <v>1631337.5081818183</v>
      </c>
      <c r="S260" s="43">
        <f>'A) Base RI'!AM260</f>
        <v>62</v>
      </c>
      <c r="T260" s="4">
        <f t="shared" si="21"/>
        <v>1408758.6900000002</v>
      </c>
      <c r="U260" s="4">
        <f t="shared" si="22"/>
        <v>26311.895293255133</v>
      </c>
      <c r="V260" s="14">
        <f>'A) Base RI'!O260</f>
        <v>-645981.1</v>
      </c>
      <c r="W260" s="14">
        <f>'A) Base RI'!P260</f>
        <v>36630</v>
      </c>
      <c r="X260" s="14">
        <f>'A) Base RI'!R260</f>
        <v>106521.9</v>
      </c>
      <c r="Y260" s="4">
        <f t="shared" si="23"/>
        <v>-502829.19999999995</v>
      </c>
      <c r="Z260" s="14">
        <f>'A) Base RI'!N260</f>
        <v>37241.65</v>
      </c>
      <c r="AA260" s="14">
        <f>'A) Base RI'!S260+'A) Base RI'!T260</f>
        <v>268.75</v>
      </c>
      <c r="AB260" s="14">
        <f>'A) Base RI'!U260</f>
        <v>1950</v>
      </c>
      <c r="AC260" s="14">
        <f>'A) Base RI'!V260</f>
        <v>100</v>
      </c>
      <c r="AD260" s="14">
        <f>'A) Base RI'!W260</f>
        <v>0</v>
      </c>
      <c r="AE260" s="14">
        <f>'A) Base RI'!Y260</f>
        <v>2531.1999999999998</v>
      </c>
      <c r="AF260" s="14">
        <f>'A) Base RI'!Z260</f>
        <v>0</v>
      </c>
      <c r="AG260" s="14">
        <f>'A) Base RI'!AA260</f>
        <v>187419.47</v>
      </c>
      <c r="AH260" s="14">
        <f>'A) Base RI'!AB260</f>
        <v>0</v>
      </c>
      <c r="AI260" s="14">
        <f>'A) Base RI'!AC260</f>
        <v>40069.300000000003</v>
      </c>
      <c r="AJ260" s="14">
        <f>'A) Base RI'!AD260</f>
        <v>0</v>
      </c>
      <c r="AK260" s="14">
        <f>'A) Base RI'!AE260</f>
        <v>0</v>
      </c>
      <c r="AL260" s="14">
        <f>'A) Base RI'!AF260</f>
        <v>0</v>
      </c>
      <c r="AM260" s="14">
        <f>'A) Base RI'!AG260</f>
        <v>0</v>
      </c>
      <c r="AN260" s="14">
        <f>'A) Base RI'!AH260</f>
        <v>58638.5</v>
      </c>
      <c r="AO260" s="14">
        <f>'A) Base RI'!AI260</f>
        <v>0</v>
      </c>
      <c r="AP260" s="14">
        <f>'A) Base RI'!AJ260</f>
        <v>0</v>
      </c>
      <c r="AQ260" s="14">
        <f>'A) Base RI'!AK260</f>
        <v>0</v>
      </c>
      <c r="AR260" s="14">
        <f>'A) Base RI'!AN260</f>
        <v>393</v>
      </c>
    </row>
    <row r="261" spans="1:44" x14ac:dyDescent="0.25">
      <c r="A261" s="12">
        <f>'A) Base RI'!A261</f>
        <v>5852</v>
      </c>
      <c r="B261" s="42" t="str">
        <f>'A) Base RI'!B261</f>
        <v>Bursinel</v>
      </c>
      <c r="C261" s="14">
        <f>'A) Base RI'!C261+'A) Base RI'!D261</f>
        <v>1478799.77</v>
      </c>
      <c r="D261" s="14">
        <f>'A) Base RI'!AO261</f>
        <v>-6579.61</v>
      </c>
      <c r="E261" s="41">
        <f>'A) Base RI'!AP261</f>
        <v>0</v>
      </c>
      <c r="F261" s="41">
        <f>'A) Base RI'!AQ261</f>
        <v>-639.85</v>
      </c>
      <c r="G261" s="4">
        <f t="shared" si="18"/>
        <v>1471580.3099999998</v>
      </c>
      <c r="H261" s="14">
        <f>'A) Base RI'!E261</f>
        <v>0</v>
      </c>
      <c r="I261" s="14">
        <f>'A) Base RI'!F261</f>
        <v>0</v>
      </c>
      <c r="J261" s="14">
        <f>'A) Base RI'!G261+'A) Base RI'!H261</f>
        <v>-290.14999999999986</v>
      </c>
      <c r="K261" s="14">
        <f>'A) Base RI'!I261</f>
        <v>368446.95</v>
      </c>
      <c r="L261" s="14">
        <f>'A) Base RI'!J261</f>
        <v>-6169.53</v>
      </c>
      <c r="M261" s="14">
        <f>'A) Base RI'!K261</f>
        <v>6697.5</v>
      </c>
      <c r="N261" s="14">
        <f>'A) Base RI'!Q261</f>
        <v>0</v>
      </c>
      <c r="O261" s="14">
        <f t="shared" si="19"/>
        <v>168401.6</v>
      </c>
      <c r="P261" s="14">
        <f>'A) Base RI'!L261</f>
        <v>168401.6</v>
      </c>
      <c r="Q261" s="44">
        <f>'A) Base RI'!AR261</f>
        <v>1</v>
      </c>
      <c r="R261" s="4">
        <f t="shared" si="20"/>
        <v>2008666.68</v>
      </c>
      <c r="S261" s="43">
        <f>'A) Base RI'!AM261</f>
        <v>63.5</v>
      </c>
      <c r="T261" s="4">
        <f t="shared" si="21"/>
        <v>1833567.5799999998</v>
      </c>
      <c r="U261" s="4">
        <f t="shared" si="22"/>
        <v>31632.546141732284</v>
      </c>
      <c r="V261" s="14">
        <f>'A) Base RI'!O261</f>
        <v>0</v>
      </c>
      <c r="W261" s="14">
        <f>'A) Base RI'!P261</f>
        <v>113025</v>
      </c>
      <c r="X261" s="14">
        <f>'A) Base RI'!R261</f>
        <v>122989.65</v>
      </c>
      <c r="Y261" s="4">
        <f t="shared" si="23"/>
        <v>236014.65</v>
      </c>
      <c r="Z261" s="14">
        <f>'A) Base RI'!N261</f>
        <v>8016.75</v>
      </c>
      <c r="AA261" s="14">
        <f>'A) Base RI'!S261+'A) Base RI'!T261</f>
        <v>0</v>
      </c>
      <c r="AB261" s="14">
        <f>'A) Base RI'!U261</f>
        <v>3442.5</v>
      </c>
      <c r="AC261" s="14">
        <f>'A) Base RI'!V261</f>
        <v>0</v>
      </c>
      <c r="AD261" s="14">
        <f>'A) Base RI'!W261</f>
        <v>0</v>
      </c>
      <c r="AE261" s="14">
        <f>'A) Base RI'!Y261</f>
        <v>857.75</v>
      </c>
      <c r="AF261" s="14">
        <f>'A) Base RI'!Z261</f>
        <v>0</v>
      </c>
      <c r="AG261" s="14">
        <f>'A) Base RI'!AA261</f>
        <v>41970</v>
      </c>
      <c r="AH261" s="14">
        <f>'A) Base RI'!AB261</f>
        <v>0</v>
      </c>
      <c r="AI261" s="14">
        <f>'A) Base RI'!AC261</f>
        <v>16740</v>
      </c>
      <c r="AJ261" s="14">
        <f>'A) Base RI'!AD261</f>
        <v>0</v>
      </c>
      <c r="AK261" s="14">
        <f>'A) Base RI'!AE261</f>
        <v>0</v>
      </c>
      <c r="AL261" s="14">
        <f>'A) Base RI'!AF261</f>
        <v>0</v>
      </c>
      <c r="AM261" s="14">
        <f>'A) Base RI'!AG261</f>
        <v>8996</v>
      </c>
      <c r="AN261" s="14">
        <f>'A) Base RI'!AH261</f>
        <v>0</v>
      </c>
      <c r="AO261" s="14">
        <f>'A) Base RI'!AI261</f>
        <v>0</v>
      </c>
      <c r="AP261" s="14">
        <f>'A) Base RI'!AJ261</f>
        <v>0</v>
      </c>
      <c r="AQ261" s="14">
        <f>'A) Base RI'!AK261</f>
        <v>0</v>
      </c>
      <c r="AR261" s="14">
        <f>'A) Base RI'!AN261</f>
        <v>477</v>
      </c>
    </row>
    <row r="262" spans="1:44" x14ac:dyDescent="0.25">
      <c r="A262" s="12">
        <f>'A) Base RI'!A262</f>
        <v>5853</v>
      </c>
      <c r="B262" s="42" t="str">
        <f>'A) Base RI'!B262</f>
        <v>Bursins</v>
      </c>
      <c r="C262" s="14">
        <f>'A) Base RI'!C262+'A) Base RI'!D262</f>
        <v>2099339.37</v>
      </c>
      <c r="D262" s="14">
        <f>'A) Base RI'!AO262</f>
        <v>-12000.35</v>
      </c>
      <c r="E262" s="41">
        <f>'A) Base RI'!AP262</f>
        <v>0</v>
      </c>
      <c r="F262" s="41">
        <f>'A) Base RI'!AQ262</f>
        <v>-482.72</v>
      </c>
      <c r="G262" s="4">
        <f t="shared" si="18"/>
        <v>2086856.3</v>
      </c>
      <c r="H262" s="14">
        <f>'A) Base RI'!E262</f>
        <v>0</v>
      </c>
      <c r="I262" s="14">
        <f>'A) Base RI'!F262</f>
        <v>0</v>
      </c>
      <c r="J262" s="14">
        <f>'A) Base RI'!G262+'A) Base RI'!H262</f>
        <v>58477.15</v>
      </c>
      <c r="K262" s="14">
        <f>'A) Base RI'!I262</f>
        <v>251365.89</v>
      </c>
      <c r="L262" s="14">
        <f>'A) Base RI'!J262</f>
        <v>39776.129999999997</v>
      </c>
      <c r="M262" s="14">
        <f>'A) Base RI'!K262</f>
        <v>12798</v>
      </c>
      <c r="N262" s="14">
        <f>'A) Base RI'!Q262</f>
        <v>5136.37</v>
      </c>
      <c r="O262" s="14">
        <f t="shared" si="19"/>
        <v>181020.3</v>
      </c>
      <c r="P262" s="14">
        <f>'A) Base RI'!L262</f>
        <v>181020.3</v>
      </c>
      <c r="Q262" s="44">
        <f>'A) Base RI'!AR262</f>
        <v>1</v>
      </c>
      <c r="R262" s="4">
        <f t="shared" si="20"/>
        <v>2635430.14</v>
      </c>
      <c r="S262" s="43">
        <f>'A) Base RI'!AM262</f>
        <v>71</v>
      </c>
      <c r="T262" s="4">
        <f t="shared" si="21"/>
        <v>2441611.8400000003</v>
      </c>
      <c r="U262" s="4">
        <f t="shared" si="22"/>
        <v>37118.734366197183</v>
      </c>
      <c r="V262" s="14">
        <f>'A) Base RI'!O262</f>
        <v>30887.1</v>
      </c>
      <c r="W262" s="14">
        <f>'A) Base RI'!P262</f>
        <v>144315.75</v>
      </c>
      <c r="X262" s="14">
        <f>'A) Base RI'!R262</f>
        <v>91122.65</v>
      </c>
      <c r="Y262" s="4">
        <f t="shared" si="23"/>
        <v>266325.5</v>
      </c>
      <c r="Z262" s="14">
        <f>'A) Base RI'!N262</f>
        <v>55087.7</v>
      </c>
      <c r="AA262" s="14">
        <f>'A) Base RI'!S262+'A) Base RI'!T262</f>
        <v>75</v>
      </c>
      <c r="AB262" s="14">
        <f>'A) Base RI'!U262</f>
        <v>3800</v>
      </c>
      <c r="AC262" s="14">
        <f>'A) Base RI'!V262</f>
        <v>0</v>
      </c>
      <c r="AD262" s="14">
        <f>'A) Base RI'!W262</f>
        <v>0</v>
      </c>
      <c r="AE262" s="14">
        <f>'A) Base RI'!Y262</f>
        <v>6557.8</v>
      </c>
      <c r="AF262" s="14">
        <f>'A) Base RI'!Z262</f>
        <v>147324.29999999999</v>
      </c>
      <c r="AG262" s="14">
        <f>'A) Base RI'!AA262</f>
        <v>0</v>
      </c>
      <c r="AH262" s="14">
        <f>'A) Base RI'!AB262</f>
        <v>0</v>
      </c>
      <c r="AI262" s="14">
        <f>'A) Base RI'!AC262</f>
        <v>42911.5</v>
      </c>
      <c r="AJ262" s="14">
        <f>'A) Base RI'!AD262</f>
        <v>0</v>
      </c>
      <c r="AK262" s="14">
        <f>'A) Base RI'!AE262</f>
        <v>0</v>
      </c>
      <c r="AL262" s="14">
        <f>'A) Base RI'!AF262</f>
        <v>0</v>
      </c>
      <c r="AM262" s="14">
        <f>'A) Base RI'!AG262</f>
        <v>6133.9</v>
      </c>
      <c r="AN262" s="14">
        <f>'A) Base RI'!AH262</f>
        <v>0</v>
      </c>
      <c r="AO262" s="14">
        <f>'A) Base RI'!AI262</f>
        <v>0</v>
      </c>
      <c r="AP262" s="14">
        <f>'A) Base RI'!AJ262</f>
        <v>0</v>
      </c>
      <c r="AQ262" s="14">
        <f>'A) Base RI'!AK262</f>
        <v>0</v>
      </c>
      <c r="AR262" s="14">
        <f>'A) Base RI'!AN262</f>
        <v>772</v>
      </c>
    </row>
    <row r="263" spans="1:44" x14ac:dyDescent="0.25">
      <c r="A263" s="12">
        <f>'A) Base RI'!A263</f>
        <v>5854</v>
      </c>
      <c r="B263" s="42" t="str">
        <f>'A) Base RI'!B263</f>
        <v>Burtigny</v>
      </c>
      <c r="C263" s="14">
        <f>'A) Base RI'!C263+'A) Base RI'!D263</f>
        <v>736635.94000000006</v>
      </c>
      <c r="D263" s="14">
        <f>'A) Base RI'!AO263</f>
        <v>-8356.2199999999993</v>
      </c>
      <c r="E263" s="41">
        <f>'A) Base RI'!AP263</f>
        <v>0</v>
      </c>
      <c r="F263" s="41">
        <f>'A) Base RI'!AQ263</f>
        <v>-109.34</v>
      </c>
      <c r="G263" s="4">
        <f t="shared" si="18"/>
        <v>728170.38000000012</v>
      </c>
      <c r="H263" s="14">
        <f>'A) Base RI'!E263</f>
        <v>0</v>
      </c>
      <c r="I263" s="14">
        <f>'A) Base RI'!F263</f>
        <v>0</v>
      </c>
      <c r="J263" s="14">
        <f>'A) Base RI'!G263+'A) Base RI'!H263</f>
        <v>19832.25</v>
      </c>
      <c r="K263" s="14">
        <f>'A) Base RI'!I263</f>
        <v>0</v>
      </c>
      <c r="L263" s="14">
        <f>'A) Base RI'!J263</f>
        <v>9172.26</v>
      </c>
      <c r="M263" s="14">
        <f>'A) Base RI'!K263</f>
        <v>1274</v>
      </c>
      <c r="N263" s="14">
        <f>'A) Base RI'!Q263</f>
        <v>0</v>
      </c>
      <c r="O263" s="14">
        <f t="shared" si="19"/>
        <v>61084.233333333337</v>
      </c>
      <c r="P263" s="14">
        <f>'A) Base RI'!L263</f>
        <v>91626.35</v>
      </c>
      <c r="Q263" s="44">
        <f>'A) Base RI'!AR263</f>
        <v>1.5</v>
      </c>
      <c r="R263" s="4">
        <f t="shared" si="20"/>
        <v>819533.12333333353</v>
      </c>
      <c r="S263" s="43">
        <f>'A) Base RI'!AM263</f>
        <v>80</v>
      </c>
      <c r="T263" s="4">
        <f t="shared" si="21"/>
        <v>757174.89000000013</v>
      </c>
      <c r="U263" s="4">
        <f t="shared" si="22"/>
        <v>10244.164041666669</v>
      </c>
      <c r="V263" s="14">
        <f>'A) Base RI'!O263</f>
        <v>0</v>
      </c>
      <c r="W263" s="14">
        <f>'A) Base RI'!P263</f>
        <v>7705.75</v>
      </c>
      <c r="X263" s="14">
        <f>'A) Base RI'!R263</f>
        <v>0</v>
      </c>
      <c r="Y263" s="4">
        <f t="shared" si="23"/>
        <v>7705.75</v>
      </c>
      <c r="Z263" s="14">
        <f>'A) Base RI'!N263</f>
        <v>24172.9</v>
      </c>
      <c r="AA263" s="14">
        <f>'A) Base RI'!S263+'A) Base RI'!T263</f>
        <v>0</v>
      </c>
      <c r="AB263" s="14">
        <f>'A) Base RI'!U263</f>
        <v>950</v>
      </c>
      <c r="AC263" s="14">
        <f>'A) Base RI'!V263</f>
        <v>0</v>
      </c>
      <c r="AD263" s="14">
        <f>'A) Base RI'!W263</f>
        <v>0</v>
      </c>
      <c r="AE263" s="14">
        <f>'A) Base RI'!Y263</f>
        <v>973</v>
      </c>
      <c r="AF263" s="14">
        <f>'A) Base RI'!Z263</f>
        <v>0</v>
      </c>
      <c r="AG263" s="14">
        <f>'A) Base RI'!AA263</f>
        <v>29080</v>
      </c>
      <c r="AH263" s="14">
        <f>'A) Base RI'!AB263</f>
        <v>0</v>
      </c>
      <c r="AI263" s="14">
        <f>'A) Base RI'!AC263</f>
        <v>33172.400000000001</v>
      </c>
      <c r="AJ263" s="14">
        <f>'A) Base RI'!AD263</f>
        <v>30</v>
      </c>
      <c r="AK263" s="14">
        <f>'A) Base RI'!AE263</f>
        <v>0</v>
      </c>
      <c r="AL263" s="14">
        <f>'A) Base RI'!AF263</f>
        <v>0</v>
      </c>
      <c r="AM263" s="14">
        <f>'A) Base RI'!AG263</f>
        <v>654.9</v>
      </c>
      <c r="AN263" s="14">
        <f>'A) Base RI'!AH263</f>
        <v>7675.65</v>
      </c>
      <c r="AO263" s="14">
        <f>'A) Base RI'!AI263</f>
        <v>0</v>
      </c>
      <c r="AP263" s="14">
        <f>'A) Base RI'!AJ263</f>
        <v>0</v>
      </c>
      <c r="AQ263" s="14">
        <f>'A) Base RI'!AK263</f>
        <v>0</v>
      </c>
      <c r="AR263" s="14">
        <f>'A) Base RI'!AN263</f>
        <v>352</v>
      </c>
    </row>
    <row r="264" spans="1:44" x14ac:dyDescent="0.25">
      <c r="A264" s="12">
        <f>'A) Base RI'!A264</f>
        <v>5855</v>
      </c>
      <c r="B264" s="42" t="str">
        <f>'A) Base RI'!B264</f>
        <v>Dully</v>
      </c>
      <c r="C264" s="14">
        <f>'A) Base RI'!C264+'A) Base RI'!D264</f>
        <v>2193023.61</v>
      </c>
      <c r="D264" s="14">
        <f>'A) Base RI'!AO264</f>
        <v>-7712.89</v>
      </c>
      <c r="E264" s="41">
        <f>'A) Base RI'!AP264</f>
        <v>0</v>
      </c>
      <c r="F264" s="41">
        <f>'A) Base RI'!AQ264</f>
        <v>-2142.0500000000002</v>
      </c>
      <c r="G264" s="4">
        <f t="shared" ref="G264:G315" si="24">SUM(C264:F264)</f>
        <v>2183168.67</v>
      </c>
      <c r="H264" s="14">
        <f>'A) Base RI'!E264</f>
        <v>0</v>
      </c>
      <c r="I264" s="14">
        <f>'A) Base RI'!F264</f>
        <v>0</v>
      </c>
      <c r="J264" s="14">
        <f>'A) Base RI'!G264+'A) Base RI'!H264</f>
        <v>21866.15</v>
      </c>
      <c r="K264" s="14">
        <f>'A) Base RI'!I264</f>
        <v>618638.89</v>
      </c>
      <c r="L264" s="14">
        <f>'A) Base RI'!J264</f>
        <v>77095.53</v>
      </c>
      <c r="M264" s="14">
        <f>'A) Base RI'!K264</f>
        <v>2549</v>
      </c>
      <c r="N264" s="14">
        <f>'A) Base RI'!Q264</f>
        <v>0</v>
      </c>
      <c r="O264" s="14">
        <f t="shared" ref="O264:O315" si="25">(P264/Q264)*1</f>
        <v>298987.40000000002</v>
      </c>
      <c r="P264" s="14">
        <f>'A) Base RI'!L264</f>
        <v>149493.70000000001</v>
      </c>
      <c r="Q264" s="44">
        <f>'A) Base RI'!AR264</f>
        <v>0.5</v>
      </c>
      <c r="R264" s="4">
        <f t="shared" ref="R264:R315" si="26">SUM(G264:O264)</f>
        <v>3202305.6399999997</v>
      </c>
      <c r="S264" s="43">
        <f>'A) Base RI'!AM264</f>
        <v>49</v>
      </c>
      <c r="T264" s="4">
        <f t="shared" ref="T264:T315" si="27">(G264+H264+J264+K264+L264+N264)</f>
        <v>2900769.2399999998</v>
      </c>
      <c r="U264" s="4">
        <f t="shared" ref="U264:U315" si="28">R264/S264</f>
        <v>65353.176326530607</v>
      </c>
      <c r="V264" s="14">
        <f>'A) Base RI'!O264</f>
        <v>515090</v>
      </c>
      <c r="W264" s="14">
        <f>'A) Base RI'!P264</f>
        <v>265586.90000000002</v>
      </c>
      <c r="X264" s="14">
        <f>'A) Base RI'!R264</f>
        <v>133343.04999999999</v>
      </c>
      <c r="Y264" s="4">
        <f t="shared" ref="Y264:Y315" si="29">SUM(V264:X264)</f>
        <v>914019.95</v>
      </c>
      <c r="Z264" s="14">
        <f>'A) Base RI'!N264</f>
        <v>2150.65</v>
      </c>
      <c r="AA264" s="14">
        <f>'A) Base RI'!S264+'A) Base RI'!T264</f>
        <v>93.75</v>
      </c>
      <c r="AB264" s="14">
        <f>'A) Base RI'!U264</f>
        <v>2280</v>
      </c>
      <c r="AC264" s="14">
        <f>'A) Base RI'!V264</f>
        <v>0</v>
      </c>
      <c r="AD264" s="14">
        <f>'A) Base RI'!W264</f>
        <v>0</v>
      </c>
      <c r="AE264" s="14">
        <f>'A) Base RI'!Y264</f>
        <v>57128.45</v>
      </c>
      <c r="AF264" s="14">
        <f>'A) Base RI'!Z264</f>
        <v>0</v>
      </c>
      <c r="AG264" s="14">
        <f>'A) Base RI'!AA264</f>
        <v>128233.3</v>
      </c>
      <c r="AH264" s="14">
        <f>'A) Base RI'!AB264</f>
        <v>0</v>
      </c>
      <c r="AI264" s="14">
        <f>'A) Base RI'!AC264</f>
        <v>20075.849999999999</v>
      </c>
      <c r="AJ264" s="14">
        <f>'A) Base RI'!AD264</f>
        <v>0</v>
      </c>
      <c r="AK264" s="14">
        <f>'A) Base RI'!AE264</f>
        <v>0</v>
      </c>
      <c r="AL264" s="14">
        <f>'A) Base RI'!AF264</f>
        <v>0</v>
      </c>
      <c r="AM264" s="14">
        <f>'A) Base RI'!AG264</f>
        <v>11766.1</v>
      </c>
      <c r="AN264" s="14">
        <f>'A) Base RI'!AH264</f>
        <v>0</v>
      </c>
      <c r="AO264" s="14">
        <f>'A) Base RI'!AI264</f>
        <v>0</v>
      </c>
      <c r="AP264" s="14">
        <f>'A) Base RI'!AJ264</f>
        <v>0</v>
      </c>
      <c r="AQ264" s="14">
        <f>'A) Base RI'!AK264</f>
        <v>0</v>
      </c>
      <c r="AR264" s="14">
        <f>'A) Base RI'!AN264</f>
        <v>636</v>
      </c>
    </row>
    <row r="265" spans="1:44" x14ac:dyDescent="0.25">
      <c r="A265" s="12">
        <f>'A) Base RI'!A265</f>
        <v>5856</v>
      </c>
      <c r="B265" s="42" t="str">
        <f>'A) Base RI'!B265</f>
        <v>Essertines-sur-Rolle</v>
      </c>
      <c r="C265" s="14">
        <f>'A) Base RI'!C265+'A) Base RI'!D265</f>
        <v>1532149.94</v>
      </c>
      <c r="D265" s="14">
        <f>'A) Base RI'!AO265</f>
        <v>-6983.38</v>
      </c>
      <c r="E265" s="41">
        <f>'A) Base RI'!AP265</f>
        <v>0</v>
      </c>
      <c r="F265" s="41">
        <f>'A) Base RI'!AQ265</f>
        <v>-311.41000000000003</v>
      </c>
      <c r="G265" s="4">
        <f t="shared" si="24"/>
        <v>1524855.1500000001</v>
      </c>
      <c r="H265" s="14">
        <f>'A) Base RI'!E265</f>
        <v>0</v>
      </c>
      <c r="I265" s="14">
        <f>'A) Base RI'!F265</f>
        <v>0</v>
      </c>
      <c r="J265" s="14">
        <f>'A) Base RI'!G265+'A) Base RI'!H265</f>
        <v>1114.8</v>
      </c>
      <c r="K265" s="14">
        <f>'A) Base RI'!I265</f>
        <v>180427.05</v>
      </c>
      <c r="L265" s="14">
        <f>'A) Base RI'!J265</f>
        <v>77898.73</v>
      </c>
      <c r="M265" s="14">
        <f>'A) Base RI'!K265</f>
        <v>1786</v>
      </c>
      <c r="N265" s="14">
        <f>'A) Base RI'!Q265</f>
        <v>2285.09</v>
      </c>
      <c r="O265" s="14">
        <f t="shared" si="25"/>
        <v>167738.61538461538</v>
      </c>
      <c r="P265" s="14">
        <f>'A) Base RI'!L265</f>
        <v>218060.2</v>
      </c>
      <c r="Q265" s="44">
        <f>'A) Base RI'!AR265</f>
        <v>1.3</v>
      </c>
      <c r="R265" s="4">
        <f t="shared" si="26"/>
        <v>1956105.4353846158</v>
      </c>
      <c r="S265" s="43">
        <f>'A) Base RI'!AM265</f>
        <v>68</v>
      </c>
      <c r="T265" s="4">
        <f t="shared" si="27"/>
        <v>1786580.8200000003</v>
      </c>
      <c r="U265" s="4">
        <f t="shared" si="28"/>
        <v>28766.256402714938</v>
      </c>
      <c r="V265" s="14">
        <f>'A) Base RI'!O265</f>
        <v>4594.8999999999996</v>
      </c>
      <c r="W265" s="14">
        <f>'A) Base RI'!P265</f>
        <v>7396.65</v>
      </c>
      <c r="X265" s="14">
        <f>'A) Base RI'!R265</f>
        <v>25890.05</v>
      </c>
      <c r="Y265" s="4">
        <f t="shared" si="29"/>
        <v>37881.599999999999</v>
      </c>
      <c r="Z265" s="14">
        <f>'A) Base RI'!N265</f>
        <v>0</v>
      </c>
      <c r="AA265" s="14">
        <f>'A) Base RI'!S265+'A) Base RI'!T265</f>
        <v>0</v>
      </c>
      <c r="AB265" s="14">
        <f>'A) Base RI'!U265</f>
        <v>2775</v>
      </c>
      <c r="AC265" s="14">
        <f>'A) Base RI'!V265</f>
        <v>0</v>
      </c>
      <c r="AD265" s="14">
        <f>'A) Base RI'!W265</f>
        <v>0</v>
      </c>
      <c r="AE265" s="14">
        <f>'A) Base RI'!Y265</f>
        <v>1150</v>
      </c>
      <c r="AF265" s="14">
        <f>'A) Base RI'!Z265</f>
        <v>0</v>
      </c>
      <c r="AG265" s="14">
        <f>'A) Base RI'!AA265</f>
        <v>132831.1</v>
      </c>
      <c r="AH265" s="14">
        <f>'A) Base RI'!AB265</f>
        <v>0</v>
      </c>
      <c r="AI265" s="14">
        <f>'A) Base RI'!AC265</f>
        <v>63565.9</v>
      </c>
      <c r="AJ265" s="14">
        <f>'A) Base RI'!AD265</f>
        <v>78.099999999999994</v>
      </c>
      <c r="AK265" s="14">
        <f>'A) Base RI'!AE265</f>
        <v>0</v>
      </c>
      <c r="AL265" s="14">
        <f>'A) Base RI'!AF265</f>
        <v>0</v>
      </c>
      <c r="AM265" s="14">
        <f>'A) Base RI'!AG265</f>
        <v>0</v>
      </c>
      <c r="AN265" s="14">
        <f>'A) Base RI'!AH265</f>
        <v>0</v>
      </c>
      <c r="AO265" s="14">
        <f>'A) Base RI'!AI265</f>
        <v>0</v>
      </c>
      <c r="AP265" s="14">
        <f>'A) Base RI'!AJ265</f>
        <v>0</v>
      </c>
      <c r="AQ265" s="14">
        <f>'A) Base RI'!AK265</f>
        <v>0</v>
      </c>
      <c r="AR265" s="14">
        <f>'A) Base RI'!AN265</f>
        <v>700</v>
      </c>
    </row>
    <row r="266" spans="1:44" x14ac:dyDescent="0.25">
      <c r="A266" s="12">
        <f>'A) Base RI'!A266</f>
        <v>5857</v>
      </c>
      <c r="B266" s="42" t="str">
        <f>'A) Base RI'!B266</f>
        <v>Gilly</v>
      </c>
      <c r="C266" s="14">
        <f>'A) Base RI'!C266+'A) Base RI'!D266</f>
        <v>3393221.36</v>
      </c>
      <c r="D266" s="14">
        <f>'A) Base RI'!AO266</f>
        <v>-100860.13</v>
      </c>
      <c r="E266" s="41">
        <f>'A) Base RI'!AP266</f>
        <v>0</v>
      </c>
      <c r="F266" s="41">
        <f>'A) Base RI'!AQ266</f>
        <v>-799.71</v>
      </c>
      <c r="G266" s="4">
        <f t="shared" si="24"/>
        <v>3291561.52</v>
      </c>
      <c r="H266" s="14">
        <f>'A) Base RI'!E266</f>
        <v>0</v>
      </c>
      <c r="I266" s="14">
        <f>'A) Base RI'!F266</f>
        <v>0</v>
      </c>
      <c r="J266" s="14">
        <f>'A) Base RI'!G266+'A) Base RI'!H266</f>
        <v>48059.15</v>
      </c>
      <c r="K266" s="14">
        <f>'A) Base RI'!I266</f>
        <v>10166.549999999999</v>
      </c>
      <c r="L266" s="14">
        <f>'A) Base RI'!J266</f>
        <v>7886.67</v>
      </c>
      <c r="M266" s="14">
        <f>'A) Base RI'!K266</f>
        <v>5690.5</v>
      </c>
      <c r="N266" s="14">
        <f>'A) Base RI'!Q266</f>
        <v>0</v>
      </c>
      <c r="O266" s="14">
        <f t="shared" si="25"/>
        <v>312500.25</v>
      </c>
      <c r="P266" s="14">
        <f>'A) Base RI'!L266</f>
        <v>312500.25</v>
      </c>
      <c r="Q266" s="44">
        <f>'A) Base RI'!AR266</f>
        <v>1</v>
      </c>
      <c r="R266" s="4">
        <f t="shared" si="26"/>
        <v>3675864.6399999997</v>
      </c>
      <c r="S266" s="43">
        <f>'A) Base RI'!AM266</f>
        <v>66</v>
      </c>
      <c r="T266" s="4">
        <f t="shared" si="27"/>
        <v>3357673.8899999997</v>
      </c>
      <c r="U266" s="4">
        <f t="shared" si="28"/>
        <v>55694.918787878785</v>
      </c>
      <c r="V266" s="14">
        <f>'A) Base RI'!O266</f>
        <v>123134.3</v>
      </c>
      <c r="W266" s="14">
        <f>'A) Base RI'!P266</f>
        <v>276375.75</v>
      </c>
      <c r="X266" s="14">
        <f>'A) Base RI'!R266</f>
        <v>264007.65000000002</v>
      </c>
      <c r="Y266" s="4">
        <f t="shared" si="29"/>
        <v>663517.69999999995</v>
      </c>
      <c r="Z266" s="14">
        <f>'A) Base RI'!N266</f>
        <v>62919.5</v>
      </c>
      <c r="AA266" s="14">
        <f>'A) Base RI'!S266+'A) Base RI'!T266</f>
        <v>62.5</v>
      </c>
      <c r="AB266" s="14">
        <f>'A) Base RI'!U266</f>
        <v>1950</v>
      </c>
      <c r="AC266" s="14">
        <f>'A) Base RI'!V266</f>
        <v>0</v>
      </c>
      <c r="AD266" s="14">
        <f>'A) Base RI'!W266</f>
        <v>0</v>
      </c>
      <c r="AE266" s="14">
        <f>'A) Base RI'!Y266</f>
        <v>19492.5</v>
      </c>
      <c r="AF266" s="14">
        <f>'A) Base RI'!Z266</f>
        <v>0</v>
      </c>
      <c r="AG266" s="14">
        <f>'A) Base RI'!AA266</f>
        <v>80189.05</v>
      </c>
      <c r="AH266" s="14">
        <f>'A) Base RI'!AB266</f>
        <v>0</v>
      </c>
      <c r="AI266" s="14">
        <f>'A) Base RI'!AC266</f>
        <v>72010.75</v>
      </c>
      <c r="AJ266" s="14">
        <f>'A) Base RI'!AD266</f>
        <v>0</v>
      </c>
      <c r="AK266" s="14">
        <f>'A) Base RI'!AE266</f>
        <v>0</v>
      </c>
      <c r="AL266" s="14">
        <f>'A) Base RI'!AF266</f>
        <v>0</v>
      </c>
      <c r="AM266" s="14">
        <f>'A) Base RI'!AG266</f>
        <v>1510.1</v>
      </c>
      <c r="AN266" s="14">
        <f>'A) Base RI'!AH266</f>
        <v>27363.55</v>
      </c>
      <c r="AO266" s="14">
        <f>'A) Base RI'!AI266</f>
        <v>0</v>
      </c>
      <c r="AP266" s="14">
        <f>'A) Base RI'!AJ266</f>
        <v>0</v>
      </c>
      <c r="AQ266" s="14">
        <f>'A) Base RI'!AK266</f>
        <v>0</v>
      </c>
      <c r="AR266" s="14">
        <f>'A) Base RI'!AN266</f>
        <v>1131</v>
      </c>
    </row>
    <row r="267" spans="1:44" x14ac:dyDescent="0.25">
      <c r="A267" s="12">
        <f>'A) Base RI'!A267</f>
        <v>5858</v>
      </c>
      <c r="B267" s="42" t="str">
        <f>'A) Base RI'!B267</f>
        <v>Luins</v>
      </c>
      <c r="C267" s="14">
        <f>'A) Base RI'!C267+'A) Base RI'!D267</f>
        <v>1705526.7</v>
      </c>
      <c r="D267" s="14">
        <f>'A) Base RI'!AO267</f>
        <v>-32489.95</v>
      </c>
      <c r="E267" s="41">
        <f>'A) Base RI'!AP267</f>
        <v>0</v>
      </c>
      <c r="F267" s="41">
        <f>'A) Base RI'!AQ267</f>
        <v>-300.37</v>
      </c>
      <c r="G267" s="4">
        <f t="shared" si="24"/>
        <v>1672736.38</v>
      </c>
      <c r="H267" s="14">
        <f>'A) Base RI'!E267</f>
        <v>0</v>
      </c>
      <c r="I267" s="14">
        <f>'A) Base RI'!F267</f>
        <v>0</v>
      </c>
      <c r="J267" s="14">
        <f>'A) Base RI'!G267+'A) Base RI'!H267</f>
        <v>12908.3</v>
      </c>
      <c r="K267" s="14">
        <f>'A) Base RI'!I267</f>
        <v>81744.3</v>
      </c>
      <c r="L267" s="14">
        <f>'A) Base RI'!J267</f>
        <v>103421.04</v>
      </c>
      <c r="M267" s="14">
        <f>'A) Base RI'!K267</f>
        <v>1042.2</v>
      </c>
      <c r="N267" s="14">
        <f>'A) Base RI'!Q267</f>
        <v>4392.01</v>
      </c>
      <c r="O267" s="14">
        <f t="shared" si="25"/>
        <v>139430.06666666668</v>
      </c>
      <c r="P267" s="14">
        <f>'A) Base RI'!L267</f>
        <v>209145.1</v>
      </c>
      <c r="Q267" s="44">
        <f>'A) Base RI'!AR267</f>
        <v>1.5</v>
      </c>
      <c r="R267" s="4">
        <f t="shared" si="26"/>
        <v>2015674.2966666666</v>
      </c>
      <c r="S267" s="43">
        <f>'A) Base RI'!AM267</f>
        <v>60</v>
      </c>
      <c r="T267" s="4">
        <f t="shared" si="27"/>
        <v>1875202.03</v>
      </c>
      <c r="U267" s="4">
        <f t="shared" si="28"/>
        <v>33594.571611111111</v>
      </c>
      <c r="V267" s="14">
        <f>'A) Base RI'!O267</f>
        <v>1393.8</v>
      </c>
      <c r="W267" s="14">
        <f>'A) Base RI'!P267</f>
        <v>26820.3</v>
      </c>
      <c r="X267" s="14">
        <f>'A) Base RI'!R267</f>
        <v>24745.75</v>
      </c>
      <c r="Y267" s="4">
        <f t="shared" si="29"/>
        <v>52959.85</v>
      </c>
      <c r="Z267" s="14">
        <f>'A) Base RI'!N267</f>
        <v>11284.05</v>
      </c>
      <c r="AA267" s="14">
        <f>'A) Base RI'!S267+'A) Base RI'!T267</f>
        <v>0</v>
      </c>
      <c r="AB267" s="14">
        <f>'A) Base RI'!U267</f>
        <v>1950</v>
      </c>
      <c r="AC267" s="14">
        <f>'A) Base RI'!V267</f>
        <v>0</v>
      </c>
      <c r="AD267" s="14">
        <f>'A) Base RI'!W267</f>
        <v>0</v>
      </c>
      <c r="AE267" s="14">
        <f>'A) Base RI'!Y267</f>
        <v>41580</v>
      </c>
      <c r="AF267" s="14">
        <f>'A) Base RI'!Z267</f>
        <v>0</v>
      </c>
      <c r="AG267" s="14">
        <f>'A) Base RI'!AA267</f>
        <v>24949.7</v>
      </c>
      <c r="AH267" s="14">
        <f>'A) Base RI'!AB267</f>
        <v>0</v>
      </c>
      <c r="AI267" s="14">
        <f>'A) Base RI'!AC267</f>
        <v>32570.799999999999</v>
      </c>
      <c r="AJ267" s="14">
        <f>'A) Base RI'!AD267</f>
        <v>0</v>
      </c>
      <c r="AK267" s="14">
        <f>'A) Base RI'!AE267</f>
        <v>0</v>
      </c>
      <c r="AL267" s="14">
        <f>'A) Base RI'!AF267</f>
        <v>0</v>
      </c>
      <c r="AM267" s="14">
        <f>'A) Base RI'!AG267</f>
        <v>27.3</v>
      </c>
      <c r="AN267" s="14">
        <f>'A) Base RI'!AH267</f>
        <v>19309.3</v>
      </c>
      <c r="AO267" s="14">
        <f>'A) Base RI'!AI267</f>
        <v>0</v>
      </c>
      <c r="AP267" s="14">
        <f>'A) Base RI'!AJ267</f>
        <v>0</v>
      </c>
      <c r="AQ267" s="14">
        <f>'A) Base RI'!AK267</f>
        <v>0</v>
      </c>
      <c r="AR267" s="14">
        <f>'A) Base RI'!AN267</f>
        <v>633</v>
      </c>
    </row>
    <row r="268" spans="1:44" x14ac:dyDescent="0.25">
      <c r="A268" s="12">
        <f>'A) Base RI'!A268</f>
        <v>5859</v>
      </c>
      <c r="B268" s="42" t="str">
        <f>'A) Base RI'!B268</f>
        <v>Mont-sur-Rolle</v>
      </c>
      <c r="C268" s="14">
        <f>'A) Base RI'!C268+'A) Base RI'!D268</f>
        <v>8098091.2799999993</v>
      </c>
      <c r="D268" s="14">
        <f>'A) Base RI'!AO268</f>
        <v>-62389.56</v>
      </c>
      <c r="E268" s="41">
        <f>'A) Base RI'!AP268</f>
        <v>0</v>
      </c>
      <c r="F268" s="41">
        <f>'A) Base RI'!AQ268</f>
        <v>-5633.05</v>
      </c>
      <c r="G268" s="4">
        <f t="shared" si="24"/>
        <v>8030068.6699999999</v>
      </c>
      <c r="H268" s="14">
        <f>'A) Base RI'!E268</f>
        <v>0</v>
      </c>
      <c r="I268" s="14">
        <f>'A) Base RI'!F268</f>
        <v>0</v>
      </c>
      <c r="J268" s="14">
        <f>'A) Base RI'!G268+'A) Base RI'!H268</f>
        <v>129255.80000000002</v>
      </c>
      <c r="K268" s="14">
        <f>'A) Base RI'!I268</f>
        <v>442766.5</v>
      </c>
      <c r="L268" s="14">
        <f>'A) Base RI'!J268</f>
        <v>91804.29</v>
      </c>
      <c r="M268" s="14">
        <f>'A) Base RI'!K268</f>
        <v>19193.7</v>
      </c>
      <c r="N268" s="14">
        <f>'A) Base RI'!Q268</f>
        <v>359.66</v>
      </c>
      <c r="O268" s="14">
        <f t="shared" si="25"/>
        <v>587089.55000000005</v>
      </c>
      <c r="P268" s="14">
        <f>'A) Base RI'!L268</f>
        <v>587089.55000000005</v>
      </c>
      <c r="Q268" s="44">
        <f>'A) Base RI'!AR268</f>
        <v>1</v>
      </c>
      <c r="R268" s="4">
        <f t="shared" si="26"/>
        <v>9300538.1699999981</v>
      </c>
      <c r="S268" s="43">
        <f>'A) Base RI'!AM268</f>
        <v>63</v>
      </c>
      <c r="T268" s="4">
        <f t="shared" si="27"/>
        <v>8694254.9199999981</v>
      </c>
      <c r="U268" s="4">
        <f t="shared" si="28"/>
        <v>147627.58999999997</v>
      </c>
      <c r="V268" s="14">
        <f>'A) Base RI'!O268</f>
        <v>35430.9</v>
      </c>
      <c r="W268" s="14">
        <f>'A) Base RI'!P268</f>
        <v>286768.05</v>
      </c>
      <c r="X268" s="14">
        <f>'A) Base RI'!R268</f>
        <v>213633.05</v>
      </c>
      <c r="Y268" s="4">
        <f t="shared" si="29"/>
        <v>535832</v>
      </c>
      <c r="Z268" s="14">
        <f>'A) Base RI'!N268</f>
        <v>60557.85</v>
      </c>
      <c r="AA268" s="14">
        <f>'A) Base RI'!S268+'A) Base RI'!T268</f>
        <v>0</v>
      </c>
      <c r="AB268" s="14">
        <f>'A) Base RI'!U268</f>
        <v>13250</v>
      </c>
      <c r="AC268" s="14">
        <f>'A) Base RI'!V268</f>
        <v>0</v>
      </c>
      <c r="AD268" s="14">
        <f>'A) Base RI'!W268</f>
        <v>0</v>
      </c>
      <c r="AE268" s="14">
        <f>'A) Base RI'!Y268</f>
        <v>18536.2</v>
      </c>
      <c r="AF268" s="14">
        <f>'A) Base RI'!Z268</f>
        <v>0</v>
      </c>
      <c r="AG268" s="14">
        <f>'A) Base RI'!AA268</f>
        <v>376588.1</v>
      </c>
      <c r="AH268" s="14">
        <f>'A) Base RI'!AB268</f>
        <v>0</v>
      </c>
      <c r="AI268" s="14">
        <f>'A) Base RI'!AC268</f>
        <v>165769.9</v>
      </c>
      <c r="AJ268" s="14">
        <f>'A) Base RI'!AD268</f>
        <v>0</v>
      </c>
      <c r="AK268" s="14">
        <f>'A) Base RI'!AE268</f>
        <v>0</v>
      </c>
      <c r="AL268" s="14">
        <f>'A) Base RI'!AF268</f>
        <v>0</v>
      </c>
      <c r="AM268" s="14">
        <f>'A) Base RI'!AG268</f>
        <v>0</v>
      </c>
      <c r="AN268" s="14">
        <f>'A) Base RI'!AH268</f>
        <v>0</v>
      </c>
      <c r="AO268" s="14">
        <f>'A) Base RI'!AI268</f>
        <v>0</v>
      </c>
      <c r="AP268" s="14">
        <f>'A) Base RI'!AJ268</f>
        <v>0</v>
      </c>
      <c r="AQ268" s="14">
        <f>'A) Base RI'!AK268</f>
        <v>0</v>
      </c>
      <c r="AR268" s="14">
        <f>'A) Base RI'!AN268</f>
        <v>2594</v>
      </c>
    </row>
    <row r="269" spans="1:44" x14ac:dyDescent="0.25">
      <c r="A269" s="12">
        <f>'A) Base RI'!A269</f>
        <v>5860</v>
      </c>
      <c r="B269" s="42" t="str">
        <f>'A) Base RI'!B269</f>
        <v>Perroy</v>
      </c>
      <c r="C269" s="14">
        <f>'A) Base RI'!C269+'A) Base RI'!D269</f>
        <v>4423572.7</v>
      </c>
      <c r="D269" s="14">
        <f>'A) Base RI'!AO269</f>
        <v>-94529.2</v>
      </c>
      <c r="E269" s="41">
        <f>'A) Base RI'!AP269</f>
        <v>0</v>
      </c>
      <c r="F269" s="41">
        <f>'A) Base RI'!AQ269</f>
        <v>-4762.24</v>
      </c>
      <c r="G269" s="4">
        <f t="shared" si="24"/>
        <v>4324281.26</v>
      </c>
      <c r="H269" s="14">
        <f>'A) Base RI'!E269</f>
        <v>0</v>
      </c>
      <c r="I269" s="14">
        <f>'A) Base RI'!F269</f>
        <v>0</v>
      </c>
      <c r="J269" s="14">
        <f>'A) Base RI'!G269+'A) Base RI'!H269</f>
        <v>120639.2</v>
      </c>
      <c r="K269" s="14">
        <f>'A) Base RI'!I269</f>
        <v>282874.5</v>
      </c>
      <c r="L269" s="14">
        <f>'A) Base RI'!J269</f>
        <v>135430.39000000001</v>
      </c>
      <c r="M269" s="14">
        <f>'A) Base RI'!K269</f>
        <v>-19501</v>
      </c>
      <c r="N269" s="14">
        <f>'A) Base RI'!Q269</f>
        <v>16479.36</v>
      </c>
      <c r="O269" s="14">
        <f t="shared" si="25"/>
        <v>434300.19230769231</v>
      </c>
      <c r="P269" s="14">
        <f>'A) Base RI'!L269</f>
        <v>564590.25</v>
      </c>
      <c r="Q269" s="44">
        <f>'A) Base RI'!AR269</f>
        <v>1.3</v>
      </c>
      <c r="R269" s="4">
        <f t="shared" si="26"/>
        <v>5294503.902307692</v>
      </c>
      <c r="S269" s="43">
        <f>'A) Base RI'!AM269</f>
        <v>60</v>
      </c>
      <c r="T269" s="4">
        <f t="shared" si="27"/>
        <v>4879704.71</v>
      </c>
      <c r="U269" s="4">
        <f t="shared" si="28"/>
        <v>88241.731705128201</v>
      </c>
      <c r="V269" s="14">
        <f>'A) Base RI'!O269</f>
        <v>720.1</v>
      </c>
      <c r="W269" s="14">
        <f>'A) Base RI'!P269</f>
        <v>387454.9</v>
      </c>
      <c r="X269" s="14">
        <f>'A) Base RI'!R269</f>
        <v>359146.65</v>
      </c>
      <c r="Y269" s="4">
        <f t="shared" si="29"/>
        <v>747321.65</v>
      </c>
      <c r="Z269" s="14">
        <f>'A) Base RI'!N269</f>
        <v>18250.349999999999</v>
      </c>
      <c r="AA269" s="14">
        <f>'A) Base RI'!S269+'A) Base RI'!T269</f>
        <v>0</v>
      </c>
      <c r="AB269" s="14">
        <f>'A) Base RI'!U269</f>
        <v>7320</v>
      </c>
      <c r="AC269" s="14">
        <f>'A) Base RI'!V269</f>
        <v>0</v>
      </c>
      <c r="AD269" s="14">
        <f>'A) Base RI'!W269</f>
        <v>0</v>
      </c>
      <c r="AE269" s="14">
        <f>'A) Base RI'!Y269</f>
        <v>79990.75</v>
      </c>
      <c r="AF269" s="14">
        <f>'A) Base RI'!Z269</f>
        <v>0</v>
      </c>
      <c r="AG269" s="14">
        <f>'A) Base RI'!AA269</f>
        <v>275664.51</v>
      </c>
      <c r="AH269" s="14">
        <f>'A) Base RI'!AB269</f>
        <v>0</v>
      </c>
      <c r="AI269" s="14">
        <f>'A) Base RI'!AC269</f>
        <v>85697.22</v>
      </c>
      <c r="AJ269" s="14">
        <f>'A) Base RI'!AD269</f>
        <v>0</v>
      </c>
      <c r="AK269" s="14">
        <f>'A) Base RI'!AE269</f>
        <v>0</v>
      </c>
      <c r="AL269" s="14">
        <f>'A) Base RI'!AF269</f>
        <v>0</v>
      </c>
      <c r="AM269" s="14">
        <f>'A) Base RI'!AG269</f>
        <v>0</v>
      </c>
      <c r="AN269" s="14">
        <f>'A) Base RI'!AH269</f>
        <v>0</v>
      </c>
      <c r="AO269" s="14">
        <f>'A) Base RI'!AI269</f>
        <v>0</v>
      </c>
      <c r="AP269" s="14">
        <f>'A) Base RI'!AJ269</f>
        <v>0</v>
      </c>
      <c r="AQ269" s="14">
        <f>'A) Base RI'!AK269</f>
        <v>0</v>
      </c>
      <c r="AR269" s="14">
        <f>'A) Base RI'!AN269</f>
        <v>1464</v>
      </c>
    </row>
    <row r="270" spans="1:44" x14ac:dyDescent="0.25">
      <c r="A270" s="12">
        <f>'A) Base RI'!A270</f>
        <v>5861</v>
      </c>
      <c r="B270" s="42" t="str">
        <f>'A) Base RI'!B270</f>
        <v>Rolle</v>
      </c>
      <c r="C270" s="14">
        <f>'A) Base RI'!C270+'A) Base RI'!D270</f>
        <v>13243587.829999998</v>
      </c>
      <c r="D270" s="14">
        <f>'A) Base RI'!AO270</f>
        <v>-253640.76</v>
      </c>
      <c r="E270" s="41">
        <f>'A) Base RI'!AP270</f>
        <v>0</v>
      </c>
      <c r="F270" s="41">
        <f>'A) Base RI'!AQ270</f>
        <v>-9309.49</v>
      </c>
      <c r="G270" s="4">
        <f t="shared" si="24"/>
        <v>12980637.579999998</v>
      </c>
      <c r="H270" s="14">
        <f>'A) Base RI'!E270</f>
        <v>613651</v>
      </c>
      <c r="I270" s="14">
        <f>'A) Base RI'!F270</f>
        <v>0</v>
      </c>
      <c r="J270" s="14">
        <f>'A) Base RI'!G270+'A) Base RI'!H270</f>
        <v>14268189.4</v>
      </c>
      <c r="K270" s="14">
        <f>'A) Base RI'!I270</f>
        <v>1313831.51</v>
      </c>
      <c r="L270" s="14">
        <f>'A) Base RI'!J270</f>
        <v>1514705.56</v>
      </c>
      <c r="M270" s="14">
        <f>'A) Base RI'!K270</f>
        <v>254227.5</v>
      </c>
      <c r="N270" s="14">
        <f>'A) Base RI'!Q270</f>
        <v>103484.05</v>
      </c>
      <c r="O270" s="14">
        <f t="shared" si="25"/>
        <v>1626037.4</v>
      </c>
      <c r="P270" s="14">
        <f>'A) Base RI'!L270</f>
        <v>1626037.4</v>
      </c>
      <c r="Q270" s="44">
        <f>'A) Base RI'!AR270</f>
        <v>1</v>
      </c>
      <c r="R270" s="4">
        <f t="shared" si="26"/>
        <v>32674763.999999996</v>
      </c>
      <c r="S270" s="43">
        <f>'A) Base RI'!AM270</f>
        <v>59.5</v>
      </c>
      <c r="T270" s="4">
        <f t="shared" si="27"/>
        <v>30794499.099999998</v>
      </c>
      <c r="U270" s="4">
        <f t="shared" si="28"/>
        <v>549155.69747899158</v>
      </c>
      <c r="V270" s="14">
        <f>'A) Base RI'!O270</f>
        <v>628357.1</v>
      </c>
      <c r="W270" s="14">
        <f>'A) Base RI'!P270</f>
        <v>490543.75</v>
      </c>
      <c r="X270" s="14">
        <f>'A) Base RI'!R270</f>
        <v>685925.2</v>
      </c>
      <c r="Y270" s="4">
        <f t="shared" si="29"/>
        <v>1804826.05</v>
      </c>
      <c r="Z270" s="14">
        <f>'A) Base RI'!N270</f>
        <v>1381772.65</v>
      </c>
      <c r="AA270" s="14">
        <f>'A) Base RI'!S270+'A) Base RI'!T270</f>
        <v>606.25</v>
      </c>
      <c r="AB270" s="14">
        <f>'A) Base RI'!U270</f>
        <v>16932</v>
      </c>
      <c r="AC270" s="14">
        <f>'A) Base RI'!V270</f>
        <v>0</v>
      </c>
      <c r="AD270" s="14">
        <f>'A) Base RI'!W270</f>
        <v>0</v>
      </c>
      <c r="AE270" s="14">
        <f>'A) Base RI'!Y270</f>
        <v>40890.019999999997</v>
      </c>
      <c r="AF270" s="14">
        <f>'A) Base RI'!Z270</f>
        <v>415580</v>
      </c>
      <c r="AG270" s="14">
        <f>'A) Base RI'!AA270</f>
        <v>1052946</v>
      </c>
      <c r="AH270" s="14">
        <f>'A) Base RI'!AB270</f>
        <v>0</v>
      </c>
      <c r="AI270" s="14">
        <f>'A) Base RI'!AC270</f>
        <v>356529.15</v>
      </c>
      <c r="AJ270" s="14">
        <f>'A) Base RI'!AD270</f>
        <v>0</v>
      </c>
      <c r="AK270" s="14">
        <f>'A) Base RI'!AE270</f>
        <v>0</v>
      </c>
      <c r="AL270" s="14">
        <f>'A) Base RI'!AF270</f>
        <v>0</v>
      </c>
      <c r="AM270" s="14">
        <f>'A) Base RI'!AG270</f>
        <v>107574.3</v>
      </c>
      <c r="AN270" s="14">
        <f>'A) Base RI'!AH270</f>
        <v>220179.25</v>
      </c>
      <c r="AO270" s="14">
        <f>'A) Base RI'!AI270</f>
        <v>0</v>
      </c>
      <c r="AP270" s="14">
        <f>'A) Base RI'!AJ270</f>
        <v>0</v>
      </c>
      <c r="AQ270" s="14">
        <f>'A) Base RI'!AK270</f>
        <v>0</v>
      </c>
      <c r="AR270" s="14">
        <f>'A) Base RI'!AN270</f>
        <v>6047</v>
      </c>
    </row>
    <row r="271" spans="1:44" x14ac:dyDescent="0.25">
      <c r="A271" s="12">
        <f>'A) Base RI'!A271</f>
        <v>5862</v>
      </c>
      <c r="B271" s="42" t="str">
        <f>'A) Base RI'!B271</f>
        <v>Tartegnin</v>
      </c>
      <c r="C271" s="14">
        <f>'A) Base RI'!C271+'A) Base RI'!D271</f>
        <v>756723.74</v>
      </c>
      <c r="D271" s="14">
        <f>'A) Base RI'!AO271</f>
        <v>-3409.8</v>
      </c>
      <c r="E271" s="41">
        <f>'A) Base RI'!AP271</f>
        <v>0</v>
      </c>
      <c r="F271" s="41">
        <f>'A) Base RI'!AQ271</f>
        <v>-8.23</v>
      </c>
      <c r="G271" s="4">
        <f t="shared" si="24"/>
        <v>753305.71</v>
      </c>
      <c r="H271" s="14">
        <f>'A) Base RI'!E271</f>
        <v>0</v>
      </c>
      <c r="I271" s="14">
        <f>'A) Base RI'!F271</f>
        <v>0</v>
      </c>
      <c r="J271" s="14">
        <f>'A) Base RI'!G271+'A) Base RI'!H271</f>
        <v>4929.95</v>
      </c>
      <c r="K271" s="14">
        <f>'A) Base RI'!I271</f>
        <v>0</v>
      </c>
      <c r="L271" s="14">
        <f>'A) Base RI'!J271</f>
        <v>36158.28</v>
      </c>
      <c r="M271" s="14">
        <f>'A) Base RI'!K271</f>
        <v>0</v>
      </c>
      <c r="N271" s="14">
        <f>'A) Base RI'!Q271</f>
        <v>0</v>
      </c>
      <c r="O271" s="14">
        <f t="shared" si="25"/>
        <v>44838.833333333328</v>
      </c>
      <c r="P271" s="14">
        <f>'A) Base RI'!L271</f>
        <v>40354.949999999997</v>
      </c>
      <c r="Q271" s="44">
        <f>'A) Base RI'!AR271</f>
        <v>0.9</v>
      </c>
      <c r="R271" s="4">
        <f t="shared" si="26"/>
        <v>839232.77333333332</v>
      </c>
      <c r="S271" s="43">
        <f>'A) Base RI'!AM271</f>
        <v>84</v>
      </c>
      <c r="T271" s="4">
        <f t="shared" si="27"/>
        <v>794393.94</v>
      </c>
      <c r="U271" s="4">
        <f t="shared" si="28"/>
        <v>9990.8663492063497</v>
      </c>
      <c r="V271" s="14">
        <f>'A) Base RI'!O271</f>
        <v>1224</v>
      </c>
      <c r="W271" s="14">
        <f>'A) Base RI'!P271</f>
        <v>13959.15</v>
      </c>
      <c r="X271" s="14">
        <f>'A) Base RI'!R271</f>
        <v>10460.4</v>
      </c>
      <c r="Y271" s="4">
        <f t="shared" si="29"/>
        <v>25643.55</v>
      </c>
      <c r="Z271" s="14">
        <f>'A) Base RI'!N271</f>
        <v>6283.3</v>
      </c>
      <c r="AA271" s="14">
        <f>'A) Base RI'!S271+'A) Base RI'!T271</f>
        <v>31.25</v>
      </c>
      <c r="AB271" s="14">
        <f>'A) Base RI'!U271</f>
        <v>750</v>
      </c>
      <c r="AC271" s="14">
        <f>'A) Base RI'!V271</f>
        <v>0</v>
      </c>
      <c r="AD271" s="14">
        <f>'A) Base RI'!W271</f>
        <v>0</v>
      </c>
      <c r="AE271" s="14">
        <f>'A) Base RI'!Y271</f>
        <v>0</v>
      </c>
      <c r="AF271" s="14">
        <f>'A) Base RI'!Z271</f>
        <v>0</v>
      </c>
      <c r="AG271" s="14">
        <f>'A) Base RI'!AA271</f>
        <v>46460.4</v>
      </c>
      <c r="AH271" s="14">
        <f>'A) Base RI'!AB271</f>
        <v>0</v>
      </c>
      <c r="AI271" s="14">
        <f>'A) Base RI'!AC271</f>
        <v>14251.45</v>
      </c>
      <c r="AJ271" s="14">
        <f>'A) Base RI'!AD271</f>
        <v>0</v>
      </c>
      <c r="AK271" s="14">
        <f>'A) Base RI'!AE271</f>
        <v>0</v>
      </c>
      <c r="AL271" s="14">
        <f>'A) Base RI'!AF271</f>
        <v>0</v>
      </c>
      <c r="AM271" s="14">
        <f>'A) Base RI'!AG271</f>
        <v>0</v>
      </c>
      <c r="AN271" s="14">
        <f>'A) Base RI'!AH271</f>
        <v>0</v>
      </c>
      <c r="AO271" s="14">
        <f>'A) Base RI'!AI271</f>
        <v>0</v>
      </c>
      <c r="AP271" s="14">
        <f>'A) Base RI'!AJ271</f>
        <v>0</v>
      </c>
      <c r="AQ271" s="14">
        <f>'A) Base RI'!AK271</f>
        <v>0</v>
      </c>
      <c r="AR271" s="14">
        <f>'A) Base RI'!AN271</f>
        <v>230</v>
      </c>
    </row>
    <row r="272" spans="1:44" x14ac:dyDescent="0.25">
      <c r="A272" s="12">
        <f>'A) Base RI'!A272</f>
        <v>5863</v>
      </c>
      <c r="B272" s="42" t="str">
        <f>'A) Base RI'!B272</f>
        <v>Vinzel</v>
      </c>
      <c r="C272" s="14">
        <f>'A) Base RI'!C272+'A) Base RI'!D272</f>
        <v>1638276.43</v>
      </c>
      <c r="D272" s="14">
        <f>'A) Base RI'!AO272</f>
        <v>-12386.62</v>
      </c>
      <c r="E272" s="41">
        <f>'A) Base RI'!AP272</f>
        <v>0</v>
      </c>
      <c r="F272" s="41">
        <f>'A) Base RI'!AQ272</f>
        <v>-2428.83</v>
      </c>
      <c r="G272" s="4">
        <f t="shared" si="24"/>
        <v>1623460.9799999997</v>
      </c>
      <c r="H272" s="14">
        <f>'A) Base RI'!E272</f>
        <v>0</v>
      </c>
      <c r="I272" s="14">
        <f>'A) Base RI'!F272</f>
        <v>0</v>
      </c>
      <c r="J272" s="14">
        <f>'A) Base RI'!G272+'A) Base RI'!H272</f>
        <v>43520.200000000004</v>
      </c>
      <c r="K272" s="14">
        <f>'A) Base RI'!I272</f>
        <v>0</v>
      </c>
      <c r="L272" s="14">
        <f>'A) Base RI'!J272</f>
        <v>54790.99</v>
      </c>
      <c r="M272" s="14">
        <f>'A) Base RI'!K272</f>
        <v>1387</v>
      </c>
      <c r="N272" s="14">
        <f>'A) Base RI'!Q272</f>
        <v>0</v>
      </c>
      <c r="O272" s="14">
        <f t="shared" si="25"/>
        <v>73096.399999999994</v>
      </c>
      <c r="P272" s="14">
        <f>'A) Base RI'!L272</f>
        <v>73096.399999999994</v>
      </c>
      <c r="Q272" s="44">
        <f>'A) Base RI'!AR272</f>
        <v>1</v>
      </c>
      <c r="R272" s="4">
        <f t="shared" si="26"/>
        <v>1796255.5699999996</v>
      </c>
      <c r="S272" s="43">
        <f>'A) Base RI'!AM272</f>
        <v>70</v>
      </c>
      <c r="T272" s="4">
        <f t="shared" si="27"/>
        <v>1721772.1699999997</v>
      </c>
      <c r="U272" s="4">
        <f t="shared" si="28"/>
        <v>25660.793857142853</v>
      </c>
      <c r="V272" s="14">
        <f>'A) Base RI'!O272</f>
        <v>0</v>
      </c>
      <c r="W272" s="14">
        <f>'A) Base RI'!P272</f>
        <v>17066.55</v>
      </c>
      <c r="X272" s="14">
        <f>'A) Base RI'!R272</f>
        <v>25137.599999999999</v>
      </c>
      <c r="Y272" s="4">
        <f t="shared" si="29"/>
        <v>42204.149999999994</v>
      </c>
      <c r="Z272" s="14">
        <f>'A) Base RI'!N272</f>
        <v>20369.650000000001</v>
      </c>
      <c r="AA272" s="14">
        <f>'A) Base RI'!S272+'A) Base RI'!T272</f>
        <v>387.5</v>
      </c>
      <c r="AB272" s="14">
        <f>'A) Base RI'!U272</f>
        <v>1300</v>
      </c>
      <c r="AC272" s="14">
        <f>'A) Base RI'!V272</f>
        <v>0</v>
      </c>
      <c r="AD272" s="14">
        <f>'A) Base RI'!W272</f>
        <v>0</v>
      </c>
      <c r="AE272" s="14">
        <f>'A) Base RI'!Y272</f>
        <v>0</v>
      </c>
      <c r="AF272" s="14">
        <f>'A) Base RI'!Z272</f>
        <v>0</v>
      </c>
      <c r="AG272" s="14">
        <f>'A) Base RI'!AA272</f>
        <v>13424</v>
      </c>
      <c r="AH272" s="14">
        <f>'A) Base RI'!AB272</f>
        <v>0</v>
      </c>
      <c r="AI272" s="14">
        <f>'A) Base RI'!AC272</f>
        <v>34921.800000000003</v>
      </c>
      <c r="AJ272" s="14">
        <f>'A) Base RI'!AD272</f>
        <v>0</v>
      </c>
      <c r="AK272" s="14">
        <f>'A) Base RI'!AE272</f>
        <v>0</v>
      </c>
      <c r="AL272" s="14">
        <f>'A) Base RI'!AF272</f>
        <v>0</v>
      </c>
      <c r="AM272" s="14">
        <f>'A) Base RI'!AG272</f>
        <v>1124.6500000000001</v>
      </c>
      <c r="AN272" s="14">
        <f>'A) Base RI'!AH272</f>
        <v>6522.65</v>
      </c>
      <c r="AO272" s="14">
        <f>'A) Base RI'!AI272</f>
        <v>0</v>
      </c>
      <c r="AP272" s="14">
        <f>'A) Base RI'!AJ272</f>
        <v>0</v>
      </c>
      <c r="AQ272" s="14">
        <f>'A) Base RI'!AK272</f>
        <v>0</v>
      </c>
      <c r="AR272" s="14">
        <f>'A) Base RI'!AN272</f>
        <v>349</v>
      </c>
    </row>
    <row r="273" spans="1:44" x14ac:dyDescent="0.25">
      <c r="A273" s="12">
        <f>'A) Base RI'!A273</f>
        <v>5871</v>
      </c>
      <c r="B273" s="42" t="str">
        <f>'A) Base RI'!B273</f>
        <v>L'Abbaye</v>
      </c>
      <c r="C273" s="14">
        <f>'A) Base RI'!C273+'A) Base RI'!D273</f>
        <v>3197985.79</v>
      </c>
      <c r="D273" s="14">
        <f>'A) Base RI'!AO273</f>
        <v>-25115.439999999999</v>
      </c>
      <c r="E273" s="41">
        <f>'A) Base RI'!AP273</f>
        <v>0</v>
      </c>
      <c r="F273" s="41">
        <f>'A) Base RI'!AQ273</f>
        <v>-91.14</v>
      </c>
      <c r="G273" s="4">
        <f t="shared" si="24"/>
        <v>3172779.21</v>
      </c>
      <c r="H273" s="14">
        <f>'A) Base RI'!E273</f>
        <v>0</v>
      </c>
      <c r="I273" s="14">
        <f>'A) Base RI'!F273</f>
        <v>0</v>
      </c>
      <c r="J273" s="14">
        <f>'A) Base RI'!G273+'A) Base RI'!H273</f>
        <v>300950.15000000002</v>
      </c>
      <c r="K273" s="14">
        <f>'A) Base RI'!I273</f>
        <v>-11689.1</v>
      </c>
      <c r="L273" s="14">
        <f>'A) Base RI'!J273</f>
        <v>92115.51</v>
      </c>
      <c r="M273" s="14">
        <f>'A) Base RI'!K273</f>
        <v>722.25</v>
      </c>
      <c r="N273" s="14">
        <f>'A) Base RI'!Q273</f>
        <v>14793.13</v>
      </c>
      <c r="O273" s="14">
        <f t="shared" si="25"/>
        <v>229585.95</v>
      </c>
      <c r="P273" s="14">
        <f>'A) Base RI'!L273</f>
        <v>229585.95</v>
      </c>
      <c r="Q273" s="44">
        <f>'A) Base RI'!AR273</f>
        <v>1</v>
      </c>
      <c r="R273" s="4">
        <f t="shared" si="26"/>
        <v>3799257.0999999996</v>
      </c>
      <c r="S273" s="43">
        <f>'A) Base RI'!AM273</f>
        <v>77.11</v>
      </c>
      <c r="T273" s="4">
        <f t="shared" si="27"/>
        <v>3568948.8999999994</v>
      </c>
      <c r="U273" s="4">
        <f t="shared" si="28"/>
        <v>49270.614706263776</v>
      </c>
      <c r="V273" s="14">
        <f>'A) Base RI'!O273</f>
        <v>26791.599999999999</v>
      </c>
      <c r="W273" s="14">
        <f>'A) Base RI'!P273</f>
        <v>64423</v>
      </c>
      <c r="X273" s="14">
        <f>'A) Base RI'!R273</f>
        <v>114898.95</v>
      </c>
      <c r="Y273" s="4">
        <f t="shared" si="29"/>
        <v>206113.55</v>
      </c>
      <c r="Z273" s="14">
        <f>'A) Base RI'!N273</f>
        <v>512529.65</v>
      </c>
      <c r="AA273" s="14">
        <f>'A) Base RI'!S273+'A) Base RI'!T273</f>
        <v>250</v>
      </c>
      <c r="AB273" s="14">
        <f>'A) Base RI'!U273</f>
        <v>7950</v>
      </c>
      <c r="AC273" s="14">
        <f>'A) Base RI'!V273</f>
        <v>0</v>
      </c>
      <c r="AD273" s="14">
        <f>'A) Base RI'!W273</f>
        <v>0</v>
      </c>
      <c r="AE273" s="14">
        <f>'A) Base RI'!Y273</f>
        <v>84794</v>
      </c>
      <c r="AF273" s="14">
        <f>'A) Base RI'!Z273</f>
        <v>12702.55</v>
      </c>
      <c r="AG273" s="14">
        <f>'A) Base RI'!AA273</f>
        <v>293378.09999999998</v>
      </c>
      <c r="AH273" s="14">
        <f>'A) Base RI'!AB273</f>
        <v>0</v>
      </c>
      <c r="AI273" s="14">
        <f>'A) Base RI'!AC273</f>
        <v>145923.70000000001</v>
      </c>
      <c r="AJ273" s="14">
        <f>'A) Base RI'!AD273</f>
        <v>0</v>
      </c>
      <c r="AK273" s="14">
        <f>'A) Base RI'!AE273</f>
        <v>0</v>
      </c>
      <c r="AL273" s="14">
        <f>'A) Base RI'!AF273</f>
        <v>0</v>
      </c>
      <c r="AM273" s="14">
        <f>'A) Base RI'!AG273</f>
        <v>61963.65</v>
      </c>
      <c r="AN273" s="14">
        <f>'A) Base RI'!AH273</f>
        <v>0</v>
      </c>
      <c r="AO273" s="14">
        <f>'A) Base RI'!AI273</f>
        <v>0</v>
      </c>
      <c r="AP273" s="14">
        <f>'A) Base RI'!AJ273</f>
        <v>0</v>
      </c>
      <c r="AQ273" s="14">
        <f>'A) Base RI'!AK273</f>
        <v>0</v>
      </c>
      <c r="AR273" s="14">
        <f>'A) Base RI'!AN273</f>
        <v>1423</v>
      </c>
    </row>
    <row r="274" spans="1:44" x14ac:dyDescent="0.25">
      <c r="A274" s="12">
        <f>'A) Base RI'!A274</f>
        <v>5872</v>
      </c>
      <c r="B274" s="42" t="str">
        <f>'A) Base RI'!B274</f>
        <v>Le Chenit</v>
      </c>
      <c r="C274" s="14">
        <f>'A) Base RI'!C274+'A) Base RI'!D274</f>
        <v>7580823.8399999999</v>
      </c>
      <c r="D274" s="14">
        <f>'A) Base RI'!AO274</f>
        <v>-80963.73</v>
      </c>
      <c r="E274" s="41">
        <f>'A) Base RI'!AP274</f>
        <v>0</v>
      </c>
      <c r="F274" s="41">
        <f>'A) Base RI'!AQ274</f>
        <v>-537.03</v>
      </c>
      <c r="G274" s="4">
        <f t="shared" si="24"/>
        <v>7499323.0799999991</v>
      </c>
      <c r="H274" s="14">
        <f>'A) Base RI'!E274</f>
        <v>0</v>
      </c>
      <c r="I274" s="14">
        <f>'A) Base RI'!F274</f>
        <v>0</v>
      </c>
      <c r="J274" s="14">
        <f>'A) Base RI'!G274+'A) Base RI'!H274</f>
        <v>12949022.25</v>
      </c>
      <c r="K274" s="14">
        <f>'A) Base RI'!I274</f>
        <v>0</v>
      </c>
      <c r="L274" s="14">
        <f>'A) Base RI'!J274</f>
        <v>640725.71</v>
      </c>
      <c r="M274" s="14">
        <f>'A) Base RI'!K274</f>
        <v>40783.5</v>
      </c>
      <c r="N274" s="14">
        <f>'A) Base RI'!Q274</f>
        <v>26816.95</v>
      </c>
      <c r="O274" s="14">
        <f t="shared" si="25"/>
        <v>641645.14285714284</v>
      </c>
      <c r="P274" s="14">
        <f>'A) Base RI'!L274</f>
        <v>449151.6</v>
      </c>
      <c r="Q274" s="44">
        <f>'A) Base RI'!AR274</f>
        <v>0.7</v>
      </c>
      <c r="R274" s="4">
        <f t="shared" si="26"/>
        <v>21798316.63285714</v>
      </c>
      <c r="S274" s="43">
        <f>'A) Base RI'!AM274</f>
        <v>69.739999999999995</v>
      </c>
      <c r="T274" s="4">
        <f t="shared" si="27"/>
        <v>21115887.989999998</v>
      </c>
      <c r="U274" s="4">
        <f t="shared" si="28"/>
        <v>312565.48082674423</v>
      </c>
      <c r="V274" s="14">
        <f>'A) Base RI'!O274</f>
        <v>67019.899999999994</v>
      </c>
      <c r="W274" s="14">
        <f>'A) Base RI'!P274</f>
        <v>287706.5</v>
      </c>
      <c r="X274" s="14">
        <f>'A) Base RI'!R274</f>
        <v>205029.55</v>
      </c>
      <c r="Y274" s="4">
        <f t="shared" si="29"/>
        <v>559755.94999999995</v>
      </c>
      <c r="Z274" s="14">
        <f>'A) Base RI'!N274</f>
        <v>4336543.1500000004</v>
      </c>
      <c r="AA274" s="14">
        <f>'A) Base RI'!S274+'A) Base RI'!T274</f>
        <v>3981.25</v>
      </c>
      <c r="AB274" s="14">
        <f>'A) Base RI'!U274</f>
        <v>26400</v>
      </c>
      <c r="AC274" s="14">
        <f>'A) Base RI'!V274</f>
        <v>0</v>
      </c>
      <c r="AD274" s="14">
        <f>'A) Base RI'!W274</f>
        <v>0</v>
      </c>
      <c r="AE274" s="14">
        <f>'A) Base RI'!Y274</f>
        <v>73694</v>
      </c>
      <c r="AF274" s="14">
        <f>'A) Base RI'!Z274</f>
        <v>36847</v>
      </c>
      <c r="AG274" s="14">
        <f>'A) Base RI'!AA274</f>
        <v>962389.95</v>
      </c>
      <c r="AH274" s="14">
        <f>'A) Base RI'!AB274</f>
        <v>0</v>
      </c>
      <c r="AI274" s="14">
        <f>'A) Base RI'!AC274</f>
        <v>416727.4</v>
      </c>
      <c r="AJ274" s="14">
        <f>'A) Base RI'!AD274</f>
        <v>49129</v>
      </c>
      <c r="AK274" s="14">
        <f>'A) Base RI'!AE274</f>
        <v>24565</v>
      </c>
      <c r="AL274" s="14">
        <f>'A) Base RI'!AF274</f>
        <v>0</v>
      </c>
      <c r="AM274" s="14">
        <f>'A) Base RI'!AG274</f>
        <v>113011.42</v>
      </c>
      <c r="AN274" s="14">
        <f>'A) Base RI'!AH274</f>
        <v>0</v>
      </c>
      <c r="AO274" s="14">
        <f>'A) Base RI'!AI274</f>
        <v>0</v>
      </c>
      <c r="AP274" s="14">
        <f>'A) Base RI'!AJ274</f>
        <v>0</v>
      </c>
      <c r="AQ274" s="14">
        <f>'A) Base RI'!AK274</f>
        <v>0</v>
      </c>
      <c r="AR274" s="14">
        <f>'A) Base RI'!AN274</f>
        <v>4614</v>
      </c>
    </row>
    <row r="275" spans="1:44" x14ac:dyDescent="0.25">
      <c r="A275" s="12">
        <f>'A) Base RI'!A275</f>
        <v>5873</v>
      </c>
      <c r="B275" s="42" t="str">
        <f>'A) Base RI'!B275</f>
        <v>Le Lieu</v>
      </c>
      <c r="C275" s="14">
        <f>'A) Base RI'!C275+'A) Base RI'!D275</f>
        <v>1571649.56</v>
      </c>
      <c r="D275" s="14">
        <f>'A) Base RI'!AO275</f>
        <v>-18562.34</v>
      </c>
      <c r="E275" s="41">
        <f>'A) Base RI'!AP275</f>
        <v>0</v>
      </c>
      <c r="F275" s="41">
        <f>'A) Base RI'!AQ275</f>
        <v>-97.47</v>
      </c>
      <c r="G275" s="4">
        <f t="shared" si="24"/>
        <v>1552989.75</v>
      </c>
      <c r="H275" s="14">
        <f>'A) Base RI'!E275</f>
        <v>0</v>
      </c>
      <c r="I275" s="14">
        <f>'A) Base RI'!F275</f>
        <v>0</v>
      </c>
      <c r="J275" s="14">
        <f>'A) Base RI'!G275+'A) Base RI'!H275</f>
        <v>506307.7</v>
      </c>
      <c r="K275" s="14">
        <f>'A) Base RI'!I275</f>
        <v>0</v>
      </c>
      <c r="L275" s="14">
        <f>'A) Base RI'!J275</f>
        <v>48331.14</v>
      </c>
      <c r="M275" s="14">
        <f>'A) Base RI'!K275</f>
        <v>0</v>
      </c>
      <c r="N275" s="14">
        <f>'A) Base RI'!Q275</f>
        <v>7929.71</v>
      </c>
      <c r="O275" s="14">
        <f t="shared" si="25"/>
        <v>218368</v>
      </c>
      <c r="P275" s="14">
        <f>'A) Base RI'!L275</f>
        <v>131020.8</v>
      </c>
      <c r="Q275" s="44">
        <f>'A) Base RI'!AR275</f>
        <v>0.6</v>
      </c>
      <c r="R275" s="4">
        <f t="shared" si="26"/>
        <v>2333926.2999999998</v>
      </c>
      <c r="S275" s="43">
        <f>'A) Base RI'!AM275</f>
        <v>65</v>
      </c>
      <c r="T275" s="4">
        <f t="shared" si="27"/>
        <v>2115558.2999999998</v>
      </c>
      <c r="U275" s="4">
        <f t="shared" si="28"/>
        <v>35906.558461538458</v>
      </c>
      <c r="V275" s="14">
        <f>'A) Base RI'!O275</f>
        <v>0</v>
      </c>
      <c r="W275" s="14">
        <f>'A) Base RI'!P275</f>
        <v>170036.2</v>
      </c>
      <c r="X275" s="14">
        <f>'A) Base RI'!R275</f>
        <v>53636.5</v>
      </c>
      <c r="Y275" s="4">
        <f t="shared" si="29"/>
        <v>223672.7</v>
      </c>
      <c r="Z275" s="14">
        <f>'A) Base RI'!N275</f>
        <v>766492.05</v>
      </c>
      <c r="AA275" s="14">
        <f>'A) Base RI'!S275+'A) Base RI'!T275</f>
        <v>156.25</v>
      </c>
      <c r="AB275" s="14">
        <f>'A) Base RI'!U275</f>
        <v>5850</v>
      </c>
      <c r="AC275" s="14">
        <f>'A) Base RI'!V275</f>
        <v>0</v>
      </c>
      <c r="AD275" s="14">
        <f>'A) Base RI'!W275</f>
        <v>0</v>
      </c>
      <c r="AE275" s="14">
        <f>'A) Base RI'!Y275</f>
        <v>12840</v>
      </c>
      <c r="AF275" s="14">
        <f>'A) Base RI'!Z275</f>
        <v>0</v>
      </c>
      <c r="AG275" s="14">
        <f>'A) Base RI'!AA275</f>
        <v>228102</v>
      </c>
      <c r="AH275" s="14">
        <f>'A) Base RI'!AB275</f>
        <v>0</v>
      </c>
      <c r="AI275" s="14">
        <f>'A) Base RI'!AC275</f>
        <v>87280.2</v>
      </c>
      <c r="AJ275" s="14">
        <f>'A) Base RI'!AD275</f>
        <v>8140</v>
      </c>
      <c r="AK275" s="14">
        <f>'A) Base RI'!AE275</f>
        <v>0</v>
      </c>
      <c r="AL275" s="14">
        <f>'A) Base RI'!AF275</f>
        <v>0</v>
      </c>
      <c r="AM275" s="14">
        <f>'A) Base RI'!AG275</f>
        <v>23543.7</v>
      </c>
      <c r="AN275" s="14">
        <f>'A) Base RI'!AH275</f>
        <v>0</v>
      </c>
      <c r="AO275" s="14">
        <f>'A) Base RI'!AI275</f>
        <v>0</v>
      </c>
      <c r="AP275" s="14">
        <f>'A) Base RI'!AJ275</f>
        <v>0</v>
      </c>
      <c r="AQ275" s="14">
        <f>'A) Base RI'!AK275</f>
        <v>0</v>
      </c>
      <c r="AR275" s="14">
        <f>'A) Base RI'!AN275</f>
        <v>859</v>
      </c>
    </row>
    <row r="276" spans="1:44" x14ac:dyDescent="0.25">
      <c r="A276" s="12">
        <f>'A) Base RI'!A276</f>
        <v>5881</v>
      </c>
      <c r="B276" s="42" t="str">
        <f>'A) Base RI'!B276</f>
        <v>Blonay</v>
      </c>
      <c r="C276" s="14">
        <f>'A) Base RI'!C276+'A) Base RI'!D276</f>
        <v>21061127.540000003</v>
      </c>
      <c r="D276" s="14">
        <f>'A) Base RI'!AO276</f>
        <v>-495350.95</v>
      </c>
      <c r="E276" s="41">
        <f>'A) Base RI'!AP276</f>
        <v>0</v>
      </c>
      <c r="F276" s="41">
        <f>'A) Base RI'!AQ276</f>
        <v>-9066.18</v>
      </c>
      <c r="G276" s="4">
        <f t="shared" si="24"/>
        <v>20556710.410000004</v>
      </c>
      <c r="H276" s="14">
        <f>'A) Base RI'!E276</f>
        <v>0</v>
      </c>
      <c r="I276" s="14">
        <f>'A) Base RI'!F276</f>
        <v>0</v>
      </c>
      <c r="J276" s="14">
        <f>'A) Base RI'!G276+'A) Base RI'!H276</f>
        <v>904542.04999999993</v>
      </c>
      <c r="K276" s="14">
        <f>'A) Base RI'!I276</f>
        <v>575811.28</v>
      </c>
      <c r="L276" s="14">
        <f>'A) Base RI'!J276</f>
        <v>597643.92000000004</v>
      </c>
      <c r="M276" s="14">
        <f>'A) Base RI'!K276</f>
        <v>53867</v>
      </c>
      <c r="N276" s="14">
        <f>'A) Base RI'!Q276</f>
        <v>308976.87</v>
      </c>
      <c r="O276" s="14">
        <f t="shared" si="25"/>
        <v>1523634.85</v>
      </c>
      <c r="P276" s="14">
        <f>'A) Base RI'!L276</f>
        <v>1523634.85</v>
      </c>
      <c r="Q276" s="44">
        <f>'A) Base RI'!AR276</f>
        <v>1</v>
      </c>
      <c r="R276" s="4">
        <f t="shared" si="26"/>
        <v>24521186.38000001</v>
      </c>
      <c r="S276" s="43">
        <f>'A) Base RI'!AM276</f>
        <v>70</v>
      </c>
      <c r="T276" s="4">
        <f t="shared" si="27"/>
        <v>22943684.530000009</v>
      </c>
      <c r="U276" s="4">
        <f t="shared" si="28"/>
        <v>350302.66257142869</v>
      </c>
      <c r="V276" s="14">
        <f>'A) Base RI'!O276</f>
        <v>70267.899999999994</v>
      </c>
      <c r="W276" s="14">
        <f>'A) Base RI'!P276</f>
        <v>939378</v>
      </c>
      <c r="X276" s="14">
        <f>'A) Base RI'!R276</f>
        <v>881290.3</v>
      </c>
      <c r="Y276" s="4">
        <f t="shared" si="29"/>
        <v>1890936.2000000002</v>
      </c>
      <c r="Z276" s="14">
        <f>'A) Base RI'!N276</f>
        <v>84265.7</v>
      </c>
      <c r="AA276" s="14">
        <f>'A) Base RI'!S276+'A) Base RI'!T276</f>
        <v>431.25</v>
      </c>
      <c r="AB276" s="14">
        <f>'A) Base RI'!U276</f>
        <v>39550</v>
      </c>
      <c r="AC276" s="14">
        <f>'A) Base RI'!V276</f>
        <v>0</v>
      </c>
      <c r="AD276" s="14">
        <f>'A) Base RI'!W276</f>
        <v>0</v>
      </c>
      <c r="AE276" s="14">
        <f>'A) Base RI'!Y276</f>
        <v>254624.15</v>
      </c>
      <c r="AF276" s="14">
        <f>'A) Base RI'!Z276</f>
        <v>0</v>
      </c>
      <c r="AG276" s="14">
        <f>'A) Base RI'!AA276</f>
        <v>452000.9</v>
      </c>
      <c r="AH276" s="14">
        <f>'A) Base RI'!AB276</f>
        <v>0</v>
      </c>
      <c r="AI276" s="14">
        <f>'A) Base RI'!AC276</f>
        <v>758353.15</v>
      </c>
      <c r="AJ276" s="14">
        <f>'A) Base RI'!AD276</f>
        <v>326635.65000000002</v>
      </c>
      <c r="AK276" s="14">
        <f>'A) Base RI'!AE276</f>
        <v>0</v>
      </c>
      <c r="AL276" s="14">
        <f>'A) Base RI'!AF276</f>
        <v>0</v>
      </c>
      <c r="AM276" s="14">
        <f>'A) Base RI'!AG276</f>
        <v>0</v>
      </c>
      <c r="AN276" s="14">
        <f>'A) Base RI'!AH276</f>
        <v>0</v>
      </c>
      <c r="AO276" s="14">
        <f>'A) Base RI'!AI276</f>
        <v>0</v>
      </c>
      <c r="AP276" s="14">
        <f>'A) Base RI'!AJ276</f>
        <v>0</v>
      </c>
      <c r="AQ276" s="14">
        <f>'A) Base RI'!AK276</f>
        <v>0</v>
      </c>
      <c r="AR276" s="14">
        <f>'A) Base RI'!AN276</f>
        <v>6132</v>
      </c>
    </row>
    <row r="277" spans="1:44" x14ac:dyDescent="0.25">
      <c r="A277" s="12">
        <f>'A) Base RI'!A277</f>
        <v>5882</v>
      </c>
      <c r="B277" s="42" t="str">
        <f>'A) Base RI'!B277</f>
        <v>Chardonne</v>
      </c>
      <c r="C277" s="14">
        <f>'A) Base RI'!C277+'A) Base RI'!D277</f>
        <v>8767054.8000000007</v>
      </c>
      <c r="D277" s="14">
        <f>'A) Base RI'!AO277</f>
        <v>-72369.570000000007</v>
      </c>
      <c r="E277" s="41">
        <f>'A) Base RI'!AP277</f>
        <v>0</v>
      </c>
      <c r="F277" s="41">
        <f>'A) Base RI'!AQ277</f>
        <v>-2180.65</v>
      </c>
      <c r="G277" s="4">
        <f t="shared" si="24"/>
        <v>8692504.5800000001</v>
      </c>
      <c r="H277" s="14">
        <f>'A) Base RI'!E277</f>
        <v>0</v>
      </c>
      <c r="I277" s="14">
        <f>'A) Base RI'!F277</f>
        <v>0</v>
      </c>
      <c r="J277" s="14">
        <f>'A) Base RI'!G277+'A) Base RI'!H277</f>
        <v>339183.85000000003</v>
      </c>
      <c r="K277" s="14">
        <f>'A) Base RI'!I277</f>
        <v>648858.9</v>
      </c>
      <c r="L277" s="14">
        <f>'A) Base RI'!J277</f>
        <v>205936.44</v>
      </c>
      <c r="M277" s="14">
        <f>'A) Base RI'!K277</f>
        <v>14266</v>
      </c>
      <c r="N277" s="14">
        <f>'A) Base RI'!Q277</f>
        <v>40184.85</v>
      </c>
      <c r="O277" s="14">
        <f t="shared" si="25"/>
        <v>808765.75</v>
      </c>
      <c r="P277" s="14">
        <f>'A) Base RI'!L277</f>
        <v>808765.75</v>
      </c>
      <c r="Q277" s="44">
        <f>'A) Base RI'!AR277</f>
        <v>1</v>
      </c>
      <c r="R277" s="4">
        <f t="shared" si="26"/>
        <v>10749700.369999999</v>
      </c>
      <c r="S277" s="43">
        <f>'A) Base RI'!AM277</f>
        <v>66</v>
      </c>
      <c r="T277" s="4">
        <f t="shared" si="27"/>
        <v>9926668.6199999992</v>
      </c>
      <c r="U277" s="4">
        <f t="shared" si="28"/>
        <v>162874.24803030302</v>
      </c>
      <c r="V277" s="14">
        <f>'A) Base RI'!O277</f>
        <v>714160.5</v>
      </c>
      <c r="W277" s="14">
        <f>'A) Base RI'!P277</f>
        <v>472638.5</v>
      </c>
      <c r="X277" s="14">
        <f>'A) Base RI'!R277</f>
        <v>266673.15000000002</v>
      </c>
      <c r="Y277" s="4">
        <f t="shared" si="29"/>
        <v>1453472.15</v>
      </c>
      <c r="Z277" s="14">
        <f>'A) Base RI'!N277</f>
        <v>0</v>
      </c>
      <c r="AA277" s="14">
        <f>'A) Base RI'!S277+'A) Base RI'!T277</f>
        <v>118.9</v>
      </c>
      <c r="AB277" s="14">
        <f>'A) Base RI'!U277</f>
        <v>11440</v>
      </c>
      <c r="AC277" s="14">
        <f>'A) Base RI'!V277</f>
        <v>0</v>
      </c>
      <c r="AD277" s="14">
        <f>'A) Base RI'!W277</f>
        <v>0</v>
      </c>
      <c r="AE277" s="14">
        <f>'A) Base RI'!Y277</f>
        <v>-17067.25</v>
      </c>
      <c r="AF277" s="14">
        <f>'A) Base RI'!Z277</f>
        <v>0</v>
      </c>
      <c r="AG277" s="14">
        <f>'A) Base RI'!AA277</f>
        <v>278639.94</v>
      </c>
      <c r="AH277" s="14">
        <f>'A) Base RI'!AB277</f>
        <v>0</v>
      </c>
      <c r="AI277" s="14">
        <f>'A) Base RI'!AC277</f>
        <v>232156.99</v>
      </c>
      <c r="AJ277" s="14">
        <f>'A) Base RI'!AD277</f>
        <v>0</v>
      </c>
      <c r="AK277" s="14">
        <f>'A) Base RI'!AE277</f>
        <v>0</v>
      </c>
      <c r="AL277" s="14">
        <f>'A) Base RI'!AF277</f>
        <v>0</v>
      </c>
      <c r="AM277" s="14">
        <f>'A) Base RI'!AG277</f>
        <v>0</v>
      </c>
      <c r="AN277" s="14">
        <f>'A) Base RI'!AH277</f>
        <v>0</v>
      </c>
      <c r="AO277" s="14">
        <f>'A) Base RI'!AI277</f>
        <v>0</v>
      </c>
      <c r="AP277" s="14">
        <f>'A) Base RI'!AJ277</f>
        <v>0</v>
      </c>
      <c r="AQ277" s="14">
        <f>'A) Base RI'!AK277</f>
        <v>0</v>
      </c>
      <c r="AR277" s="14">
        <f>'A) Base RI'!AN277</f>
        <v>2889</v>
      </c>
    </row>
    <row r="278" spans="1:44" x14ac:dyDescent="0.25">
      <c r="A278" s="12">
        <f>'A) Base RI'!A278</f>
        <v>5883</v>
      </c>
      <c r="B278" s="42" t="str">
        <f>'A) Base RI'!B278</f>
        <v>Corseaux</v>
      </c>
      <c r="C278" s="14">
        <f>'A) Base RI'!C278+'A) Base RI'!D278</f>
        <v>8125728.0999999996</v>
      </c>
      <c r="D278" s="14">
        <f>'A) Base RI'!AO278</f>
        <v>-203366.76</v>
      </c>
      <c r="E278" s="41">
        <f>'A) Base RI'!AP278</f>
        <v>0</v>
      </c>
      <c r="F278" s="41">
        <f>'A) Base RI'!AQ278</f>
        <v>-11498.93</v>
      </c>
      <c r="G278" s="4">
        <f t="shared" si="24"/>
        <v>7910862.4100000001</v>
      </c>
      <c r="H278" s="14">
        <f>'A) Base RI'!E278</f>
        <v>0</v>
      </c>
      <c r="I278" s="14">
        <f>'A) Base RI'!F278</f>
        <v>0</v>
      </c>
      <c r="J278" s="14">
        <f>'A) Base RI'!G278+'A) Base RI'!H278</f>
        <v>267608.25</v>
      </c>
      <c r="K278" s="14">
        <f>'A) Base RI'!I278</f>
        <v>119265.4</v>
      </c>
      <c r="L278" s="14">
        <f>'A) Base RI'!J278</f>
        <v>163909.34</v>
      </c>
      <c r="M278" s="14">
        <f>'A) Base RI'!K278</f>
        <v>15237.5</v>
      </c>
      <c r="N278" s="14">
        <f>'A) Base RI'!Q278</f>
        <v>179154.01</v>
      </c>
      <c r="O278" s="14">
        <f t="shared" si="25"/>
        <v>586718.55000000005</v>
      </c>
      <c r="P278" s="14">
        <f>'A) Base RI'!L278</f>
        <v>586718.55000000005</v>
      </c>
      <c r="Q278" s="44">
        <f>'A) Base RI'!AR278</f>
        <v>1</v>
      </c>
      <c r="R278" s="4">
        <f t="shared" si="26"/>
        <v>9242755.4600000009</v>
      </c>
      <c r="S278" s="43">
        <f>'A) Base RI'!AM278</f>
        <v>64</v>
      </c>
      <c r="T278" s="4">
        <f t="shared" si="27"/>
        <v>8640799.4100000001</v>
      </c>
      <c r="U278" s="4">
        <f t="shared" si="28"/>
        <v>144418.05406250001</v>
      </c>
      <c r="V278" s="14">
        <f>'A) Base RI'!O278</f>
        <v>303292.90000000002</v>
      </c>
      <c r="W278" s="14">
        <f>'A) Base RI'!P278</f>
        <v>443659.55</v>
      </c>
      <c r="X278" s="14">
        <f>'A) Base RI'!R278</f>
        <v>375029.3</v>
      </c>
      <c r="Y278" s="4">
        <f t="shared" si="29"/>
        <v>1121981.75</v>
      </c>
      <c r="Z278" s="14">
        <f>'A) Base RI'!N278</f>
        <v>4430.75</v>
      </c>
      <c r="AA278" s="14">
        <f>'A) Base RI'!S278+'A) Base RI'!T278</f>
        <v>62.55</v>
      </c>
      <c r="AB278" s="14">
        <f>'A) Base RI'!U278</f>
        <v>4975</v>
      </c>
      <c r="AC278" s="14">
        <f>'A) Base RI'!V278</f>
        <v>0</v>
      </c>
      <c r="AD278" s="14">
        <f>'A) Base RI'!W278</f>
        <v>0</v>
      </c>
      <c r="AE278" s="14">
        <f>'A) Base RI'!Y278</f>
        <v>0</v>
      </c>
      <c r="AF278" s="14">
        <f>'A) Base RI'!Z278</f>
        <v>0</v>
      </c>
      <c r="AG278" s="14">
        <f>'A) Base RI'!AA278</f>
        <v>0</v>
      </c>
      <c r="AH278" s="14">
        <f>'A) Base RI'!AB278</f>
        <v>445640</v>
      </c>
      <c r="AI278" s="14">
        <f>'A) Base RI'!AC278</f>
        <v>374072.41</v>
      </c>
      <c r="AJ278" s="14">
        <f>'A) Base RI'!AD278</f>
        <v>228688.64000000001</v>
      </c>
      <c r="AK278" s="14">
        <f>'A) Base RI'!AE278</f>
        <v>0</v>
      </c>
      <c r="AL278" s="14">
        <f>'A) Base RI'!AF278</f>
        <v>0</v>
      </c>
      <c r="AM278" s="14">
        <f>'A) Base RI'!AG278</f>
        <v>0</v>
      </c>
      <c r="AN278" s="14">
        <f>'A) Base RI'!AH278</f>
        <v>0</v>
      </c>
      <c r="AO278" s="14">
        <f>'A) Base RI'!AI278</f>
        <v>0</v>
      </c>
      <c r="AP278" s="14">
        <f>'A) Base RI'!AJ278</f>
        <v>0</v>
      </c>
      <c r="AQ278" s="14">
        <f>'A) Base RI'!AK278</f>
        <v>0</v>
      </c>
      <c r="AR278" s="14">
        <f>'A) Base RI'!AN278</f>
        <v>2172</v>
      </c>
    </row>
    <row r="279" spans="1:44" x14ac:dyDescent="0.25">
      <c r="A279" s="12">
        <f>'A) Base RI'!A279</f>
        <v>5884</v>
      </c>
      <c r="B279" s="42" t="str">
        <f>'A) Base RI'!B279</f>
        <v>Corsier-sur-Vevey</v>
      </c>
      <c r="C279" s="14">
        <f>'A) Base RI'!C279+'A) Base RI'!D279</f>
        <v>6089252.3600000003</v>
      </c>
      <c r="D279" s="14">
        <f>'A) Base RI'!AO279</f>
        <v>-148978.16</v>
      </c>
      <c r="E279" s="41">
        <f>'A) Base RI'!AP279</f>
        <v>0</v>
      </c>
      <c r="F279" s="41">
        <f>'A) Base RI'!AQ279</f>
        <v>-276.98</v>
      </c>
      <c r="G279" s="4">
        <f t="shared" si="24"/>
        <v>5939997.2199999997</v>
      </c>
      <c r="H279" s="14">
        <f>'A) Base RI'!E279</f>
        <v>0</v>
      </c>
      <c r="I279" s="14">
        <f>'A) Base RI'!F279</f>
        <v>0</v>
      </c>
      <c r="J279" s="14">
        <f>'A) Base RI'!G279+'A) Base RI'!H279</f>
        <v>1541489.59</v>
      </c>
      <c r="K279" s="14">
        <f>'A) Base RI'!I279</f>
        <v>16478.900000000001</v>
      </c>
      <c r="L279" s="14">
        <f>'A) Base RI'!J279</f>
        <v>273364.46000000002</v>
      </c>
      <c r="M279" s="14">
        <f>'A) Base RI'!K279</f>
        <v>166715.5</v>
      </c>
      <c r="N279" s="14">
        <f>'A) Base RI'!Q279</f>
        <v>66588.81</v>
      </c>
      <c r="O279" s="14">
        <f t="shared" si="25"/>
        <v>732441.08333333337</v>
      </c>
      <c r="P279" s="14">
        <f>'A) Base RI'!L279</f>
        <v>878929.3</v>
      </c>
      <c r="Q279" s="44">
        <f>'A) Base RI'!AR279</f>
        <v>1.2</v>
      </c>
      <c r="R279" s="4">
        <f t="shared" si="26"/>
        <v>8737075.5633333325</v>
      </c>
      <c r="S279" s="43">
        <f>'A) Base RI'!AM279</f>
        <v>66</v>
      </c>
      <c r="T279" s="4">
        <f t="shared" si="27"/>
        <v>7837918.9799999995</v>
      </c>
      <c r="U279" s="4">
        <f t="shared" si="28"/>
        <v>132379.93277777778</v>
      </c>
      <c r="V279" s="14">
        <f>'A) Base RI'!O279</f>
        <v>26716.3</v>
      </c>
      <c r="W279" s="14">
        <f>'A) Base RI'!P279</f>
        <v>352541.65</v>
      </c>
      <c r="X279" s="14">
        <f>'A) Base RI'!R279</f>
        <v>140627.29999999999</v>
      </c>
      <c r="Y279" s="4">
        <f t="shared" si="29"/>
        <v>519885.25</v>
      </c>
      <c r="Z279" s="14">
        <f>'A) Base RI'!N279</f>
        <v>276074.8</v>
      </c>
      <c r="AA279" s="14">
        <f>'A) Base RI'!S279+'A) Base RI'!T279</f>
        <v>487.5</v>
      </c>
      <c r="AB279" s="14">
        <f>'A) Base RI'!U279</f>
        <v>17150</v>
      </c>
      <c r="AC279" s="14">
        <f>'A) Base RI'!V279</f>
        <v>0</v>
      </c>
      <c r="AD279" s="14">
        <f>'A) Base RI'!W279</f>
        <v>0</v>
      </c>
      <c r="AE279" s="14">
        <f>'A) Base RI'!Y279</f>
        <v>6153.7</v>
      </c>
      <c r="AF279" s="14">
        <f>'A) Base RI'!Z279</f>
        <v>307721.2</v>
      </c>
      <c r="AG279" s="14">
        <f>'A) Base RI'!AA279</f>
        <v>0</v>
      </c>
      <c r="AH279" s="14">
        <f>'A) Base RI'!AB279</f>
        <v>596673.94999999995</v>
      </c>
      <c r="AI279" s="14">
        <f>'A) Base RI'!AC279</f>
        <v>244009.55</v>
      </c>
      <c r="AJ279" s="14">
        <f>'A) Base RI'!AD279</f>
        <v>0</v>
      </c>
      <c r="AK279" s="14">
        <f>'A) Base RI'!AE279</f>
        <v>0</v>
      </c>
      <c r="AL279" s="14">
        <f>'A) Base RI'!AF279</f>
        <v>0</v>
      </c>
      <c r="AM279" s="14">
        <f>'A) Base RI'!AG279</f>
        <v>14907</v>
      </c>
      <c r="AN279" s="14">
        <f>'A) Base RI'!AH279</f>
        <v>275914.05</v>
      </c>
      <c r="AO279" s="14">
        <f>'A) Base RI'!AI279</f>
        <v>0</v>
      </c>
      <c r="AP279" s="14">
        <f>'A) Base RI'!AJ279</f>
        <v>0</v>
      </c>
      <c r="AQ279" s="14">
        <f>'A) Base RI'!AK279</f>
        <v>0</v>
      </c>
      <c r="AR279" s="14">
        <f>'A) Base RI'!AN279</f>
        <v>3427</v>
      </c>
    </row>
    <row r="280" spans="1:44" x14ac:dyDescent="0.25">
      <c r="A280" s="12">
        <f>'A) Base RI'!A280</f>
        <v>5885</v>
      </c>
      <c r="B280" s="42" t="str">
        <f>'A) Base RI'!B280</f>
        <v>Jongny</v>
      </c>
      <c r="C280" s="14">
        <f>'A) Base RI'!C280+'A) Base RI'!D280</f>
        <v>9014597.5299999993</v>
      </c>
      <c r="D280" s="14">
        <f>'A) Base RI'!AO280</f>
        <v>-12401.94</v>
      </c>
      <c r="E280" s="41">
        <f>'A) Base RI'!AP280</f>
        <v>0</v>
      </c>
      <c r="F280" s="41">
        <f>'A) Base RI'!AQ280</f>
        <v>-2502.75</v>
      </c>
      <c r="G280" s="4">
        <f t="shared" si="24"/>
        <v>8999692.8399999999</v>
      </c>
      <c r="H280" s="14">
        <f>'A) Base RI'!E280</f>
        <v>0</v>
      </c>
      <c r="I280" s="14">
        <f>'A) Base RI'!F280</f>
        <v>0</v>
      </c>
      <c r="J280" s="14">
        <f>'A) Base RI'!G280+'A) Base RI'!H280</f>
        <v>48958.8</v>
      </c>
      <c r="K280" s="14">
        <f>'A) Base RI'!I280</f>
        <v>108946.15</v>
      </c>
      <c r="L280" s="14">
        <f>'A) Base RI'!J280</f>
        <v>41176.28</v>
      </c>
      <c r="M280" s="14">
        <f>'A) Base RI'!K280</f>
        <v>7751.5</v>
      </c>
      <c r="N280" s="14">
        <f>'A) Base RI'!Q280</f>
        <v>3664.73</v>
      </c>
      <c r="O280" s="14">
        <f t="shared" si="25"/>
        <v>315659.20833333331</v>
      </c>
      <c r="P280" s="14">
        <f>'A) Base RI'!L280</f>
        <v>378791.05</v>
      </c>
      <c r="Q280" s="44">
        <f>'A) Base RI'!AR280</f>
        <v>1.2</v>
      </c>
      <c r="R280" s="4">
        <f t="shared" si="26"/>
        <v>9525849.5083333347</v>
      </c>
      <c r="S280" s="43">
        <f>'A) Base RI'!AM280</f>
        <v>69</v>
      </c>
      <c r="T280" s="4">
        <f t="shared" si="27"/>
        <v>9202438.8000000007</v>
      </c>
      <c r="U280" s="4">
        <f t="shared" si="28"/>
        <v>138055.78997584543</v>
      </c>
      <c r="V280" s="14">
        <f>'A) Base RI'!O280</f>
        <v>55331</v>
      </c>
      <c r="W280" s="14">
        <f>'A) Base RI'!P280</f>
        <v>211033.65</v>
      </c>
      <c r="X280" s="14">
        <f>'A) Base RI'!R280</f>
        <v>116776.7</v>
      </c>
      <c r="Y280" s="4">
        <f t="shared" si="29"/>
        <v>383141.35000000003</v>
      </c>
      <c r="Z280" s="14">
        <f>'A) Base RI'!N280</f>
        <v>0</v>
      </c>
      <c r="AA280" s="14">
        <f>'A) Base RI'!S280+'A) Base RI'!T280</f>
        <v>93.75</v>
      </c>
      <c r="AB280" s="14">
        <f>'A) Base RI'!U280</f>
        <v>6750</v>
      </c>
      <c r="AC280" s="14">
        <f>'A) Base RI'!V280</f>
        <v>0</v>
      </c>
      <c r="AD280" s="14">
        <f>'A) Base RI'!W280</f>
        <v>0</v>
      </c>
      <c r="AE280" s="14">
        <f>'A) Base RI'!Y280</f>
        <v>0</v>
      </c>
      <c r="AF280" s="14">
        <f>'A) Base RI'!Z280</f>
        <v>0</v>
      </c>
      <c r="AG280" s="14">
        <f>'A) Base RI'!AA280</f>
        <v>0</v>
      </c>
      <c r="AH280" s="14">
        <f>'A) Base RI'!AB280</f>
        <v>0</v>
      </c>
      <c r="AI280" s="14">
        <f>'A) Base RI'!AC280</f>
        <v>0</v>
      </c>
      <c r="AJ280" s="14">
        <f>'A) Base RI'!AD280</f>
        <v>0</v>
      </c>
      <c r="AK280" s="14">
        <f>'A) Base RI'!AE280</f>
        <v>0</v>
      </c>
      <c r="AL280" s="14">
        <f>'A) Base RI'!AF280</f>
        <v>0</v>
      </c>
      <c r="AM280" s="14">
        <f>'A) Base RI'!AG280</f>
        <v>0</v>
      </c>
      <c r="AN280" s="14">
        <f>'A) Base RI'!AH280</f>
        <v>0</v>
      </c>
      <c r="AO280" s="14">
        <f>'A) Base RI'!AI280</f>
        <v>0</v>
      </c>
      <c r="AP280" s="14">
        <f>'A) Base RI'!AJ280</f>
        <v>0</v>
      </c>
      <c r="AQ280" s="14">
        <f>'A) Base RI'!AK280</f>
        <v>0</v>
      </c>
      <c r="AR280" s="14">
        <f>'A) Base RI'!AN280</f>
        <v>1493</v>
      </c>
    </row>
    <row r="281" spans="1:44" x14ac:dyDescent="0.25">
      <c r="A281" s="12">
        <f>'A) Base RI'!A281</f>
        <v>5886</v>
      </c>
      <c r="B281" s="42" t="str">
        <f>'A) Base RI'!B281</f>
        <v>Montreux</v>
      </c>
      <c r="C281" s="14">
        <f>'A) Base RI'!C281+'A) Base RI'!D281</f>
        <v>52937887.670000002</v>
      </c>
      <c r="D281" s="14">
        <f>'A) Base RI'!AO281</f>
        <v>-1572183.83</v>
      </c>
      <c r="E281" s="41">
        <f>'A) Base RI'!AP281</f>
        <v>0</v>
      </c>
      <c r="F281" s="41">
        <f>'A) Base RI'!AQ281</f>
        <v>-24187.98</v>
      </c>
      <c r="G281" s="4">
        <f t="shared" si="24"/>
        <v>51341515.860000007</v>
      </c>
      <c r="H281" s="14">
        <f>'A) Base RI'!E281</f>
        <v>0</v>
      </c>
      <c r="I281" s="14">
        <f>'A) Base RI'!F281</f>
        <v>0</v>
      </c>
      <c r="J281" s="14">
        <f>'A) Base RI'!G281+'A) Base RI'!H281</f>
        <v>7512891.8500000006</v>
      </c>
      <c r="K281" s="14">
        <f>'A) Base RI'!I281</f>
        <v>3544361.28</v>
      </c>
      <c r="L281" s="14">
        <f>'A) Base RI'!J281</f>
        <v>2751024.59</v>
      </c>
      <c r="M281" s="14">
        <f>'A) Base RI'!K281</f>
        <v>532089.94999999995</v>
      </c>
      <c r="N281" s="14">
        <f>'A) Base RI'!Q281</f>
        <v>458969.03</v>
      </c>
      <c r="O281" s="14">
        <f t="shared" si="25"/>
        <v>6213594.54</v>
      </c>
      <c r="P281" s="14">
        <f>'A) Base RI'!L281</f>
        <v>9320391.8100000005</v>
      </c>
      <c r="Q281" s="44">
        <f>'A) Base RI'!AR281</f>
        <v>1.5</v>
      </c>
      <c r="R281" s="4">
        <f t="shared" si="26"/>
        <v>72354447.100000024</v>
      </c>
      <c r="S281" s="43">
        <f>'A) Base RI'!AM281</f>
        <v>65</v>
      </c>
      <c r="T281" s="4">
        <f t="shared" si="27"/>
        <v>65608762.610000014</v>
      </c>
      <c r="U281" s="4">
        <f t="shared" si="28"/>
        <v>1113145.3400000003</v>
      </c>
      <c r="V281" s="14">
        <f>'A) Base RI'!O281</f>
        <v>4393730.5999999996</v>
      </c>
      <c r="W281" s="14">
        <f>'A) Base RI'!P281</f>
        <v>5594004.7999999998</v>
      </c>
      <c r="X281" s="14">
        <f>'A) Base RI'!R281</f>
        <v>3407815.55</v>
      </c>
      <c r="Y281" s="4">
        <f t="shared" si="29"/>
        <v>13395550.949999999</v>
      </c>
      <c r="Z281" s="14">
        <f>'A) Base RI'!N281</f>
        <v>803251.7</v>
      </c>
      <c r="AA281" s="14">
        <f>'A) Base RI'!S281+'A) Base RI'!T281</f>
        <v>4162.5</v>
      </c>
      <c r="AB281" s="14">
        <f>'A) Base RI'!U281</f>
        <v>118450</v>
      </c>
      <c r="AC281" s="14">
        <f>'A) Base RI'!V281</f>
        <v>0</v>
      </c>
      <c r="AD281" s="14">
        <f>'A) Base RI'!W281</f>
        <v>0</v>
      </c>
      <c r="AE281" s="14">
        <f>'A) Base RI'!Y281</f>
        <v>0</v>
      </c>
      <c r="AF281" s="14">
        <f>'A) Base RI'!Z281</f>
        <v>0</v>
      </c>
      <c r="AG281" s="14">
        <f>'A) Base RI'!AA281</f>
        <v>2562734.35</v>
      </c>
      <c r="AH281" s="14">
        <f>'A) Base RI'!AB281</f>
        <v>0</v>
      </c>
      <c r="AI281" s="14">
        <f>'A) Base RI'!AC281</f>
        <v>3970623.05</v>
      </c>
      <c r="AJ281" s="14">
        <f>'A) Base RI'!AD281</f>
        <v>0</v>
      </c>
      <c r="AK281" s="14">
        <f>'A) Base RI'!AE281</f>
        <v>0</v>
      </c>
      <c r="AL281" s="14">
        <f>'A) Base RI'!AF281</f>
        <v>0</v>
      </c>
      <c r="AM281" s="14">
        <f>'A) Base RI'!AG281</f>
        <v>0</v>
      </c>
      <c r="AN281" s="14">
        <f>'A) Base RI'!AH281</f>
        <v>0</v>
      </c>
      <c r="AO281" s="14">
        <f>'A) Base RI'!AI281</f>
        <v>0</v>
      </c>
      <c r="AP281" s="14">
        <f>'A) Base RI'!AJ281</f>
        <v>0</v>
      </c>
      <c r="AQ281" s="14">
        <f>'A) Base RI'!AK281</f>
        <v>0</v>
      </c>
      <c r="AR281" s="14">
        <f>'A) Base RI'!AN281</f>
        <v>26283</v>
      </c>
    </row>
    <row r="282" spans="1:44" x14ac:dyDescent="0.25">
      <c r="A282" s="12">
        <f>'A) Base RI'!A282</f>
        <v>5888</v>
      </c>
      <c r="B282" s="42" t="str">
        <f>'A) Base RI'!B282</f>
        <v>Saint-Légier-La Chiésaz</v>
      </c>
      <c r="C282" s="14">
        <f>'A) Base RI'!C282+'A) Base RI'!D282</f>
        <v>18037566.469999999</v>
      </c>
      <c r="D282" s="14">
        <f>'A) Base RI'!AO282</f>
        <v>-330586.90999999997</v>
      </c>
      <c r="E282" s="41">
        <f>'A) Base RI'!AP282</f>
        <v>0</v>
      </c>
      <c r="F282" s="41">
        <f>'A) Base RI'!AQ282</f>
        <v>-8035.57</v>
      </c>
      <c r="G282" s="4">
        <f t="shared" si="24"/>
        <v>17698943.989999998</v>
      </c>
      <c r="H282" s="14">
        <f>'A) Base RI'!E282</f>
        <v>0</v>
      </c>
      <c r="I282" s="14">
        <f>'A) Base RI'!F282</f>
        <v>0</v>
      </c>
      <c r="J282" s="14">
        <f>'A) Base RI'!G282+'A) Base RI'!H282</f>
        <v>684885.15</v>
      </c>
      <c r="K282" s="14">
        <f>'A) Base RI'!I282</f>
        <v>389017.5</v>
      </c>
      <c r="L282" s="14">
        <f>'A) Base RI'!J282</f>
        <v>359004.09</v>
      </c>
      <c r="M282" s="14">
        <f>'A) Base RI'!K282</f>
        <v>36325.5</v>
      </c>
      <c r="N282" s="14">
        <f>'A) Base RI'!Q282</f>
        <v>180523.26</v>
      </c>
      <c r="O282" s="14">
        <f t="shared" si="25"/>
        <v>1332324.5</v>
      </c>
      <c r="P282" s="14">
        <f>'A) Base RI'!L282</f>
        <v>1332324.5</v>
      </c>
      <c r="Q282" s="44">
        <f>'A) Base RI'!AR282</f>
        <v>1</v>
      </c>
      <c r="R282" s="4">
        <f t="shared" si="26"/>
        <v>20681023.989999998</v>
      </c>
      <c r="S282" s="43">
        <f>'A) Base RI'!AM282</f>
        <v>66</v>
      </c>
      <c r="T282" s="4">
        <f t="shared" si="27"/>
        <v>19312373.989999998</v>
      </c>
      <c r="U282" s="4">
        <f t="shared" si="28"/>
        <v>313348.84833333333</v>
      </c>
      <c r="V282" s="14">
        <f>'A) Base RI'!O282</f>
        <v>188428.5</v>
      </c>
      <c r="W282" s="14">
        <f>'A) Base RI'!P282</f>
        <v>616858.65</v>
      </c>
      <c r="X282" s="14">
        <f>'A) Base RI'!R282</f>
        <v>465120.65</v>
      </c>
      <c r="Y282" s="4">
        <f t="shared" si="29"/>
        <v>1270407.8</v>
      </c>
      <c r="Z282" s="14">
        <f>'A) Base RI'!N282</f>
        <v>140293.25</v>
      </c>
      <c r="AA282" s="14">
        <f>'A) Base RI'!S282+'A) Base RI'!T282</f>
        <v>143.75</v>
      </c>
      <c r="AB282" s="14">
        <f>'A) Base RI'!U282</f>
        <v>34650</v>
      </c>
      <c r="AC282" s="14">
        <f>'A) Base RI'!V282</f>
        <v>0</v>
      </c>
      <c r="AD282" s="14">
        <f>'A) Base RI'!W282</f>
        <v>0</v>
      </c>
      <c r="AE282" s="14">
        <f>'A) Base RI'!Y282</f>
        <v>81125.600000000006</v>
      </c>
      <c r="AF282" s="14">
        <f>'A) Base RI'!Z282</f>
        <v>0</v>
      </c>
      <c r="AG282" s="14">
        <f>'A) Base RI'!AA282</f>
        <v>699846.86</v>
      </c>
      <c r="AH282" s="14">
        <f>'A) Base RI'!AB282</f>
        <v>965603.9</v>
      </c>
      <c r="AI282" s="14">
        <f>'A) Base RI'!AC282</f>
        <v>375372.84</v>
      </c>
      <c r="AJ282" s="14">
        <f>'A) Base RI'!AD282</f>
        <v>86243.31</v>
      </c>
      <c r="AK282" s="14">
        <f>'A) Base RI'!AE282</f>
        <v>0</v>
      </c>
      <c r="AL282" s="14">
        <f>'A) Base RI'!AF282</f>
        <v>0</v>
      </c>
      <c r="AM282" s="14">
        <f>'A) Base RI'!AG282</f>
        <v>22859</v>
      </c>
      <c r="AN282" s="14">
        <f>'A) Base RI'!AH282</f>
        <v>0</v>
      </c>
      <c r="AO282" s="14">
        <f>'A) Base RI'!AI282</f>
        <v>0</v>
      </c>
      <c r="AP282" s="14">
        <f>'A) Base RI'!AJ282</f>
        <v>0</v>
      </c>
      <c r="AQ282" s="14">
        <f>'A) Base RI'!AK282</f>
        <v>0</v>
      </c>
      <c r="AR282" s="14">
        <f>'A) Base RI'!AN282</f>
        <v>5071</v>
      </c>
    </row>
    <row r="283" spans="1:44" x14ac:dyDescent="0.25">
      <c r="A283" s="12">
        <f>'A) Base RI'!A283</f>
        <v>5889</v>
      </c>
      <c r="B283" s="42" t="str">
        <f>'A) Base RI'!B283</f>
        <v>La Tour-de-Peilz</v>
      </c>
      <c r="C283" s="14">
        <f>'A) Base RI'!C283+'A) Base RI'!D283</f>
        <v>25424829.850000001</v>
      </c>
      <c r="D283" s="14">
        <f>'A) Base RI'!AO283</f>
        <v>-467604.81</v>
      </c>
      <c r="E283" s="41">
        <f>'A) Base RI'!AP283</f>
        <v>0</v>
      </c>
      <c r="F283" s="41">
        <f>'A) Base RI'!AQ283</f>
        <v>-12558.82</v>
      </c>
      <c r="G283" s="4">
        <f t="shared" si="24"/>
        <v>24944666.220000003</v>
      </c>
      <c r="H283" s="14">
        <f>'A) Base RI'!E283</f>
        <v>0</v>
      </c>
      <c r="I283" s="14">
        <f>'A) Base RI'!F283</f>
        <v>0</v>
      </c>
      <c r="J283" s="14">
        <f>'A) Base RI'!G283+'A) Base RI'!H283</f>
        <v>8557530.3999999985</v>
      </c>
      <c r="K283" s="14">
        <f>'A) Base RI'!I283</f>
        <v>797235.17</v>
      </c>
      <c r="L283" s="14">
        <f>'A) Base RI'!J283</f>
        <v>1160691.54</v>
      </c>
      <c r="M283" s="14">
        <f>'A) Base RI'!K283</f>
        <v>146088</v>
      </c>
      <c r="N283" s="14">
        <f>'A) Base RI'!Q283</f>
        <v>182421.31</v>
      </c>
      <c r="O283" s="14">
        <f t="shared" si="25"/>
        <v>1980420.7083333335</v>
      </c>
      <c r="P283" s="14">
        <f>'A) Base RI'!L283</f>
        <v>2376504.85</v>
      </c>
      <c r="Q283" s="44">
        <f>'A) Base RI'!AR283</f>
        <v>1.2</v>
      </c>
      <c r="R283" s="4">
        <f t="shared" si="26"/>
        <v>37769053.348333336</v>
      </c>
      <c r="S283" s="43">
        <f>'A) Base RI'!AM283</f>
        <v>64</v>
      </c>
      <c r="T283" s="4">
        <f t="shared" si="27"/>
        <v>35642544.640000001</v>
      </c>
      <c r="U283" s="4">
        <f t="shared" si="28"/>
        <v>590141.45856770838</v>
      </c>
      <c r="V283" s="14">
        <f>'A) Base RI'!O283</f>
        <v>816285</v>
      </c>
      <c r="W283" s="14">
        <f>'A) Base RI'!P283</f>
        <v>794729.85</v>
      </c>
      <c r="X283" s="14">
        <f>'A) Base RI'!R283</f>
        <v>492402.2</v>
      </c>
      <c r="Y283" s="4">
        <f t="shared" si="29"/>
        <v>2103417.0500000003</v>
      </c>
      <c r="Z283" s="14">
        <f>'A) Base RI'!N283</f>
        <v>93323.5</v>
      </c>
      <c r="AA283" s="14">
        <f>'A) Base RI'!S283+'A) Base RI'!T283</f>
        <v>1293.75</v>
      </c>
      <c r="AB283" s="14">
        <f>'A) Base RI'!U283</f>
        <v>39350</v>
      </c>
      <c r="AC283" s="14">
        <f>'A) Base RI'!V283</f>
        <v>0</v>
      </c>
      <c r="AD283" s="14">
        <f>'A) Base RI'!W283</f>
        <v>220224.67</v>
      </c>
      <c r="AE283" s="14">
        <f>'A) Base RI'!Y283</f>
        <v>2666.25</v>
      </c>
      <c r="AF283" s="14">
        <f>'A) Base RI'!Z283</f>
        <v>0</v>
      </c>
      <c r="AG283" s="14">
        <f>'A) Base RI'!AA283</f>
        <v>443443.85</v>
      </c>
      <c r="AH283" s="14">
        <f>'A) Base RI'!AB283</f>
        <v>1719215.85</v>
      </c>
      <c r="AI283" s="14">
        <f>'A) Base RI'!AC283</f>
        <v>0</v>
      </c>
      <c r="AJ283" s="14">
        <f>'A) Base RI'!AD283</f>
        <v>0</v>
      </c>
      <c r="AK283" s="14">
        <f>'A) Base RI'!AE283</f>
        <v>0</v>
      </c>
      <c r="AL283" s="14">
        <f>'A) Base RI'!AF283</f>
        <v>0</v>
      </c>
      <c r="AM283" s="14">
        <f>'A) Base RI'!AG283</f>
        <v>0</v>
      </c>
      <c r="AN283" s="14">
        <f>'A) Base RI'!AH283</f>
        <v>0</v>
      </c>
      <c r="AO283" s="14">
        <f>'A) Base RI'!AI283</f>
        <v>0</v>
      </c>
      <c r="AP283" s="14">
        <f>'A) Base RI'!AJ283</f>
        <v>0</v>
      </c>
      <c r="AQ283" s="14">
        <f>'A) Base RI'!AK283</f>
        <v>0</v>
      </c>
      <c r="AR283" s="14">
        <f>'A) Base RI'!AN283</f>
        <v>11421</v>
      </c>
    </row>
    <row r="284" spans="1:44" x14ac:dyDescent="0.25">
      <c r="A284" s="12">
        <f>'A) Base RI'!A284</f>
        <v>5890</v>
      </c>
      <c r="B284" s="42" t="str">
        <f>'A) Base RI'!B284</f>
        <v>Vevey</v>
      </c>
      <c r="C284" s="14">
        <f>'A) Base RI'!C284+'A) Base RI'!D284</f>
        <v>39224274.350000001</v>
      </c>
      <c r="D284" s="14">
        <f>'A) Base RI'!AO284</f>
        <v>-972164.95</v>
      </c>
      <c r="E284" s="41">
        <f>'A) Base RI'!AP284</f>
        <v>0</v>
      </c>
      <c r="F284" s="41">
        <f>'A) Base RI'!AQ284</f>
        <v>-19920.97</v>
      </c>
      <c r="G284" s="4">
        <f t="shared" si="24"/>
        <v>38232188.43</v>
      </c>
      <c r="H284" s="14">
        <f>'A) Base RI'!E284</f>
        <v>0</v>
      </c>
      <c r="I284" s="14">
        <f>'A) Base RI'!F284</f>
        <v>0</v>
      </c>
      <c r="J284" s="14">
        <f>'A) Base RI'!G284+'A) Base RI'!H284</f>
        <v>19616933.850000001</v>
      </c>
      <c r="K284" s="14">
        <f>'A) Base RI'!I284</f>
        <v>536442.19999999995</v>
      </c>
      <c r="L284" s="14">
        <f>'A) Base RI'!J284</f>
        <v>4762131.2</v>
      </c>
      <c r="M284" s="14">
        <f>'A) Base RI'!K284</f>
        <v>513240</v>
      </c>
      <c r="N284" s="14">
        <f>'A) Base RI'!Q284</f>
        <v>508956.31</v>
      </c>
      <c r="O284" s="14">
        <f t="shared" si="25"/>
        <v>3147473.625</v>
      </c>
      <c r="P284" s="14">
        <f>'A) Base RI'!L284</f>
        <v>3776968.35</v>
      </c>
      <c r="Q284" s="44">
        <f>'A) Base RI'!AR284</f>
        <v>1.2</v>
      </c>
      <c r="R284" s="4">
        <f t="shared" si="26"/>
        <v>67317365.61500001</v>
      </c>
      <c r="S284" s="43">
        <f>'A) Base RI'!AM284</f>
        <v>73</v>
      </c>
      <c r="T284" s="4">
        <f t="shared" si="27"/>
        <v>63656651.99000001</v>
      </c>
      <c r="U284" s="4">
        <f t="shared" si="28"/>
        <v>922155.6933561645</v>
      </c>
      <c r="V284" s="14">
        <f>'A) Base RI'!O284</f>
        <v>1398346.6</v>
      </c>
      <c r="W284" s="14">
        <f>'A) Base RI'!P284</f>
        <v>1869909.6</v>
      </c>
      <c r="X284" s="14">
        <f>'A) Base RI'!R284</f>
        <v>816410.1</v>
      </c>
      <c r="Y284" s="4">
        <f t="shared" si="29"/>
        <v>4084666.3000000003</v>
      </c>
      <c r="Z284" s="14">
        <f>'A) Base RI'!N284</f>
        <v>1004989.85</v>
      </c>
      <c r="AA284" s="14">
        <f>'A) Base RI'!S284+'A) Base RI'!T284</f>
        <v>4043.75</v>
      </c>
      <c r="AB284" s="14">
        <f>'A) Base RI'!U284</f>
        <v>52875</v>
      </c>
      <c r="AC284" s="14">
        <f>'A) Base RI'!V284</f>
        <v>0</v>
      </c>
      <c r="AD284" s="14">
        <f>'A) Base RI'!W284</f>
        <v>0</v>
      </c>
      <c r="AE284" s="14">
        <f>'A) Base RI'!Y284</f>
        <v>0</v>
      </c>
      <c r="AF284" s="14">
        <f>'A) Base RI'!Z284</f>
        <v>0</v>
      </c>
      <c r="AG284" s="14">
        <f>'A) Base RI'!AA284</f>
        <v>907718.7</v>
      </c>
      <c r="AH284" s="14">
        <f>'A) Base RI'!AB284</f>
        <v>0</v>
      </c>
      <c r="AI284" s="14">
        <f>'A) Base RI'!AC284</f>
        <v>1243264.6200000001</v>
      </c>
      <c r="AJ284" s="14">
        <f>'A) Base RI'!AD284</f>
        <v>0</v>
      </c>
      <c r="AK284" s="14">
        <f>'A) Base RI'!AE284</f>
        <v>0</v>
      </c>
      <c r="AL284" s="14">
        <f>'A) Base RI'!AF284</f>
        <v>0</v>
      </c>
      <c r="AM284" s="14">
        <f>'A) Base RI'!AG284</f>
        <v>0</v>
      </c>
      <c r="AN284" s="14">
        <f>'A) Base RI'!AH284</f>
        <v>663245.1</v>
      </c>
      <c r="AO284" s="14">
        <f>'A) Base RI'!AI284</f>
        <v>0</v>
      </c>
      <c r="AP284" s="14">
        <f>'A) Base RI'!AJ284</f>
        <v>190355.75</v>
      </c>
      <c r="AQ284" s="14">
        <f>'A) Base RI'!AK284</f>
        <v>0</v>
      </c>
      <c r="AR284" s="14">
        <f>'A) Base RI'!AN284</f>
        <v>19217</v>
      </c>
    </row>
    <row r="285" spans="1:44" x14ac:dyDescent="0.25">
      <c r="A285" s="12">
        <f>'A) Base RI'!A285</f>
        <v>5891</v>
      </c>
      <c r="B285" s="42" t="str">
        <f>'A) Base RI'!B285</f>
        <v>Veytaux</v>
      </c>
      <c r="C285" s="14">
        <f>'A) Base RI'!C285+'A) Base RI'!D285</f>
        <v>2216285.06</v>
      </c>
      <c r="D285" s="14">
        <f>'A) Base RI'!AO285</f>
        <v>-98596.09</v>
      </c>
      <c r="E285" s="41">
        <f>'A) Base RI'!AP285</f>
        <v>0</v>
      </c>
      <c r="F285" s="41">
        <f>'A) Base RI'!AQ285</f>
        <v>-1914.92</v>
      </c>
      <c r="G285" s="4">
        <f t="shared" si="24"/>
        <v>2115774.0500000003</v>
      </c>
      <c r="H285" s="14">
        <f>'A) Base RI'!E285</f>
        <v>0</v>
      </c>
      <c r="I285" s="14">
        <f>'A) Base RI'!F285</f>
        <v>0</v>
      </c>
      <c r="J285" s="14">
        <f>'A) Base RI'!G285+'A) Base RI'!H285</f>
        <v>125894.09999999999</v>
      </c>
      <c r="K285" s="14">
        <f>'A) Base RI'!I285</f>
        <v>40102.449999999997</v>
      </c>
      <c r="L285" s="14">
        <f>'A) Base RI'!J285</f>
        <v>38962.089999999997</v>
      </c>
      <c r="M285" s="14">
        <f>'A) Base RI'!K285</f>
        <v>12181</v>
      </c>
      <c r="N285" s="14">
        <f>'A) Base RI'!Q285</f>
        <v>13169.34</v>
      </c>
      <c r="O285" s="14">
        <f t="shared" si="25"/>
        <v>224818.66666666669</v>
      </c>
      <c r="P285" s="14">
        <f>'A) Base RI'!L285</f>
        <v>269782.40000000002</v>
      </c>
      <c r="Q285" s="44">
        <f>'A) Base RI'!AR285</f>
        <v>1.2</v>
      </c>
      <c r="R285" s="4">
        <f t="shared" si="26"/>
        <v>2570901.6966666668</v>
      </c>
      <c r="S285" s="43">
        <f>'A) Base RI'!AM285</f>
        <v>69</v>
      </c>
      <c r="T285" s="4">
        <f t="shared" si="27"/>
        <v>2333902.0300000003</v>
      </c>
      <c r="U285" s="4">
        <f t="shared" si="28"/>
        <v>37259.444879227056</v>
      </c>
      <c r="V285" s="14">
        <f>'A) Base RI'!O285</f>
        <v>0</v>
      </c>
      <c r="W285" s="14">
        <f>'A) Base RI'!P285</f>
        <v>137655.70000000001</v>
      </c>
      <c r="X285" s="14">
        <f>'A) Base RI'!R285</f>
        <v>87678.2</v>
      </c>
      <c r="Y285" s="4">
        <f t="shared" si="29"/>
        <v>225333.90000000002</v>
      </c>
      <c r="Z285" s="14">
        <f>'A) Base RI'!N285</f>
        <v>0</v>
      </c>
      <c r="AA285" s="14">
        <f>'A) Base RI'!S285+'A) Base RI'!T285</f>
        <v>125</v>
      </c>
      <c r="AB285" s="14">
        <f>'A) Base RI'!U285</f>
        <v>3750</v>
      </c>
      <c r="AC285" s="14">
        <f>'A) Base RI'!V285</f>
        <v>243738.85</v>
      </c>
      <c r="AD285" s="14">
        <f>'A) Base RI'!W285</f>
        <v>0</v>
      </c>
      <c r="AE285" s="14">
        <f>'A) Base RI'!Y285</f>
        <v>33839.599999999999</v>
      </c>
      <c r="AF285" s="14">
        <f>'A) Base RI'!Z285</f>
        <v>0</v>
      </c>
      <c r="AG285" s="14">
        <f>'A) Base RI'!AA285</f>
        <v>121519.4</v>
      </c>
      <c r="AH285" s="14">
        <f>'A) Base RI'!AB285</f>
        <v>0</v>
      </c>
      <c r="AI285" s="14">
        <f>'A) Base RI'!AC285</f>
        <v>89579.9</v>
      </c>
      <c r="AJ285" s="14">
        <f>'A) Base RI'!AD285</f>
        <v>0</v>
      </c>
      <c r="AK285" s="14">
        <f>'A) Base RI'!AE285</f>
        <v>0</v>
      </c>
      <c r="AL285" s="14">
        <f>'A) Base RI'!AF285</f>
        <v>0</v>
      </c>
      <c r="AM285" s="14">
        <f>'A) Base RI'!AG285</f>
        <v>0</v>
      </c>
      <c r="AN285" s="14">
        <f>'A) Base RI'!AH285</f>
        <v>63454.1</v>
      </c>
      <c r="AO285" s="14">
        <f>'A) Base RI'!AI285</f>
        <v>0</v>
      </c>
      <c r="AP285" s="14">
        <f>'A) Base RI'!AJ285</f>
        <v>0</v>
      </c>
      <c r="AQ285" s="14">
        <f>'A) Base RI'!AK285</f>
        <v>18129.75</v>
      </c>
      <c r="AR285" s="14">
        <f>'A) Base RI'!AN285</f>
        <v>854</v>
      </c>
    </row>
    <row r="286" spans="1:44" x14ac:dyDescent="0.25">
      <c r="A286" s="12">
        <f>'A) Base RI'!A286</f>
        <v>5902</v>
      </c>
      <c r="B286" s="42" t="str">
        <f>'A) Base RI'!B286</f>
        <v>Belmont-sur-Yverdon</v>
      </c>
      <c r="C286" s="14">
        <f>'A) Base RI'!C286+'A) Base RI'!D286</f>
        <v>587496.9</v>
      </c>
      <c r="D286" s="14">
        <f>'A) Base RI'!AO286</f>
        <v>-94.49</v>
      </c>
      <c r="E286" s="41">
        <f>'A) Base RI'!AP286</f>
        <v>0</v>
      </c>
      <c r="F286" s="41">
        <f>'A) Base RI'!AQ286</f>
        <v>0</v>
      </c>
      <c r="G286" s="4">
        <f t="shared" si="24"/>
        <v>587402.41</v>
      </c>
      <c r="H286" s="14">
        <f>'A) Base RI'!E286</f>
        <v>0</v>
      </c>
      <c r="I286" s="14">
        <f>'A) Base RI'!F286</f>
        <v>0</v>
      </c>
      <c r="J286" s="14">
        <f>'A) Base RI'!G286+'A) Base RI'!H286</f>
        <v>3919.5</v>
      </c>
      <c r="K286" s="14">
        <f>'A) Base RI'!I286</f>
        <v>0</v>
      </c>
      <c r="L286" s="14">
        <f>'A) Base RI'!J286</f>
        <v>16820.37</v>
      </c>
      <c r="M286" s="14">
        <f>'A) Base RI'!K286</f>
        <v>0</v>
      </c>
      <c r="N286" s="14">
        <f>'A) Base RI'!Q286</f>
        <v>0</v>
      </c>
      <c r="O286" s="14">
        <f t="shared" si="25"/>
        <v>48666.8</v>
      </c>
      <c r="P286" s="14">
        <f>'A) Base RI'!L286</f>
        <v>48666.8</v>
      </c>
      <c r="Q286" s="44">
        <f>'A) Base RI'!AR286</f>
        <v>1</v>
      </c>
      <c r="R286" s="4">
        <f t="shared" si="26"/>
        <v>656809.08000000007</v>
      </c>
      <c r="S286" s="43">
        <f>'A) Base RI'!AM286</f>
        <v>76</v>
      </c>
      <c r="T286" s="4">
        <f t="shared" si="27"/>
        <v>608142.28</v>
      </c>
      <c r="U286" s="4">
        <f t="shared" si="28"/>
        <v>8642.2247368421067</v>
      </c>
      <c r="V286" s="14">
        <f>'A) Base RI'!O286</f>
        <v>7253</v>
      </c>
      <c r="W286" s="14">
        <f>'A) Base RI'!P286</f>
        <v>44466.9</v>
      </c>
      <c r="X286" s="14">
        <f>'A) Base RI'!R286</f>
        <v>57201.55</v>
      </c>
      <c r="Y286" s="4">
        <f t="shared" si="29"/>
        <v>108921.45000000001</v>
      </c>
      <c r="Z286" s="14">
        <f>'A) Base RI'!N286</f>
        <v>7346.95</v>
      </c>
      <c r="AA286" s="14">
        <f>'A) Base RI'!S286+'A) Base RI'!T286</f>
        <v>550</v>
      </c>
      <c r="AB286" s="14">
        <f>'A) Base RI'!U286</f>
        <v>4300</v>
      </c>
      <c r="AC286" s="14">
        <f>'A) Base RI'!V286</f>
        <v>90</v>
      </c>
      <c r="AD286" s="14">
        <f>'A) Base RI'!W286</f>
        <v>0</v>
      </c>
      <c r="AE286" s="14">
        <f>'A) Base RI'!Y286</f>
        <v>3350</v>
      </c>
      <c r="AF286" s="14">
        <f>'A) Base RI'!Z286</f>
        <v>0</v>
      </c>
      <c r="AG286" s="14">
        <f>'A) Base RI'!AA286</f>
        <v>48161.4</v>
      </c>
      <c r="AH286" s="14">
        <f>'A) Base RI'!AB286</f>
        <v>0</v>
      </c>
      <c r="AI286" s="14">
        <f>'A) Base RI'!AC286</f>
        <v>24306.2</v>
      </c>
      <c r="AJ286" s="14">
        <f>'A) Base RI'!AD286</f>
        <v>5205</v>
      </c>
      <c r="AK286" s="14">
        <f>'A) Base RI'!AE286</f>
        <v>0</v>
      </c>
      <c r="AL286" s="14">
        <f>'A) Base RI'!AF286</f>
        <v>0</v>
      </c>
      <c r="AM286" s="14">
        <f>'A) Base RI'!AG286</f>
        <v>0</v>
      </c>
      <c r="AN286" s="14">
        <f>'A) Base RI'!AH286</f>
        <v>0</v>
      </c>
      <c r="AO286" s="14">
        <f>'A) Base RI'!AI286</f>
        <v>0</v>
      </c>
      <c r="AP286" s="14">
        <f>'A) Base RI'!AJ286</f>
        <v>0</v>
      </c>
      <c r="AQ286" s="14">
        <f>'A) Base RI'!AK286</f>
        <v>0</v>
      </c>
      <c r="AR286" s="14">
        <f>'A) Base RI'!AN286</f>
        <v>369</v>
      </c>
    </row>
    <row r="287" spans="1:44" x14ac:dyDescent="0.25">
      <c r="A287" s="12">
        <f>'A) Base RI'!A287</f>
        <v>5903</v>
      </c>
      <c r="B287" s="42" t="str">
        <f>'A) Base RI'!B287</f>
        <v>Bioley-Magnoux</v>
      </c>
      <c r="C287" s="14">
        <f>'A) Base RI'!C287+'A) Base RI'!D287</f>
        <v>406240.49000000005</v>
      </c>
      <c r="D287" s="14">
        <f>'A) Base RI'!AO287</f>
        <v>-2955.37</v>
      </c>
      <c r="E287" s="41">
        <f>'A) Base RI'!AP287</f>
        <v>0</v>
      </c>
      <c r="F287" s="41">
        <f>'A) Base RI'!AQ287</f>
        <v>0</v>
      </c>
      <c r="G287" s="4">
        <f t="shared" si="24"/>
        <v>403285.12000000005</v>
      </c>
      <c r="H287" s="14">
        <f>'A) Base RI'!E287</f>
        <v>0</v>
      </c>
      <c r="I287" s="14">
        <f>'A) Base RI'!F287</f>
        <v>0</v>
      </c>
      <c r="J287" s="14">
        <f>'A) Base RI'!G287+'A) Base RI'!H287</f>
        <v>8334.85</v>
      </c>
      <c r="K287" s="14">
        <f>'A) Base RI'!I287</f>
        <v>0</v>
      </c>
      <c r="L287" s="14">
        <f>'A) Base RI'!J287</f>
        <v>5979.54</v>
      </c>
      <c r="M287" s="14">
        <f>'A) Base RI'!K287</f>
        <v>0</v>
      </c>
      <c r="N287" s="14">
        <f>'A) Base RI'!Q287</f>
        <v>0</v>
      </c>
      <c r="O287" s="14">
        <f t="shared" si="25"/>
        <v>29843.500000000004</v>
      </c>
      <c r="P287" s="14">
        <f>'A) Base RI'!L287</f>
        <v>20890.45</v>
      </c>
      <c r="Q287" s="44">
        <f>'A) Base RI'!AR287</f>
        <v>0.7</v>
      </c>
      <c r="R287" s="4">
        <f t="shared" si="26"/>
        <v>447443.01</v>
      </c>
      <c r="S287" s="43">
        <f>'A) Base RI'!AM287</f>
        <v>74</v>
      </c>
      <c r="T287" s="4">
        <f t="shared" si="27"/>
        <v>417599.51</v>
      </c>
      <c r="U287" s="4">
        <f t="shared" si="28"/>
        <v>6046.5271621621623</v>
      </c>
      <c r="V287" s="14">
        <f>'A) Base RI'!O287</f>
        <v>34609.599999999999</v>
      </c>
      <c r="W287" s="14">
        <f>'A) Base RI'!P287</f>
        <v>18039.95</v>
      </c>
      <c r="X287" s="14">
        <f>'A) Base RI'!R287</f>
        <v>36597.4</v>
      </c>
      <c r="Y287" s="4">
        <f t="shared" si="29"/>
        <v>89246.950000000012</v>
      </c>
      <c r="Z287" s="14">
        <f>'A) Base RI'!N287</f>
        <v>2883.45</v>
      </c>
      <c r="AA287" s="14">
        <f>'A) Base RI'!S287+'A) Base RI'!T287</f>
        <v>31.25</v>
      </c>
      <c r="AB287" s="14">
        <f>'A) Base RI'!U287</f>
        <v>1160</v>
      </c>
      <c r="AC287" s="14">
        <f>'A) Base RI'!V287</f>
        <v>0</v>
      </c>
      <c r="AD287" s="14">
        <f>'A) Base RI'!W287</f>
        <v>0</v>
      </c>
      <c r="AE287" s="14">
        <f>'A) Base RI'!Y287</f>
        <v>0</v>
      </c>
      <c r="AF287" s="14">
        <f>'A) Base RI'!Z287</f>
        <v>0</v>
      </c>
      <c r="AG287" s="14">
        <f>'A) Base RI'!AA287</f>
        <v>13932</v>
      </c>
      <c r="AH287" s="14">
        <f>'A) Base RI'!AB287</f>
        <v>0</v>
      </c>
      <c r="AI287" s="14">
        <f>'A) Base RI'!AC287</f>
        <v>7440.65</v>
      </c>
      <c r="AJ287" s="14">
        <f>'A) Base RI'!AD287</f>
        <v>0</v>
      </c>
      <c r="AK287" s="14">
        <f>'A) Base RI'!AE287</f>
        <v>0</v>
      </c>
      <c r="AL287" s="14">
        <f>'A) Base RI'!AF287</f>
        <v>0</v>
      </c>
      <c r="AM287" s="14">
        <f>'A) Base RI'!AG287</f>
        <v>0</v>
      </c>
      <c r="AN287" s="14">
        <f>'A) Base RI'!AH287</f>
        <v>0</v>
      </c>
      <c r="AO287" s="14">
        <f>'A) Base RI'!AI287</f>
        <v>0</v>
      </c>
      <c r="AP287" s="14">
        <f>'A) Base RI'!AJ287</f>
        <v>0</v>
      </c>
      <c r="AQ287" s="14">
        <f>'A) Base RI'!AK287</f>
        <v>0</v>
      </c>
      <c r="AR287" s="14">
        <f>'A) Base RI'!AN287</f>
        <v>201</v>
      </c>
    </row>
    <row r="288" spans="1:44" x14ac:dyDescent="0.25">
      <c r="A288" s="12">
        <f>'A) Base RI'!A288</f>
        <v>5904</v>
      </c>
      <c r="B288" s="42" t="str">
        <f>'A) Base RI'!B288</f>
        <v>Chamblon</v>
      </c>
      <c r="C288" s="14">
        <f>'A) Base RI'!C288+'A) Base RI'!D288</f>
        <v>1221324.69</v>
      </c>
      <c r="D288" s="14">
        <f>'A) Base RI'!AO288</f>
        <v>-19370.52</v>
      </c>
      <c r="E288" s="41">
        <f>'A) Base RI'!AP288</f>
        <v>0</v>
      </c>
      <c r="F288" s="41">
        <f>'A) Base RI'!AQ288</f>
        <v>0</v>
      </c>
      <c r="G288" s="4">
        <f t="shared" si="24"/>
        <v>1201954.17</v>
      </c>
      <c r="H288" s="14">
        <f>'A) Base RI'!E288</f>
        <v>0</v>
      </c>
      <c r="I288" s="14">
        <f>'A) Base RI'!F288</f>
        <v>0</v>
      </c>
      <c r="J288" s="14">
        <f>'A) Base RI'!G288+'A) Base RI'!H288</f>
        <v>7074.4</v>
      </c>
      <c r="K288" s="14">
        <f>'A) Base RI'!I288</f>
        <v>0</v>
      </c>
      <c r="L288" s="14">
        <f>'A) Base RI'!J288</f>
        <v>29155.51</v>
      </c>
      <c r="M288" s="14">
        <f>'A) Base RI'!K288</f>
        <v>2632</v>
      </c>
      <c r="N288" s="14">
        <f>'A) Base RI'!Q288</f>
        <v>0</v>
      </c>
      <c r="O288" s="14">
        <f t="shared" si="25"/>
        <v>90432.6</v>
      </c>
      <c r="P288" s="14">
        <f>'A) Base RI'!L288</f>
        <v>90432.6</v>
      </c>
      <c r="Q288" s="44">
        <f>'A) Base RI'!AR288</f>
        <v>1</v>
      </c>
      <c r="R288" s="4">
        <f t="shared" si="26"/>
        <v>1331248.68</v>
      </c>
      <c r="S288" s="43">
        <f>'A) Base RI'!AM288</f>
        <v>66</v>
      </c>
      <c r="T288" s="4">
        <f t="shared" si="27"/>
        <v>1238184.0799999998</v>
      </c>
      <c r="U288" s="4">
        <f t="shared" si="28"/>
        <v>20170.434545454544</v>
      </c>
      <c r="V288" s="14">
        <f>'A) Base RI'!O288</f>
        <v>48888.800000000003</v>
      </c>
      <c r="W288" s="14">
        <f>'A) Base RI'!P288</f>
        <v>46992.5</v>
      </c>
      <c r="X288" s="14">
        <f>'A) Base RI'!R288</f>
        <v>36470.699999999997</v>
      </c>
      <c r="Y288" s="4">
        <f t="shared" si="29"/>
        <v>132352</v>
      </c>
      <c r="Z288" s="14">
        <f>'A) Base RI'!N288</f>
        <v>31596.75</v>
      </c>
      <c r="AA288" s="14">
        <f>'A) Base RI'!S288+'A) Base RI'!T288</f>
        <v>131.25</v>
      </c>
      <c r="AB288" s="14">
        <f>'A) Base RI'!U288</f>
        <v>4200</v>
      </c>
      <c r="AC288" s="14">
        <f>'A) Base RI'!V288</f>
        <v>0</v>
      </c>
      <c r="AD288" s="14">
        <f>'A) Base RI'!W288</f>
        <v>0</v>
      </c>
      <c r="AE288" s="14">
        <f>'A) Base RI'!Y288</f>
        <v>0</v>
      </c>
      <c r="AF288" s="14">
        <f>'A) Base RI'!Z288</f>
        <v>0</v>
      </c>
      <c r="AG288" s="14">
        <f>'A) Base RI'!AA288</f>
        <v>92979.8</v>
      </c>
      <c r="AH288" s="14">
        <f>'A) Base RI'!AB288</f>
        <v>0</v>
      </c>
      <c r="AI288" s="14">
        <f>'A) Base RI'!AC288</f>
        <v>36368.199999999997</v>
      </c>
      <c r="AJ288" s="14">
        <f>'A) Base RI'!AD288</f>
        <v>0</v>
      </c>
      <c r="AK288" s="14">
        <f>'A) Base RI'!AE288</f>
        <v>0</v>
      </c>
      <c r="AL288" s="14">
        <f>'A) Base RI'!AF288</f>
        <v>0</v>
      </c>
      <c r="AM288" s="14">
        <f>'A) Base RI'!AG288</f>
        <v>0</v>
      </c>
      <c r="AN288" s="14">
        <f>'A) Base RI'!AH288</f>
        <v>21247.05</v>
      </c>
      <c r="AO288" s="14">
        <f>'A) Base RI'!AI288</f>
        <v>0</v>
      </c>
      <c r="AP288" s="14">
        <f>'A) Base RI'!AJ288</f>
        <v>0</v>
      </c>
      <c r="AQ288" s="14">
        <f>'A) Base RI'!AK288</f>
        <v>0</v>
      </c>
      <c r="AR288" s="14">
        <f>'A) Base RI'!AN288</f>
        <v>568</v>
      </c>
    </row>
    <row r="289" spans="1:44" x14ac:dyDescent="0.25">
      <c r="A289" s="12">
        <f>'A) Base RI'!A289</f>
        <v>5905</v>
      </c>
      <c r="B289" s="42" t="str">
        <f>'A) Base RI'!B289</f>
        <v>Champvent</v>
      </c>
      <c r="C289" s="14">
        <f>'A) Base RI'!C289+'A) Base RI'!D289</f>
        <v>1034545.44</v>
      </c>
      <c r="D289" s="14">
        <f>'A) Base RI'!AO289</f>
        <v>-8669.3700000000008</v>
      </c>
      <c r="E289" s="41">
        <f>'A) Base RI'!AP289</f>
        <v>0</v>
      </c>
      <c r="F289" s="41">
        <f>'A) Base RI'!AQ289</f>
        <v>-4.8600000000000003</v>
      </c>
      <c r="G289" s="4">
        <f t="shared" si="24"/>
        <v>1025871.21</v>
      </c>
      <c r="H289" s="14">
        <f>'A) Base RI'!E289</f>
        <v>0</v>
      </c>
      <c r="I289" s="14">
        <f>'A) Base RI'!F289</f>
        <v>0</v>
      </c>
      <c r="J289" s="14">
        <f>'A) Base RI'!G289+'A) Base RI'!H289</f>
        <v>171893.40000000002</v>
      </c>
      <c r="K289" s="14">
        <f>'A) Base RI'!I289</f>
        <v>0</v>
      </c>
      <c r="L289" s="14">
        <f>'A) Base RI'!J289</f>
        <v>10030.450000000001</v>
      </c>
      <c r="M289" s="14">
        <f>'A) Base RI'!K289</f>
        <v>3072.3</v>
      </c>
      <c r="N289" s="14">
        <f>'A) Base RI'!Q289</f>
        <v>0</v>
      </c>
      <c r="O289" s="14">
        <f t="shared" si="25"/>
        <v>82807</v>
      </c>
      <c r="P289" s="14">
        <f>'A) Base RI'!L289</f>
        <v>82807</v>
      </c>
      <c r="Q289" s="44">
        <f>'A) Base RI'!AR289</f>
        <v>1</v>
      </c>
      <c r="R289" s="4">
        <f t="shared" si="26"/>
        <v>1293674.3599999999</v>
      </c>
      <c r="S289" s="43">
        <f>'A) Base RI'!AM289</f>
        <v>71</v>
      </c>
      <c r="T289" s="4">
        <f t="shared" si="27"/>
        <v>1207795.0599999998</v>
      </c>
      <c r="U289" s="4">
        <f t="shared" si="28"/>
        <v>18220.765633802814</v>
      </c>
      <c r="V289" s="14">
        <f>'A) Base RI'!O289</f>
        <v>6520.5</v>
      </c>
      <c r="W289" s="14">
        <f>'A) Base RI'!P289</f>
        <v>24304.1</v>
      </c>
      <c r="X289" s="14">
        <f>'A) Base RI'!R289</f>
        <v>8176.4</v>
      </c>
      <c r="Y289" s="4">
        <f t="shared" si="29"/>
        <v>39001</v>
      </c>
      <c r="Z289" s="14">
        <f>'A) Base RI'!N289</f>
        <v>94811.1</v>
      </c>
      <c r="AA289" s="14">
        <f>'A) Base RI'!S289+'A) Base RI'!T289</f>
        <v>0</v>
      </c>
      <c r="AB289" s="14">
        <f>'A) Base RI'!U289</f>
        <v>0</v>
      </c>
      <c r="AC289" s="14">
        <f>'A) Base RI'!V289</f>
        <v>0</v>
      </c>
      <c r="AD289" s="14">
        <f>'A) Base RI'!W289</f>
        <v>0</v>
      </c>
      <c r="AE289" s="14">
        <f>'A) Base RI'!Y289</f>
        <v>17068</v>
      </c>
      <c r="AF289" s="14">
        <f>'A) Base RI'!Z289</f>
        <v>0</v>
      </c>
      <c r="AG289" s="14">
        <f>'A) Base RI'!AA289</f>
        <v>84568</v>
      </c>
      <c r="AH289" s="14">
        <f>'A) Base RI'!AB289</f>
        <v>0</v>
      </c>
      <c r="AI289" s="14">
        <f>'A) Base RI'!AC289</f>
        <v>16592</v>
      </c>
      <c r="AJ289" s="14">
        <f>'A) Base RI'!AD289</f>
        <v>0</v>
      </c>
      <c r="AK289" s="14">
        <f>'A) Base RI'!AE289</f>
        <v>43012</v>
      </c>
      <c r="AL289" s="14">
        <f>'A) Base RI'!AF289</f>
        <v>0</v>
      </c>
      <c r="AM289" s="14">
        <f>'A) Base RI'!AG289</f>
        <v>0</v>
      </c>
      <c r="AN289" s="14">
        <f>'A) Base RI'!AH289</f>
        <v>0</v>
      </c>
      <c r="AO289" s="14">
        <f>'A) Base RI'!AI289</f>
        <v>0</v>
      </c>
      <c r="AP289" s="14">
        <f>'A) Base RI'!AJ289</f>
        <v>0</v>
      </c>
      <c r="AQ289" s="14">
        <f>'A) Base RI'!AK289</f>
        <v>0</v>
      </c>
      <c r="AR289" s="14">
        <f>'A) Base RI'!AN289</f>
        <v>617</v>
      </c>
    </row>
    <row r="290" spans="1:44" x14ac:dyDescent="0.25">
      <c r="A290" s="12">
        <f>'A) Base RI'!A290</f>
        <v>5907</v>
      </c>
      <c r="B290" s="42" t="str">
        <f>'A) Base RI'!B290</f>
        <v>Chavannes-le-Chêne</v>
      </c>
      <c r="C290" s="14">
        <f>'A) Base RI'!C290+'A) Base RI'!D290</f>
        <v>512861.25</v>
      </c>
      <c r="D290" s="14">
        <f>'A) Base RI'!AO290</f>
        <v>-10467.200000000001</v>
      </c>
      <c r="E290" s="41">
        <f>'A) Base RI'!AP290</f>
        <v>0</v>
      </c>
      <c r="F290" s="41">
        <f>'A) Base RI'!AQ290</f>
        <v>-928.2</v>
      </c>
      <c r="G290" s="4">
        <f t="shared" si="24"/>
        <v>501465.85</v>
      </c>
      <c r="H290" s="14">
        <f>'A) Base RI'!E290</f>
        <v>0</v>
      </c>
      <c r="I290" s="14">
        <f>'A) Base RI'!F290</f>
        <v>1620</v>
      </c>
      <c r="J290" s="14">
        <f>'A) Base RI'!G290+'A) Base RI'!H290</f>
        <v>2123.8999999999996</v>
      </c>
      <c r="K290" s="14">
        <f>'A) Base RI'!I290</f>
        <v>0</v>
      </c>
      <c r="L290" s="14">
        <f>'A) Base RI'!J290</f>
        <v>1201.98</v>
      </c>
      <c r="M290" s="14">
        <f>'A) Base RI'!K290</f>
        <v>134</v>
      </c>
      <c r="N290" s="14">
        <f>'A) Base RI'!Q290</f>
        <v>0</v>
      </c>
      <c r="O290" s="14">
        <f t="shared" si="25"/>
        <v>35690.6</v>
      </c>
      <c r="P290" s="14">
        <f>'A) Base RI'!L290</f>
        <v>35690.6</v>
      </c>
      <c r="Q290" s="44">
        <f>'A) Base RI'!AR290</f>
        <v>1</v>
      </c>
      <c r="R290" s="4">
        <f t="shared" si="26"/>
        <v>542236.32999999996</v>
      </c>
      <c r="S290" s="43">
        <f>'A) Base RI'!AM290</f>
        <v>78</v>
      </c>
      <c r="T290" s="4">
        <f t="shared" si="27"/>
        <v>504791.73</v>
      </c>
      <c r="U290" s="4">
        <f t="shared" si="28"/>
        <v>6951.74782051282</v>
      </c>
      <c r="V290" s="14">
        <f>'A) Base RI'!O290</f>
        <v>6897</v>
      </c>
      <c r="W290" s="14">
        <f>'A) Base RI'!P290</f>
        <v>14003.2</v>
      </c>
      <c r="X290" s="14">
        <f>'A) Base RI'!R290</f>
        <v>16580.650000000001</v>
      </c>
      <c r="Y290" s="4">
        <f t="shared" si="29"/>
        <v>37480.850000000006</v>
      </c>
      <c r="Z290" s="14">
        <f>'A) Base RI'!N290</f>
        <v>4950.3500000000004</v>
      </c>
      <c r="AA290" s="14">
        <f>'A) Base RI'!S290+'A) Base RI'!T290</f>
        <v>1460</v>
      </c>
      <c r="AB290" s="14">
        <f>'A) Base RI'!U290</f>
        <v>1680</v>
      </c>
      <c r="AC290" s="14">
        <f>'A) Base RI'!V290</f>
        <v>0</v>
      </c>
      <c r="AD290" s="14">
        <f>'A) Base RI'!W290</f>
        <v>0</v>
      </c>
      <c r="AE290" s="14">
        <f>'A) Base RI'!Y290</f>
        <v>5500</v>
      </c>
      <c r="AF290" s="14">
        <f>'A) Base RI'!Z290</f>
        <v>0</v>
      </c>
      <c r="AG290" s="14">
        <f>'A) Base RI'!AA290</f>
        <v>6441.7</v>
      </c>
      <c r="AH290" s="14">
        <f>'A) Base RI'!AB290</f>
        <v>0</v>
      </c>
      <c r="AI290" s="14">
        <f>'A) Base RI'!AC290</f>
        <v>11702.5</v>
      </c>
      <c r="AJ290" s="14">
        <f>'A) Base RI'!AD290</f>
        <v>6541.7</v>
      </c>
      <c r="AK290" s="14">
        <f>'A) Base RI'!AE290</f>
        <v>0</v>
      </c>
      <c r="AL290" s="14">
        <f>'A) Base RI'!AF290</f>
        <v>0</v>
      </c>
      <c r="AM290" s="14">
        <f>'A) Base RI'!AG290</f>
        <v>0</v>
      </c>
      <c r="AN290" s="14">
        <f>'A) Base RI'!AH290</f>
        <v>0</v>
      </c>
      <c r="AO290" s="14">
        <f>'A) Base RI'!AI290</f>
        <v>0</v>
      </c>
      <c r="AP290" s="14">
        <f>'A) Base RI'!AJ290</f>
        <v>0</v>
      </c>
      <c r="AQ290" s="14">
        <f>'A) Base RI'!AK290</f>
        <v>0</v>
      </c>
      <c r="AR290" s="14">
        <f>'A) Base RI'!AN290</f>
        <v>278</v>
      </c>
    </row>
    <row r="291" spans="1:44" x14ac:dyDescent="0.25">
      <c r="A291" s="12">
        <f>'A) Base RI'!A291</f>
        <v>5908</v>
      </c>
      <c r="B291" s="42" t="str">
        <f>'A) Base RI'!B291</f>
        <v>Chêne-Pâquier</v>
      </c>
      <c r="C291" s="14">
        <f>'A) Base RI'!C291+'A) Base RI'!D291</f>
        <v>228217.33</v>
      </c>
      <c r="D291" s="14">
        <f>'A) Base RI'!AO291</f>
        <v>-24182.78</v>
      </c>
      <c r="E291" s="41">
        <f>'A) Base RI'!AP291</f>
        <v>0</v>
      </c>
      <c r="F291" s="41">
        <f>'A) Base RI'!AQ291</f>
        <v>0</v>
      </c>
      <c r="G291" s="4">
        <f t="shared" si="24"/>
        <v>204034.55</v>
      </c>
      <c r="H291" s="14">
        <f>'A) Base RI'!E291</f>
        <v>0</v>
      </c>
      <c r="I291" s="14">
        <f>'A) Base RI'!F291</f>
        <v>0</v>
      </c>
      <c r="J291" s="14">
        <f>'A) Base RI'!G291+'A) Base RI'!H291</f>
        <v>7569.95</v>
      </c>
      <c r="K291" s="14">
        <f>'A) Base RI'!I291</f>
        <v>0</v>
      </c>
      <c r="L291" s="14">
        <f>'A) Base RI'!J291</f>
        <v>1817.14</v>
      </c>
      <c r="M291" s="14">
        <f>'A) Base RI'!K291</f>
        <v>49.5</v>
      </c>
      <c r="N291" s="14">
        <f>'A) Base RI'!Q291</f>
        <v>0</v>
      </c>
      <c r="O291" s="14">
        <f t="shared" si="25"/>
        <v>15550</v>
      </c>
      <c r="P291" s="14">
        <f>'A) Base RI'!L291</f>
        <v>15550</v>
      </c>
      <c r="Q291" s="44">
        <f>'A) Base RI'!AR291</f>
        <v>1</v>
      </c>
      <c r="R291" s="4">
        <f t="shared" si="26"/>
        <v>229021.14</v>
      </c>
      <c r="S291" s="43">
        <f>'A) Base RI'!AM291</f>
        <v>79</v>
      </c>
      <c r="T291" s="4">
        <f t="shared" si="27"/>
        <v>213421.64</v>
      </c>
      <c r="U291" s="4">
        <f t="shared" si="28"/>
        <v>2899.0017721518989</v>
      </c>
      <c r="V291" s="14">
        <f>'A) Base RI'!O291</f>
        <v>0</v>
      </c>
      <c r="W291" s="14">
        <f>'A) Base RI'!P291</f>
        <v>13904</v>
      </c>
      <c r="X291" s="14">
        <f>'A) Base RI'!R291</f>
        <v>0</v>
      </c>
      <c r="Y291" s="4">
        <f t="shared" si="29"/>
        <v>13904</v>
      </c>
      <c r="Z291" s="14">
        <f>'A) Base RI'!N291</f>
        <v>0</v>
      </c>
      <c r="AA291" s="14">
        <f>'A) Base RI'!S291+'A) Base RI'!T291</f>
        <v>0</v>
      </c>
      <c r="AB291" s="14">
        <f>'A) Base RI'!U291</f>
        <v>1452</v>
      </c>
      <c r="AC291" s="14">
        <f>'A) Base RI'!V291</f>
        <v>0</v>
      </c>
      <c r="AD291" s="14">
        <f>'A) Base RI'!W291</f>
        <v>0</v>
      </c>
      <c r="AE291" s="14">
        <f>'A) Base RI'!Y291</f>
        <v>0</v>
      </c>
      <c r="AF291" s="14">
        <f>'A) Base RI'!Z291</f>
        <v>0</v>
      </c>
      <c r="AG291" s="14">
        <f>'A) Base RI'!AA291</f>
        <v>22700</v>
      </c>
      <c r="AH291" s="14">
        <f>'A) Base RI'!AB291</f>
        <v>0</v>
      </c>
      <c r="AI291" s="14">
        <f>'A) Base RI'!AC291</f>
        <v>4945</v>
      </c>
      <c r="AJ291" s="14">
        <f>'A) Base RI'!AD291</f>
        <v>0</v>
      </c>
      <c r="AK291" s="14">
        <f>'A) Base RI'!AE291</f>
        <v>0</v>
      </c>
      <c r="AL291" s="14">
        <f>'A) Base RI'!AF291</f>
        <v>0</v>
      </c>
      <c r="AM291" s="14">
        <f>'A) Base RI'!AG291</f>
        <v>0</v>
      </c>
      <c r="AN291" s="14">
        <f>'A) Base RI'!AH291</f>
        <v>0</v>
      </c>
      <c r="AO291" s="14">
        <f>'A) Base RI'!AI291</f>
        <v>0</v>
      </c>
      <c r="AP291" s="14">
        <f>'A) Base RI'!AJ291</f>
        <v>0</v>
      </c>
      <c r="AQ291" s="14">
        <f>'A) Base RI'!AK291</f>
        <v>0</v>
      </c>
      <c r="AR291" s="14">
        <f>'A) Base RI'!AN291</f>
        <v>125</v>
      </c>
    </row>
    <row r="292" spans="1:44" x14ac:dyDescent="0.25">
      <c r="A292" s="12">
        <f>'A) Base RI'!A292</f>
        <v>5909</v>
      </c>
      <c r="B292" s="42" t="str">
        <f>'A) Base RI'!B292</f>
        <v>Cheseaux-Noréaz</v>
      </c>
      <c r="C292" s="14">
        <f>'A) Base RI'!C292+'A) Base RI'!D292</f>
        <v>1409286.9000000001</v>
      </c>
      <c r="D292" s="14">
        <f>'A) Base RI'!AO292</f>
        <v>-5598.22</v>
      </c>
      <c r="E292" s="41">
        <f>'A) Base RI'!AP292</f>
        <v>-7666.65</v>
      </c>
      <c r="F292" s="41">
        <f>'A) Base RI'!AQ292</f>
        <v>-143.44</v>
      </c>
      <c r="G292" s="4">
        <f t="shared" si="24"/>
        <v>1395878.5900000003</v>
      </c>
      <c r="H292" s="14">
        <f>'A) Base RI'!E292</f>
        <v>0</v>
      </c>
      <c r="I292" s="14">
        <f>'A) Base RI'!F292</f>
        <v>0</v>
      </c>
      <c r="J292" s="14">
        <f>'A) Base RI'!G292+'A) Base RI'!H292</f>
        <v>47569.5</v>
      </c>
      <c r="K292" s="14">
        <f>'A) Base RI'!I292</f>
        <v>0</v>
      </c>
      <c r="L292" s="14">
        <f>'A) Base RI'!J292</f>
        <v>1383.48</v>
      </c>
      <c r="M292" s="14">
        <f>'A) Base RI'!K292</f>
        <v>822.5</v>
      </c>
      <c r="N292" s="14">
        <f>'A) Base RI'!Q292</f>
        <v>0</v>
      </c>
      <c r="O292" s="14">
        <f t="shared" si="25"/>
        <v>140675.20000000001</v>
      </c>
      <c r="P292" s="14">
        <f>'A) Base RI'!L292</f>
        <v>140675.20000000001</v>
      </c>
      <c r="Q292" s="44">
        <f>'A) Base RI'!AR292</f>
        <v>1</v>
      </c>
      <c r="R292" s="4">
        <f t="shared" si="26"/>
        <v>1586329.2700000003</v>
      </c>
      <c r="S292" s="43">
        <f>'A) Base RI'!AM292</f>
        <v>70</v>
      </c>
      <c r="T292" s="4">
        <f t="shared" si="27"/>
        <v>1444831.5700000003</v>
      </c>
      <c r="U292" s="4">
        <f t="shared" si="28"/>
        <v>22661.846714285719</v>
      </c>
      <c r="V292" s="14">
        <f>'A) Base RI'!O292</f>
        <v>0</v>
      </c>
      <c r="W292" s="14">
        <f>'A) Base RI'!P292</f>
        <v>46098.15</v>
      </c>
      <c r="X292" s="14">
        <f>'A) Base RI'!R292</f>
        <v>58144.35</v>
      </c>
      <c r="Y292" s="4">
        <f t="shared" si="29"/>
        <v>104242.5</v>
      </c>
      <c r="Z292" s="14">
        <f>'A) Base RI'!N292</f>
        <v>8154.8</v>
      </c>
      <c r="AA292" s="14">
        <f>'A) Base RI'!S292+'A) Base RI'!T292</f>
        <v>0</v>
      </c>
      <c r="AB292" s="14">
        <f>'A) Base RI'!U292</f>
        <v>860</v>
      </c>
      <c r="AC292" s="14">
        <f>'A) Base RI'!V292</f>
        <v>0</v>
      </c>
      <c r="AD292" s="14">
        <f>'A) Base RI'!W292</f>
        <v>2000</v>
      </c>
      <c r="AE292" s="14">
        <f>'A) Base RI'!Y292</f>
        <v>18125</v>
      </c>
      <c r="AF292" s="14">
        <f>'A) Base RI'!Z292</f>
        <v>0</v>
      </c>
      <c r="AG292" s="14">
        <f>'A) Base RI'!AA292</f>
        <v>60314.23</v>
      </c>
      <c r="AH292" s="14">
        <f>'A) Base RI'!AB292</f>
        <v>0</v>
      </c>
      <c r="AI292" s="14">
        <f>'A) Base RI'!AC292</f>
        <v>42237.599999999999</v>
      </c>
      <c r="AJ292" s="14">
        <f>'A) Base RI'!AD292</f>
        <v>18026.2</v>
      </c>
      <c r="AK292" s="14">
        <f>'A) Base RI'!AE292</f>
        <v>0</v>
      </c>
      <c r="AL292" s="14">
        <f>'A) Base RI'!AF292</f>
        <v>0</v>
      </c>
      <c r="AM292" s="14">
        <f>'A) Base RI'!AG292</f>
        <v>72165.55</v>
      </c>
      <c r="AN292" s="14">
        <f>'A) Base RI'!AH292</f>
        <v>0</v>
      </c>
      <c r="AO292" s="14">
        <f>'A) Base RI'!AI292</f>
        <v>0</v>
      </c>
      <c r="AP292" s="14">
        <f>'A) Base RI'!AJ292</f>
        <v>0</v>
      </c>
      <c r="AQ292" s="14">
        <f>'A) Base RI'!AK292</f>
        <v>0</v>
      </c>
      <c r="AR292" s="14">
        <f>'A) Base RI'!AN292</f>
        <v>664</v>
      </c>
    </row>
    <row r="293" spans="1:44" x14ac:dyDescent="0.25">
      <c r="A293" s="12">
        <f>'A) Base RI'!A293</f>
        <v>5910</v>
      </c>
      <c r="B293" s="42" t="str">
        <f>'A) Base RI'!B293</f>
        <v>Cronay</v>
      </c>
      <c r="C293" s="14">
        <f>'A) Base RI'!C293+'A) Base RI'!D293</f>
        <v>779429.59</v>
      </c>
      <c r="D293" s="14">
        <f>'A) Base RI'!AO293</f>
        <v>-1662.47</v>
      </c>
      <c r="E293" s="41">
        <f>'A) Base RI'!AP293</f>
        <v>0</v>
      </c>
      <c r="F293" s="41">
        <f>'A) Base RI'!AQ293</f>
        <v>-0.84</v>
      </c>
      <c r="G293" s="4">
        <f t="shared" si="24"/>
        <v>777766.28</v>
      </c>
      <c r="H293" s="14">
        <f>'A) Base RI'!E293</f>
        <v>0</v>
      </c>
      <c r="I293" s="14">
        <f>'A) Base RI'!F293</f>
        <v>2080</v>
      </c>
      <c r="J293" s="14">
        <f>'A) Base RI'!G293+'A) Base RI'!H293</f>
        <v>12058.099999999999</v>
      </c>
      <c r="K293" s="14">
        <f>'A) Base RI'!I293</f>
        <v>0</v>
      </c>
      <c r="L293" s="14">
        <f>'A) Base RI'!J293</f>
        <v>2962.48</v>
      </c>
      <c r="M293" s="14">
        <f>'A) Base RI'!K293</f>
        <v>0</v>
      </c>
      <c r="N293" s="14">
        <f>'A) Base RI'!Q293</f>
        <v>1373.15</v>
      </c>
      <c r="O293" s="14">
        <f t="shared" si="25"/>
        <v>46950</v>
      </c>
      <c r="P293" s="14">
        <f>'A) Base RI'!L293</f>
        <v>46950</v>
      </c>
      <c r="Q293" s="44">
        <f>'A) Base RI'!AR293</f>
        <v>1</v>
      </c>
      <c r="R293" s="4">
        <f t="shared" si="26"/>
        <v>843190.01</v>
      </c>
      <c r="S293" s="43">
        <f>'A) Base RI'!AM293</f>
        <v>81</v>
      </c>
      <c r="T293" s="4">
        <f t="shared" si="27"/>
        <v>794160.01</v>
      </c>
      <c r="U293" s="4">
        <f t="shared" si="28"/>
        <v>10409.753209876544</v>
      </c>
      <c r="V293" s="14">
        <f>'A) Base RI'!O293</f>
        <v>0</v>
      </c>
      <c r="W293" s="14">
        <f>'A) Base RI'!P293</f>
        <v>46770.5</v>
      </c>
      <c r="X293" s="14">
        <f>'A) Base RI'!R293</f>
        <v>56372.2</v>
      </c>
      <c r="Y293" s="4">
        <f t="shared" si="29"/>
        <v>103142.7</v>
      </c>
      <c r="Z293" s="14">
        <f>'A) Base RI'!N293</f>
        <v>0</v>
      </c>
      <c r="AA293" s="14">
        <f>'A) Base RI'!S293+'A) Base RI'!T293</f>
        <v>610</v>
      </c>
      <c r="AB293" s="14">
        <f>'A) Base RI'!U293</f>
        <v>3473</v>
      </c>
      <c r="AC293" s="14">
        <f>'A) Base RI'!V293</f>
        <v>0</v>
      </c>
      <c r="AD293" s="14">
        <f>'A) Base RI'!W293</f>
        <v>0</v>
      </c>
      <c r="AE293" s="14">
        <f>'A) Base RI'!Y293</f>
        <v>16007</v>
      </c>
      <c r="AF293" s="14">
        <f>'A) Base RI'!Z293</f>
        <v>0</v>
      </c>
      <c r="AG293" s="14">
        <f>'A) Base RI'!AA293</f>
        <v>23650</v>
      </c>
      <c r="AH293" s="14">
        <f>'A) Base RI'!AB293</f>
        <v>0</v>
      </c>
      <c r="AI293" s="14">
        <f>'A) Base RI'!AC293</f>
        <v>20587</v>
      </c>
      <c r="AJ293" s="14">
        <f>'A) Base RI'!AD293</f>
        <v>0</v>
      </c>
      <c r="AK293" s="14">
        <f>'A) Base RI'!AE293</f>
        <v>0</v>
      </c>
      <c r="AL293" s="14">
        <f>'A) Base RI'!AF293</f>
        <v>0</v>
      </c>
      <c r="AM293" s="14">
        <f>'A) Base RI'!AG293</f>
        <v>0</v>
      </c>
      <c r="AN293" s="14">
        <f>'A) Base RI'!AH293</f>
        <v>0</v>
      </c>
      <c r="AO293" s="14">
        <f>'A) Base RI'!AI293</f>
        <v>0</v>
      </c>
      <c r="AP293" s="14">
        <f>'A) Base RI'!AJ293</f>
        <v>0</v>
      </c>
      <c r="AQ293" s="14">
        <f>'A) Base RI'!AK293</f>
        <v>0</v>
      </c>
      <c r="AR293" s="14">
        <f>'A) Base RI'!AN293</f>
        <v>364</v>
      </c>
    </row>
    <row r="294" spans="1:44" x14ac:dyDescent="0.25">
      <c r="A294" s="12">
        <f>'A) Base RI'!A294</f>
        <v>5911</v>
      </c>
      <c r="B294" s="42" t="str">
        <f>'A) Base RI'!B294</f>
        <v>Cuarny</v>
      </c>
      <c r="C294" s="14">
        <f>'A) Base RI'!C294+'A) Base RI'!D294</f>
        <v>512631.14</v>
      </c>
      <c r="D294" s="14">
        <f>'A) Base RI'!AO294</f>
        <v>-2867.13</v>
      </c>
      <c r="E294" s="41">
        <f>'A) Base RI'!AP294</f>
        <v>0</v>
      </c>
      <c r="F294" s="41">
        <f>'A) Base RI'!AQ294</f>
        <v>-632.80999999999995</v>
      </c>
      <c r="G294" s="4">
        <f t="shared" si="24"/>
        <v>509131.2</v>
      </c>
      <c r="H294" s="14">
        <f>'A) Base RI'!E294</f>
        <v>0</v>
      </c>
      <c r="I294" s="14">
        <f>'A) Base RI'!F294</f>
        <v>1250</v>
      </c>
      <c r="J294" s="14">
        <f>'A) Base RI'!G294+'A) Base RI'!H294</f>
        <v>13451.9</v>
      </c>
      <c r="K294" s="14">
        <f>'A) Base RI'!I294</f>
        <v>0</v>
      </c>
      <c r="L294" s="14">
        <f>'A) Base RI'!J294</f>
        <v>1532.42</v>
      </c>
      <c r="M294" s="14">
        <f>'A) Base RI'!K294</f>
        <v>348</v>
      </c>
      <c r="N294" s="14">
        <f>'A) Base RI'!Q294</f>
        <v>0</v>
      </c>
      <c r="O294" s="14">
        <f t="shared" si="25"/>
        <v>23760.35</v>
      </c>
      <c r="P294" s="14">
        <f>'A) Base RI'!L294</f>
        <v>23760.35</v>
      </c>
      <c r="Q294" s="44">
        <f>'A) Base RI'!AR294</f>
        <v>1</v>
      </c>
      <c r="R294" s="4">
        <f t="shared" si="26"/>
        <v>549473.87</v>
      </c>
      <c r="S294" s="43">
        <f>'A) Base RI'!AM294</f>
        <v>81</v>
      </c>
      <c r="T294" s="4">
        <f t="shared" si="27"/>
        <v>524115.52</v>
      </c>
      <c r="U294" s="4">
        <f t="shared" si="28"/>
        <v>6783.6280246913584</v>
      </c>
      <c r="V294" s="14">
        <f>'A) Base RI'!O294</f>
        <v>691.5</v>
      </c>
      <c r="W294" s="14">
        <f>'A) Base RI'!P294</f>
        <v>0</v>
      </c>
      <c r="X294" s="14">
        <f>'A) Base RI'!R294</f>
        <v>0</v>
      </c>
      <c r="Y294" s="4">
        <f t="shared" si="29"/>
        <v>691.5</v>
      </c>
      <c r="Z294" s="14">
        <f>'A) Base RI'!N294</f>
        <v>0</v>
      </c>
      <c r="AA294" s="14">
        <f>'A) Base RI'!S294+'A) Base RI'!T294</f>
        <v>0</v>
      </c>
      <c r="AB294" s="14">
        <f>'A) Base RI'!U294</f>
        <v>800</v>
      </c>
      <c r="AC294" s="14">
        <f>'A) Base RI'!V294</f>
        <v>0</v>
      </c>
      <c r="AD294" s="14">
        <f>'A) Base RI'!W294</f>
        <v>0</v>
      </c>
      <c r="AE294" s="14">
        <f>'A) Base RI'!Y294</f>
        <v>0</v>
      </c>
      <c r="AF294" s="14">
        <f>'A) Base RI'!Z294</f>
        <v>0</v>
      </c>
      <c r="AG294" s="14">
        <f>'A) Base RI'!AA294</f>
        <v>31846.400000000001</v>
      </c>
      <c r="AH294" s="14">
        <f>'A) Base RI'!AB294</f>
        <v>0</v>
      </c>
      <c r="AI294" s="14">
        <f>'A) Base RI'!AC294</f>
        <v>13567</v>
      </c>
      <c r="AJ294" s="14">
        <f>'A) Base RI'!AD294</f>
        <v>0</v>
      </c>
      <c r="AK294" s="14">
        <f>'A) Base RI'!AE294</f>
        <v>0</v>
      </c>
      <c r="AL294" s="14">
        <f>'A) Base RI'!AF294</f>
        <v>0</v>
      </c>
      <c r="AM294" s="14">
        <f>'A) Base RI'!AG294</f>
        <v>0</v>
      </c>
      <c r="AN294" s="14">
        <f>'A) Base RI'!AH294</f>
        <v>0</v>
      </c>
      <c r="AO294" s="14">
        <f>'A) Base RI'!AI294</f>
        <v>0</v>
      </c>
      <c r="AP294" s="14">
        <f>'A) Base RI'!AJ294</f>
        <v>0</v>
      </c>
      <c r="AQ294" s="14">
        <f>'A) Base RI'!AK294</f>
        <v>0</v>
      </c>
      <c r="AR294" s="14">
        <f>'A) Base RI'!AN294</f>
        <v>216</v>
      </c>
    </row>
    <row r="295" spans="1:44" x14ac:dyDescent="0.25">
      <c r="A295" s="12">
        <f>'A) Base RI'!A295</f>
        <v>5912</v>
      </c>
      <c r="B295" s="42" t="str">
        <f>'A) Base RI'!B295</f>
        <v>Démoret</v>
      </c>
      <c r="C295" s="14">
        <f>'A) Base RI'!C295+'A) Base RI'!D295</f>
        <v>236272.8</v>
      </c>
      <c r="D295" s="14">
        <f>'A) Base RI'!AO295</f>
        <v>-64.2</v>
      </c>
      <c r="E295" s="41">
        <f>'A) Base RI'!AP295</f>
        <v>0</v>
      </c>
      <c r="F295" s="41">
        <f>'A) Base RI'!AQ295</f>
        <v>0</v>
      </c>
      <c r="G295" s="4">
        <f t="shared" si="24"/>
        <v>236208.59999999998</v>
      </c>
      <c r="H295" s="14">
        <f>'A) Base RI'!E295</f>
        <v>0</v>
      </c>
      <c r="I295" s="14">
        <f>'A) Base RI'!F295</f>
        <v>800</v>
      </c>
      <c r="J295" s="14">
        <f>'A) Base RI'!G295+'A) Base RI'!H295</f>
        <v>2617.1999999999998</v>
      </c>
      <c r="K295" s="14">
        <f>'A) Base RI'!I295</f>
        <v>0</v>
      </c>
      <c r="L295" s="14">
        <f>'A) Base RI'!J295</f>
        <v>530.30999999999995</v>
      </c>
      <c r="M295" s="14">
        <f>'A) Base RI'!K295</f>
        <v>0</v>
      </c>
      <c r="N295" s="14">
        <f>'A) Base RI'!Q295</f>
        <v>0</v>
      </c>
      <c r="O295" s="14">
        <f t="shared" si="25"/>
        <v>14718.7</v>
      </c>
      <c r="P295" s="14">
        <f>'A) Base RI'!L295</f>
        <v>14718.7</v>
      </c>
      <c r="Q295" s="44">
        <f>'A) Base RI'!AR295</f>
        <v>1</v>
      </c>
      <c r="R295" s="4">
        <f t="shared" si="26"/>
        <v>254874.81</v>
      </c>
      <c r="S295" s="43">
        <f>'A) Base RI'!AM295</f>
        <v>81</v>
      </c>
      <c r="T295" s="4">
        <f t="shared" si="27"/>
        <v>239356.11</v>
      </c>
      <c r="U295" s="4">
        <f t="shared" si="28"/>
        <v>3146.6025925925924</v>
      </c>
      <c r="V295" s="14">
        <f>'A) Base RI'!O295</f>
        <v>100384.8</v>
      </c>
      <c r="W295" s="14">
        <f>'A) Base RI'!P295</f>
        <v>0</v>
      </c>
      <c r="X295" s="14">
        <f>'A) Base RI'!R295</f>
        <v>0</v>
      </c>
      <c r="Y295" s="4">
        <f t="shared" si="29"/>
        <v>100384.8</v>
      </c>
      <c r="Z295" s="14">
        <f>'A) Base RI'!N295</f>
        <v>0</v>
      </c>
      <c r="AA295" s="14">
        <f>'A) Base RI'!S295+'A) Base RI'!T295</f>
        <v>0</v>
      </c>
      <c r="AB295" s="14">
        <f>'A) Base RI'!U295</f>
        <v>1200</v>
      </c>
      <c r="AC295" s="14">
        <f>'A) Base RI'!V295</f>
        <v>0</v>
      </c>
      <c r="AD295" s="14">
        <f>'A) Base RI'!W295</f>
        <v>0</v>
      </c>
      <c r="AE295" s="14">
        <f>'A) Base RI'!Y295</f>
        <v>5000</v>
      </c>
      <c r="AF295" s="14">
        <f>'A) Base RI'!Z295</f>
        <v>0</v>
      </c>
      <c r="AG295" s="14">
        <f>'A) Base RI'!AA295</f>
        <v>14928</v>
      </c>
      <c r="AH295" s="14">
        <f>'A) Base RI'!AB295</f>
        <v>0</v>
      </c>
      <c r="AI295" s="14">
        <f>'A) Base RI'!AC295</f>
        <v>7050</v>
      </c>
      <c r="AJ295" s="14">
        <f>'A) Base RI'!AD295</f>
        <v>4200</v>
      </c>
      <c r="AK295" s="14">
        <f>'A) Base RI'!AE295</f>
        <v>0</v>
      </c>
      <c r="AL295" s="14">
        <f>'A) Base RI'!AF295</f>
        <v>0</v>
      </c>
      <c r="AM295" s="14">
        <f>'A) Base RI'!AG295</f>
        <v>0</v>
      </c>
      <c r="AN295" s="14">
        <f>'A) Base RI'!AH295</f>
        <v>0</v>
      </c>
      <c r="AO295" s="14">
        <f>'A) Base RI'!AI295</f>
        <v>0</v>
      </c>
      <c r="AP295" s="14">
        <f>'A) Base RI'!AJ295</f>
        <v>0</v>
      </c>
      <c r="AQ295" s="14">
        <f>'A) Base RI'!AK295</f>
        <v>0</v>
      </c>
      <c r="AR295" s="14">
        <f>'A) Base RI'!AN295</f>
        <v>123</v>
      </c>
    </row>
    <row r="296" spans="1:44" x14ac:dyDescent="0.25">
      <c r="A296" s="12">
        <f>'A) Base RI'!A296</f>
        <v>5913</v>
      </c>
      <c r="B296" s="42" t="str">
        <f>'A) Base RI'!B296</f>
        <v>Donneloye</v>
      </c>
      <c r="C296" s="14">
        <f>'A) Base RI'!C296+'A) Base RI'!D296</f>
        <v>1542517.2399999998</v>
      </c>
      <c r="D296" s="14">
        <f>'A) Base RI'!AO296</f>
        <v>-10697.47</v>
      </c>
      <c r="E296" s="41">
        <f>'A) Base RI'!AP296</f>
        <v>0</v>
      </c>
      <c r="F296" s="41">
        <f>'A) Base RI'!AQ296</f>
        <v>-16.489999999999998</v>
      </c>
      <c r="G296" s="4">
        <f t="shared" si="24"/>
        <v>1531803.2799999998</v>
      </c>
      <c r="H296" s="14">
        <f>'A) Base RI'!E296</f>
        <v>0</v>
      </c>
      <c r="I296" s="14">
        <f>'A) Base RI'!F296</f>
        <v>0</v>
      </c>
      <c r="J296" s="14">
        <f>'A) Base RI'!G296+'A) Base RI'!H296</f>
        <v>48098</v>
      </c>
      <c r="K296" s="14">
        <f>'A) Base RI'!I296</f>
        <v>0</v>
      </c>
      <c r="L296" s="14">
        <f>'A) Base RI'!J296</f>
        <v>9154.9</v>
      </c>
      <c r="M296" s="14">
        <f>'A) Base RI'!K296</f>
        <v>1518.5</v>
      </c>
      <c r="N296" s="14">
        <f>'A) Base RI'!Q296</f>
        <v>4248.55</v>
      </c>
      <c r="O296" s="14">
        <f t="shared" si="25"/>
        <v>92662.2</v>
      </c>
      <c r="P296" s="14">
        <f>'A) Base RI'!L296</f>
        <v>92662.2</v>
      </c>
      <c r="Q296" s="44">
        <f>'A) Base RI'!AR296</f>
        <v>1</v>
      </c>
      <c r="R296" s="4">
        <f t="shared" si="26"/>
        <v>1687485.4299999997</v>
      </c>
      <c r="S296" s="43">
        <f>'A) Base RI'!AM296</f>
        <v>73</v>
      </c>
      <c r="T296" s="4">
        <f t="shared" si="27"/>
        <v>1593304.7299999997</v>
      </c>
      <c r="U296" s="4">
        <f t="shared" si="28"/>
        <v>23116.238767123283</v>
      </c>
      <c r="V296" s="14">
        <f>'A) Base RI'!O296</f>
        <v>543.79999999999995</v>
      </c>
      <c r="W296" s="14">
        <f>'A) Base RI'!P296</f>
        <v>60358.75</v>
      </c>
      <c r="X296" s="14">
        <f>'A) Base RI'!R296</f>
        <v>59792.6</v>
      </c>
      <c r="Y296" s="4">
        <f t="shared" si="29"/>
        <v>120695.15</v>
      </c>
      <c r="Z296" s="14">
        <f>'A) Base RI'!N296</f>
        <v>11064.15</v>
      </c>
      <c r="AA296" s="14">
        <f>'A) Base RI'!S296+'A) Base RI'!T296</f>
        <v>300</v>
      </c>
      <c r="AB296" s="14">
        <f>'A) Base RI'!U296</f>
        <v>5496.5</v>
      </c>
      <c r="AC296" s="14">
        <f>'A) Base RI'!V296</f>
        <v>88</v>
      </c>
      <c r="AD296" s="14">
        <f>'A) Base RI'!W296</f>
        <v>0</v>
      </c>
      <c r="AE296" s="14">
        <f>'A) Base RI'!Y296</f>
        <v>8835</v>
      </c>
      <c r="AF296" s="14">
        <f>'A) Base RI'!Z296</f>
        <v>0</v>
      </c>
      <c r="AG296" s="14">
        <f>'A) Base RI'!AA296</f>
        <v>66471.75</v>
      </c>
      <c r="AH296" s="14">
        <f>'A) Base RI'!AB296</f>
        <v>0</v>
      </c>
      <c r="AI296" s="14">
        <f>'A) Base RI'!AC296</f>
        <v>34487.5</v>
      </c>
      <c r="AJ296" s="14">
        <f>'A) Base RI'!AD296</f>
        <v>41254.75</v>
      </c>
      <c r="AK296" s="14">
        <f>'A) Base RI'!AE296</f>
        <v>0</v>
      </c>
      <c r="AL296" s="14">
        <f>'A) Base RI'!AF296</f>
        <v>0</v>
      </c>
      <c r="AM296" s="14">
        <f>'A) Base RI'!AG296</f>
        <v>0</v>
      </c>
      <c r="AN296" s="14">
        <f>'A) Base RI'!AH296</f>
        <v>21349.599999999999</v>
      </c>
      <c r="AO296" s="14">
        <f>'A) Base RI'!AI296</f>
        <v>0</v>
      </c>
      <c r="AP296" s="14">
        <f>'A) Base RI'!AJ296</f>
        <v>0</v>
      </c>
      <c r="AQ296" s="14">
        <f>'A) Base RI'!AK296</f>
        <v>0</v>
      </c>
      <c r="AR296" s="14">
        <f>'A) Base RI'!AN296</f>
        <v>765</v>
      </c>
    </row>
    <row r="297" spans="1:44" x14ac:dyDescent="0.25">
      <c r="A297" s="12">
        <f>'A) Base RI'!A297</f>
        <v>5914</v>
      </c>
      <c r="B297" s="42" t="str">
        <f>'A) Base RI'!B297</f>
        <v>Ependes</v>
      </c>
      <c r="C297" s="14">
        <f>'A) Base RI'!C297+'A) Base RI'!D297</f>
        <v>580068.41999999993</v>
      </c>
      <c r="D297" s="14">
        <f>'A) Base RI'!AO297</f>
        <v>-15283.42</v>
      </c>
      <c r="E297" s="41">
        <f>'A) Base RI'!AP297</f>
        <v>0</v>
      </c>
      <c r="F297" s="41">
        <f>'A) Base RI'!AQ297</f>
        <v>0</v>
      </c>
      <c r="G297" s="4">
        <f t="shared" si="24"/>
        <v>564784.99999999988</v>
      </c>
      <c r="H297" s="14">
        <f>'A) Base RI'!E297</f>
        <v>0</v>
      </c>
      <c r="I297" s="14">
        <f>'A) Base RI'!F297</f>
        <v>2070</v>
      </c>
      <c r="J297" s="14">
        <f>'A) Base RI'!G297+'A) Base RI'!H297</f>
        <v>30948.95</v>
      </c>
      <c r="K297" s="14">
        <f>'A) Base RI'!I297</f>
        <v>0</v>
      </c>
      <c r="L297" s="14">
        <f>'A) Base RI'!J297</f>
        <v>5017.58</v>
      </c>
      <c r="M297" s="14">
        <f>'A) Base RI'!K297</f>
        <v>4447.5</v>
      </c>
      <c r="N297" s="14">
        <f>'A) Base RI'!Q297</f>
        <v>6210.75</v>
      </c>
      <c r="O297" s="14">
        <f t="shared" si="25"/>
        <v>42792.15</v>
      </c>
      <c r="P297" s="14">
        <f>'A) Base RI'!L297</f>
        <v>42792.15</v>
      </c>
      <c r="Q297" s="44">
        <f>'A) Base RI'!AR297</f>
        <v>1</v>
      </c>
      <c r="R297" s="4">
        <f t="shared" si="26"/>
        <v>656271.92999999982</v>
      </c>
      <c r="S297" s="43">
        <f>'A) Base RI'!AM297</f>
        <v>75</v>
      </c>
      <c r="T297" s="4">
        <f t="shared" si="27"/>
        <v>606962.2799999998</v>
      </c>
      <c r="U297" s="4">
        <f t="shared" si="28"/>
        <v>8750.2923999999985</v>
      </c>
      <c r="V297" s="14">
        <f>'A) Base RI'!O297</f>
        <v>0</v>
      </c>
      <c r="W297" s="14">
        <f>'A) Base RI'!P297</f>
        <v>8941.9</v>
      </c>
      <c r="X297" s="14">
        <f>'A) Base RI'!R297</f>
        <v>7594.5</v>
      </c>
      <c r="Y297" s="4">
        <f t="shared" si="29"/>
        <v>16536.400000000001</v>
      </c>
      <c r="Z297" s="14">
        <f>'A) Base RI'!N297</f>
        <v>0</v>
      </c>
      <c r="AA297" s="14">
        <f>'A) Base RI'!S297+'A) Base RI'!T297</f>
        <v>1126</v>
      </c>
      <c r="AB297" s="14">
        <f>'A) Base RI'!U297</f>
        <v>1340</v>
      </c>
      <c r="AC297" s="14">
        <f>'A) Base RI'!V297</f>
        <v>0</v>
      </c>
      <c r="AD297" s="14">
        <f>'A) Base RI'!W297</f>
        <v>0</v>
      </c>
      <c r="AE297" s="14">
        <f>'A) Base RI'!Y297</f>
        <v>9730</v>
      </c>
      <c r="AF297" s="14">
        <f>'A) Base RI'!Z297</f>
        <v>0</v>
      </c>
      <c r="AG297" s="14">
        <f>'A) Base RI'!AA297</f>
        <v>81168.149999999994</v>
      </c>
      <c r="AH297" s="14">
        <f>'A) Base RI'!AB297</f>
        <v>0</v>
      </c>
      <c r="AI297" s="14">
        <f>'A) Base RI'!AC297</f>
        <v>31063.25</v>
      </c>
      <c r="AJ297" s="14">
        <f>'A) Base RI'!AD297</f>
        <v>2147.5</v>
      </c>
      <c r="AK297" s="14">
        <f>'A) Base RI'!AE297</f>
        <v>0</v>
      </c>
      <c r="AL297" s="14">
        <f>'A) Base RI'!AF297</f>
        <v>0</v>
      </c>
      <c r="AM297" s="14">
        <f>'A) Base RI'!AG297</f>
        <v>0</v>
      </c>
      <c r="AN297" s="14">
        <f>'A) Base RI'!AH297</f>
        <v>0</v>
      </c>
      <c r="AO297" s="14">
        <f>'A) Base RI'!AI297</f>
        <v>0</v>
      </c>
      <c r="AP297" s="14">
        <f>'A) Base RI'!AJ297</f>
        <v>0</v>
      </c>
      <c r="AQ297" s="14">
        <f>'A) Base RI'!AK297</f>
        <v>0</v>
      </c>
      <c r="AR297" s="14">
        <f>'A) Base RI'!AN297</f>
        <v>345</v>
      </c>
    </row>
    <row r="298" spans="1:44" x14ac:dyDescent="0.25">
      <c r="A298" s="12">
        <f>'A) Base RI'!A298</f>
        <v>5919</v>
      </c>
      <c r="B298" s="42" t="str">
        <f>'A) Base RI'!B298</f>
        <v>Mathod</v>
      </c>
      <c r="C298" s="14">
        <f>'A) Base RI'!C298+'A) Base RI'!D298</f>
        <v>1045014.61</v>
      </c>
      <c r="D298" s="14">
        <f>'A) Base RI'!AO298</f>
        <v>-4933.58</v>
      </c>
      <c r="E298" s="41">
        <f>'A) Base RI'!AP298</f>
        <v>0</v>
      </c>
      <c r="F298" s="41">
        <f>'A) Base RI'!AQ298</f>
        <v>-27.96</v>
      </c>
      <c r="G298" s="4">
        <f t="shared" si="24"/>
        <v>1040053.0700000001</v>
      </c>
      <c r="H298" s="14">
        <f>'A) Base RI'!E298</f>
        <v>0</v>
      </c>
      <c r="I298" s="14">
        <f>'A) Base RI'!F298</f>
        <v>3100</v>
      </c>
      <c r="J298" s="14">
        <f>'A) Base RI'!G298+'A) Base RI'!H298</f>
        <v>53154.7</v>
      </c>
      <c r="K298" s="14">
        <f>'A) Base RI'!I298</f>
        <v>0</v>
      </c>
      <c r="L298" s="14">
        <f>'A) Base RI'!J298</f>
        <v>17554.25</v>
      </c>
      <c r="M298" s="14">
        <f>'A) Base RI'!K298</f>
        <v>1569</v>
      </c>
      <c r="N298" s="14">
        <f>'A) Base RI'!Q298</f>
        <v>1887.92</v>
      </c>
      <c r="O298" s="14">
        <f t="shared" si="25"/>
        <v>85974.625</v>
      </c>
      <c r="P298" s="14">
        <f>'A) Base RI'!L298</f>
        <v>103169.55</v>
      </c>
      <c r="Q298" s="44">
        <f>'A) Base RI'!AR298</f>
        <v>1.2</v>
      </c>
      <c r="R298" s="4">
        <f t="shared" si="26"/>
        <v>1203293.5649999999</v>
      </c>
      <c r="S298" s="43">
        <f>'A) Base RI'!AM298</f>
        <v>74</v>
      </c>
      <c r="T298" s="4">
        <f t="shared" si="27"/>
        <v>1112649.94</v>
      </c>
      <c r="U298" s="4">
        <f t="shared" si="28"/>
        <v>16260.723851351351</v>
      </c>
      <c r="V298" s="14">
        <f>'A) Base RI'!O298</f>
        <v>2564.1</v>
      </c>
      <c r="W298" s="14">
        <f>'A) Base RI'!P298</f>
        <v>965.9</v>
      </c>
      <c r="X298" s="14">
        <f>'A) Base RI'!R298</f>
        <v>1015.3</v>
      </c>
      <c r="Y298" s="4">
        <f t="shared" si="29"/>
        <v>4545.3</v>
      </c>
      <c r="Z298" s="14">
        <f>'A) Base RI'!N298</f>
        <v>13044.25</v>
      </c>
      <c r="AA298" s="14">
        <f>'A) Base RI'!S298+'A) Base RI'!T298</f>
        <v>2152.5</v>
      </c>
      <c r="AB298" s="14">
        <f>'A) Base RI'!U298</f>
        <v>3350</v>
      </c>
      <c r="AC298" s="14">
        <f>'A) Base RI'!V298</f>
        <v>0</v>
      </c>
      <c r="AD298" s="14">
        <f>'A) Base RI'!W298</f>
        <v>0</v>
      </c>
      <c r="AE298" s="14">
        <f>'A) Base RI'!Y298</f>
        <v>9379.6</v>
      </c>
      <c r="AF298" s="14">
        <f>'A) Base RI'!Z298</f>
        <v>0</v>
      </c>
      <c r="AG298" s="14">
        <f>'A) Base RI'!AA298</f>
        <v>92517.7</v>
      </c>
      <c r="AH298" s="14">
        <f>'A) Base RI'!AB298</f>
        <v>0</v>
      </c>
      <c r="AI298" s="14">
        <f>'A) Base RI'!AC298</f>
        <v>39964.75</v>
      </c>
      <c r="AJ298" s="14">
        <f>'A) Base RI'!AD298</f>
        <v>11473.6</v>
      </c>
      <c r="AK298" s="14">
        <f>'A) Base RI'!AE298</f>
        <v>0</v>
      </c>
      <c r="AL298" s="14">
        <f>'A) Base RI'!AF298</f>
        <v>0</v>
      </c>
      <c r="AM298" s="14">
        <f>'A) Base RI'!AG298</f>
        <v>0</v>
      </c>
      <c r="AN298" s="14">
        <f>'A) Base RI'!AH298</f>
        <v>0</v>
      </c>
      <c r="AO298" s="14">
        <f>'A) Base RI'!AI298</f>
        <v>0</v>
      </c>
      <c r="AP298" s="14">
        <f>'A) Base RI'!AJ298</f>
        <v>0</v>
      </c>
      <c r="AQ298" s="14">
        <f>'A) Base RI'!AK298</f>
        <v>0</v>
      </c>
      <c r="AR298" s="14">
        <f>'A) Base RI'!AN298</f>
        <v>581</v>
      </c>
    </row>
    <row r="299" spans="1:44" x14ac:dyDescent="0.25">
      <c r="A299" s="12">
        <f>'A) Base RI'!A299</f>
        <v>5921</v>
      </c>
      <c r="B299" s="42" t="str">
        <f>'A) Base RI'!B299</f>
        <v>Molondin</v>
      </c>
      <c r="C299" s="14">
        <f>'A) Base RI'!C299+'A) Base RI'!D299</f>
        <v>330968.90000000002</v>
      </c>
      <c r="D299" s="14">
        <f>'A) Base RI'!AO299</f>
        <v>-2702.45</v>
      </c>
      <c r="E299" s="41">
        <f>'A) Base RI'!AP299</f>
        <v>0</v>
      </c>
      <c r="F299" s="41">
        <f>'A) Base RI'!AQ299</f>
        <v>0</v>
      </c>
      <c r="G299" s="4">
        <f t="shared" si="24"/>
        <v>328266.45</v>
      </c>
      <c r="H299" s="14">
        <f>'A) Base RI'!E299</f>
        <v>0</v>
      </c>
      <c r="I299" s="14">
        <f>'A) Base RI'!F299</f>
        <v>1450</v>
      </c>
      <c r="J299" s="14">
        <f>'A) Base RI'!G299+'A) Base RI'!H299</f>
        <v>21756.350000000002</v>
      </c>
      <c r="K299" s="14">
        <f>'A) Base RI'!I299</f>
        <v>0</v>
      </c>
      <c r="L299" s="14">
        <f>'A) Base RI'!J299</f>
        <v>22129.89</v>
      </c>
      <c r="M299" s="14">
        <f>'A) Base RI'!K299</f>
        <v>0</v>
      </c>
      <c r="N299" s="14">
        <f>'A) Base RI'!Q299</f>
        <v>0</v>
      </c>
      <c r="O299" s="14">
        <f t="shared" si="25"/>
        <v>25898.55</v>
      </c>
      <c r="P299" s="14">
        <f>'A) Base RI'!L299</f>
        <v>25898.55</v>
      </c>
      <c r="Q299" s="44">
        <f>'A) Base RI'!AR299</f>
        <v>1</v>
      </c>
      <c r="R299" s="4">
        <f t="shared" si="26"/>
        <v>399501.24</v>
      </c>
      <c r="S299" s="43">
        <f>'A) Base RI'!AM299</f>
        <v>81</v>
      </c>
      <c r="T299" s="4">
        <f t="shared" si="27"/>
        <v>372152.69</v>
      </c>
      <c r="U299" s="4">
        <f t="shared" si="28"/>
        <v>4932.1140740740739</v>
      </c>
      <c r="V299" s="14">
        <f>'A) Base RI'!O299</f>
        <v>39567.800000000003</v>
      </c>
      <c r="W299" s="14">
        <f>'A) Base RI'!P299</f>
        <v>6905.85</v>
      </c>
      <c r="X299" s="14">
        <f>'A) Base RI'!R299</f>
        <v>14626.75</v>
      </c>
      <c r="Y299" s="4">
        <f t="shared" si="29"/>
        <v>61100.4</v>
      </c>
      <c r="Z299" s="14">
        <f>'A) Base RI'!N299</f>
        <v>5539.15</v>
      </c>
      <c r="AA299" s="14">
        <f>'A) Base RI'!S299+'A) Base RI'!T299</f>
        <v>450</v>
      </c>
      <c r="AB299" s="14">
        <f>'A) Base RI'!U299</f>
        <v>1462.5</v>
      </c>
      <c r="AC299" s="14">
        <f>'A) Base RI'!V299</f>
        <v>424</v>
      </c>
      <c r="AD299" s="14">
        <f>'A) Base RI'!W299</f>
        <v>0</v>
      </c>
      <c r="AE299" s="14">
        <f>'A) Base RI'!Y299</f>
        <v>0</v>
      </c>
      <c r="AF299" s="14">
        <f>'A) Base RI'!Z299</f>
        <v>0</v>
      </c>
      <c r="AG299" s="14">
        <f>'A) Base RI'!AA299</f>
        <v>38700</v>
      </c>
      <c r="AH299" s="14">
        <f>'A) Base RI'!AB299</f>
        <v>0</v>
      </c>
      <c r="AI299" s="14">
        <f>'A) Base RI'!AC299</f>
        <v>9000</v>
      </c>
      <c r="AJ299" s="14">
        <f>'A) Base RI'!AD299</f>
        <v>0</v>
      </c>
      <c r="AK299" s="14">
        <f>'A) Base RI'!AE299</f>
        <v>0</v>
      </c>
      <c r="AL299" s="14">
        <f>'A) Base RI'!AF299</f>
        <v>0</v>
      </c>
      <c r="AM299" s="14">
        <f>'A) Base RI'!AG299</f>
        <v>0</v>
      </c>
      <c r="AN299" s="14">
        <f>'A) Base RI'!AH299</f>
        <v>0</v>
      </c>
      <c r="AO299" s="14">
        <f>'A) Base RI'!AI299</f>
        <v>0</v>
      </c>
      <c r="AP299" s="14">
        <f>'A) Base RI'!AJ299</f>
        <v>0</v>
      </c>
      <c r="AQ299" s="14">
        <f>'A) Base RI'!AK299</f>
        <v>0</v>
      </c>
      <c r="AR299" s="14">
        <f>'A) Base RI'!AN299</f>
        <v>224</v>
      </c>
    </row>
    <row r="300" spans="1:44" x14ac:dyDescent="0.25">
      <c r="A300" s="12">
        <f>'A) Base RI'!A300</f>
        <v>5922</v>
      </c>
      <c r="B300" s="42" t="str">
        <f>'A) Base RI'!B300</f>
        <v>Montagny-près-Yverdon</v>
      </c>
      <c r="C300" s="14">
        <f>'A) Base RI'!C300+'A) Base RI'!D300</f>
        <v>1730517.88</v>
      </c>
      <c r="D300" s="14">
        <f>'A) Base RI'!AO300</f>
        <v>-19282.41</v>
      </c>
      <c r="E300" s="41">
        <f>'A) Base RI'!AP300</f>
        <v>0</v>
      </c>
      <c r="F300" s="41">
        <f>'A) Base RI'!AQ300</f>
        <v>-44.15</v>
      </c>
      <c r="G300" s="4">
        <f t="shared" si="24"/>
        <v>1711191.32</v>
      </c>
      <c r="H300" s="14">
        <f>'A) Base RI'!E300</f>
        <v>0</v>
      </c>
      <c r="I300" s="14">
        <f>'A) Base RI'!F300</f>
        <v>0</v>
      </c>
      <c r="J300" s="14">
        <f>'A) Base RI'!G300+'A) Base RI'!H300</f>
        <v>1246361.5999999999</v>
      </c>
      <c r="K300" s="14">
        <f>'A) Base RI'!I300</f>
        <v>-12624.05</v>
      </c>
      <c r="L300" s="14">
        <f>'A) Base RI'!J300</f>
        <v>40055.81</v>
      </c>
      <c r="M300" s="14">
        <f>'A) Base RI'!K300</f>
        <v>28510</v>
      </c>
      <c r="N300" s="14">
        <f>'A) Base RI'!Q300</f>
        <v>3335.64</v>
      </c>
      <c r="O300" s="14">
        <f t="shared" si="25"/>
        <v>293894.6875</v>
      </c>
      <c r="P300" s="14">
        <f>'A) Base RI'!L300</f>
        <v>235115.75</v>
      </c>
      <c r="Q300" s="44">
        <f>'A) Base RI'!AR300</f>
        <v>0.8</v>
      </c>
      <c r="R300" s="4">
        <f t="shared" si="26"/>
        <v>3310725.0075000003</v>
      </c>
      <c r="S300" s="43">
        <f>'A) Base RI'!AM300</f>
        <v>61</v>
      </c>
      <c r="T300" s="4">
        <f t="shared" si="27"/>
        <v>2988320.3200000003</v>
      </c>
      <c r="U300" s="4">
        <f t="shared" si="28"/>
        <v>54274.18045081968</v>
      </c>
      <c r="V300" s="14">
        <f>'A) Base RI'!O300</f>
        <v>0</v>
      </c>
      <c r="W300" s="14">
        <f>'A) Base RI'!P300</f>
        <v>54031.25</v>
      </c>
      <c r="X300" s="14">
        <f>'A) Base RI'!R300</f>
        <v>38872.400000000001</v>
      </c>
      <c r="Y300" s="4">
        <f t="shared" si="29"/>
        <v>92903.65</v>
      </c>
      <c r="Z300" s="14">
        <f>'A) Base RI'!N300</f>
        <v>175609.5</v>
      </c>
      <c r="AA300" s="14">
        <f>'A) Base RI'!S300+'A) Base RI'!T300</f>
        <v>66642.600000000006</v>
      </c>
      <c r="AB300" s="14">
        <f>'A) Base RI'!U300</f>
        <v>1480</v>
      </c>
      <c r="AC300" s="14">
        <f>'A) Base RI'!V300</f>
        <v>77.400000000000006</v>
      </c>
      <c r="AD300" s="14">
        <f>'A) Base RI'!W300</f>
        <v>0</v>
      </c>
      <c r="AE300" s="14">
        <f>'A) Base RI'!Y300</f>
        <v>15250.1</v>
      </c>
      <c r="AF300" s="14">
        <f>'A) Base RI'!Z300</f>
        <v>0</v>
      </c>
      <c r="AG300" s="14">
        <f>'A) Base RI'!AA300</f>
        <v>113830.5</v>
      </c>
      <c r="AH300" s="14">
        <f>'A) Base RI'!AB300</f>
        <v>0</v>
      </c>
      <c r="AI300" s="14">
        <f>'A) Base RI'!AC300</f>
        <v>114888.25</v>
      </c>
      <c r="AJ300" s="14">
        <f>'A) Base RI'!AD300</f>
        <v>17946.5</v>
      </c>
      <c r="AK300" s="14">
        <f>'A) Base RI'!AE300</f>
        <v>0</v>
      </c>
      <c r="AL300" s="14">
        <f>'A) Base RI'!AF300</f>
        <v>0</v>
      </c>
      <c r="AM300" s="14">
        <f>'A) Base RI'!AG300</f>
        <v>3196.15</v>
      </c>
      <c r="AN300" s="14">
        <f>'A) Base RI'!AH300</f>
        <v>96156.75</v>
      </c>
      <c r="AO300" s="14">
        <f>'A) Base RI'!AI300</f>
        <v>0</v>
      </c>
      <c r="AP300" s="14">
        <f>'A) Base RI'!AJ300</f>
        <v>0</v>
      </c>
      <c r="AQ300" s="14">
        <f>'A) Base RI'!AK300</f>
        <v>0</v>
      </c>
      <c r="AR300" s="14">
        <f>'A) Base RI'!AN300</f>
        <v>713</v>
      </c>
    </row>
    <row r="301" spans="1:44" x14ac:dyDescent="0.25">
      <c r="A301" s="12">
        <f>'A) Base RI'!A301</f>
        <v>5923</v>
      </c>
      <c r="B301" s="42" t="str">
        <f>'A) Base RI'!B301</f>
        <v>Oppens</v>
      </c>
      <c r="C301" s="14">
        <f>'A) Base RI'!C301+'A) Base RI'!D301</f>
        <v>351216.23</v>
      </c>
      <c r="D301" s="14">
        <f>'A) Base RI'!AO301</f>
        <v>-85.57</v>
      </c>
      <c r="E301" s="41">
        <f>'A) Base RI'!AP301</f>
        <v>0</v>
      </c>
      <c r="F301" s="41">
        <f>'A) Base RI'!AQ301</f>
        <v>0</v>
      </c>
      <c r="G301" s="4">
        <f t="shared" si="24"/>
        <v>351130.66</v>
      </c>
      <c r="H301" s="14">
        <f>'A) Base RI'!E301</f>
        <v>0</v>
      </c>
      <c r="I301" s="14">
        <f>'A) Base RI'!F301</f>
        <v>0</v>
      </c>
      <c r="J301" s="14">
        <f>'A) Base RI'!G301+'A) Base RI'!H301</f>
        <v>6134</v>
      </c>
      <c r="K301" s="14">
        <f>'A) Base RI'!I301</f>
        <v>0</v>
      </c>
      <c r="L301" s="14">
        <f>'A) Base RI'!J301</f>
        <v>17865.66</v>
      </c>
      <c r="M301" s="14">
        <f>'A) Base RI'!K301</f>
        <v>0</v>
      </c>
      <c r="N301" s="14">
        <f>'A) Base RI'!Q301</f>
        <v>0</v>
      </c>
      <c r="O301" s="14">
        <f t="shared" si="25"/>
        <v>21942</v>
      </c>
      <c r="P301" s="14">
        <f>'A) Base RI'!L301</f>
        <v>21942</v>
      </c>
      <c r="Q301" s="44">
        <f>'A) Base RI'!AR301</f>
        <v>1</v>
      </c>
      <c r="R301" s="4">
        <f t="shared" si="26"/>
        <v>397072.31999999995</v>
      </c>
      <c r="S301" s="43">
        <f>'A) Base RI'!AM301</f>
        <v>81</v>
      </c>
      <c r="T301" s="4">
        <f t="shared" si="27"/>
        <v>375130.31999999995</v>
      </c>
      <c r="U301" s="4">
        <f t="shared" si="28"/>
        <v>4902.1274074074072</v>
      </c>
      <c r="V301" s="14">
        <f>'A) Base RI'!O301</f>
        <v>237.6</v>
      </c>
      <c r="W301" s="14">
        <f>'A) Base RI'!P301</f>
        <v>20081.5</v>
      </c>
      <c r="X301" s="14">
        <f>'A) Base RI'!R301</f>
        <v>24727.65</v>
      </c>
      <c r="Y301" s="4">
        <f t="shared" si="29"/>
        <v>45046.75</v>
      </c>
      <c r="Z301" s="14">
        <f>'A) Base RI'!N301</f>
        <v>15199.8</v>
      </c>
      <c r="AA301" s="14">
        <f>'A) Base RI'!S301+'A) Base RI'!T301</f>
        <v>0</v>
      </c>
      <c r="AB301" s="14">
        <f>'A) Base RI'!U301</f>
        <v>1589.5</v>
      </c>
      <c r="AC301" s="14">
        <f>'A) Base RI'!V301</f>
        <v>0</v>
      </c>
      <c r="AD301" s="14">
        <f>'A) Base RI'!W301</f>
        <v>0</v>
      </c>
      <c r="AE301" s="14">
        <f>'A) Base RI'!Y301</f>
        <v>2800</v>
      </c>
      <c r="AF301" s="14">
        <f>'A) Base RI'!Z301</f>
        <v>0</v>
      </c>
      <c r="AG301" s="14">
        <f>'A) Base RI'!AA301</f>
        <v>44170</v>
      </c>
      <c r="AH301" s="14">
        <f>'A) Base RI'!AB301</f>
        <v>0</v>
      </c>
      <c r="AI301" s="14">
        <f>'A) Base RI'!AC301</f>
        <v>12507</v>
      </c>
      <c r="AJ301" s="14">
        <f>'A) Base RI'!AD301</f>
        <v>7818.2</v>
      </c>
      <c r="AK301" s="14">
        <f>'A) Base RI'!AE301</f>
        <v>0</v>
      </c>
      <c r="AL301" s="14">
        <f>'A) Base RI'!AF301</f>
        <v>0</v>
      </c>
      <c r="AM301" s="14">
        <f>'A) Base RI'!AG301</f>
        <v>0</v>
      </c>
      <c r="AN301" s="14">
        <f>'A) Base RI'!AH301</f>
        <v>0</v>
      </c>
      <c r="AO301" s="14">
        <f>'A) Base RI'!AI301</f>
        <v>0</v>
      </c>
      <c r="AP301" s="14">
        <f>'A) Base RI'!AJ301</f>
        <v>0</v>
      </c>
      <c r="AQ301" s="14">
        <f>'A) Base RI'!AK301</f>
        <v>0</v>
      </c>
      <c r="AR301" s="14">
        <f>'A) Base RI'!AN301</f>
        <v>182</v>
      </c>
    </row>
    <row r="302" spans="1:44" x14ac:dyDescent="0.25">
      <c r="A302" s="12">
        <f>'A) Base RI'!A302</f>
        <v>5924</v>
      </c>
      <c r="B302" s="42" t="str">
        <f>'A) Base RI'!B302</f>
        <v>Orges</v>
      </c>
      <c r="C302" s="14">
        <f>'A) Base RI'!C302+'A) Base RI'!D302</f>
        <v>548446.17000000004</v>
      </c>
      <c r="D302" s="14">
        <f>'A) Base RI'!AO302</f>
        <v>-715.45</v>
      </c>
      <c r="E302" s="41">
        <f>'A) Base RI'!AP302</f>
        <v>0</v>
      </c>
      <c r="F302" s="41">
        <f>'A) Base RI'!AQ302</f>
        <v>-15.04</v>
      </c>
      <c r="G302" s="4">
        <f t="shared" si="24"/>
        <v>547715.68000000005</v>
      </c>
      <c r="H302" s="14">
        <f>'A) Base RI'!E302</f>
        <v>0</v>
      </c>
      <c r="I302" s="14">
        <f>'A) Base RI'!F302</f>
        <v>0</v>
      </c>
      <c r="J302" s="14">
        <f>'A) Base RI'!G302+'A) Base RI'!H302</f>
        <v>61003.5</v>
      </c>
      <c r="K302" s="14">
        <f>'A) Base RI'!I302</f>
        <v>0</v>
      </c>
      <c r="L302" s="14">
        <f>'A) Base RI'!J302</f>
        <v>11394.76</v>
      </c>
      <c r="M302" s="14">
        <f>'A) Base RI'!K302</f>
        <v>0</v>
      </c>
      <c r="N302" s="14">
        <f>'A) Base RI'!Q302</f>
        <v>4847.07</v>
      </c>
      <c r="O302" s="14">
        <f t="shared" si="25"/>
        <v>41250.300000000003</v>
      </c>
      <c r="P302" s="14">
        <f>'A) Base RI'!L302</f>
        <v>41250.300000000003</v>
      </c>
      <c r="Q302" s="44">
        <f>'A) Base RI'!AR302</f>
        <v>1</v>
      </c>
      <c r="R302" s="4">
        <f t="shared" si="26"/>
        <v>666211.31000000006</v>
      </c>
      <c r="S302" s="43">
        <f>'A) Base RI'!AM302</f>
        <v>74</v>
      </c>
      <c r="T302" s="4">
        <f t="shared" si="27"/>
        <v>624961.01</v>
      </c>
      <c r="U302" s="4">
        <f t="shared" si="28"/>
        <v>9002.8555405405405</v>
      </c>
      <c r="V302" s="14">
        <f>'A) Base RI'!O302</f>
        <v>0</v>
      </c>
      <c r="W302" s="14">
        <f>'A) Base RI'!P302</f>
        <v>31483.65</v>
      </c>
      <c r="X302" s="14">
        <f>'A) Base RI'!R302</f>
        <v>44305.8</v>
      </c>
      <c r="Y302" s="4">
        <f t="shared" si="29"/>
        <v>75789.450000000012</v>
      </c>
      <c r="Z302" s="14">
        <f>'A) Base RI'!N302</f>
        <v>22835.85</v>
      </c>
      <c r="AA302" s="14">
        <f>'A) Base RI'!S302+'A) Base RI'!T302</f>
        <v>1170</v>
      </c>
      <c r="AB302" s="14">
        <f>'A) Base RI'!U302</f>
        <v>2750</v>
      </c>
      <c r="AC302" s="14">
        <f>'A) Base RI'!V302</f>
        <v>0</v>
      </c>
      <c r="AD302" s="14">
        <f>'A) Base RI'!W302</f>
        <v>0</v>
      </c>
      <c r="AE302" s="14">
        <f>'A) Base RI'!Y302</f>
        <v>12678</v>
      </c>
      <c r="AF302" s="14">
        <f>'A) Base RI'!Z302</f>
        <v>0</v>
      </c>
      <c r="AG302" s="14">
        <f>'A) Base RI'!AA302</f>
        <v>17648.2</v>
      </c>
      <c r="AH302" s="14">
        <f>'A) Base RI'!AB302</f>
        <v>0</v>
      </c>
      <c r="AI302" s="14">
        <f>'A) Base RI'!AC302</f>
        <v>12740</v>
      </c>
      <c r="AJ302" s="14">
        <f>'A) Base RI'!AD302</f>
        <v>6339</v>
      </c>
      <c r="AK302" s="14">
        <f>'A) Base RI'!AE302</f>
        <v>0</v>
      </c>
      <c r="AL302" s="14">
        <f>'A) Base RI'!AF302</f>
        <v>0</v>
      </c>
      <c r="AM302" s="14">
        <f>'A) Base RI'!AG302</f>
        <v>3319.8</v>
      </c>
      <c r="AN302" s="14">
        <f>'A) Base RI'!AH302</f>
        <v>0</v>
      </c>
      <c r="AO302" s="14">
        <f>'A) Base RI'!AI302</f>
        <v>0</v>
      </c>
      <c r="AP302" s="14">
        <f>'A) Base RI'!AJ302</f>
        <v>0</v>
      </c>
      <c r="AQ302" s="14">
        <f>'A) Base RI'!AK302</f>
        <v>0</v>
      </c>
      <c r="AR302" s="14">
        <f>'A) Base RI'!AN302</f>
        <v>275</v>
      </c>
    </row>
    <row r="303" spans="1:44" x14ac:dyDescent="0.25">
      <c r="A303" s="12">
        <f>'A) Base RI'!A303</f>
        <v>5925</v>
      </c>
      <c r="B303" s="42" t="str">
        <f>'A) Base RI'!B303</f>
        <v>Orzens</v>
      </c>
      <c r="C303" s="14">
        <f>'A) Base RI'!C303+'A) Base RI'!D303</f>
        <v>368047.9</v>
      </c>
      <c r="D303" s="14">
        <f>'A) Base RI'!AO303</f>
        <v>-923.15</v>
      </c>
      <c r="E303" s="41">
        <f>'A) Base RI'!AP303</f>
        <v>-3982.45</v>
      </c>
      <c r="F303" s="41">
        <f>'A) Base RI'!AQ303</f>
        <v>-9</v>
      </c>
      <c r="G303" s="4">
        <f t="shared" si="24"/>
        <v>363133.3</v>
      </c>
      <c r="H303" s="14">
        <f>'A) Base RI'!E303</f>
        <v>0</v>
      </c>
      <c r="I303" s="14">
        <f>'A) Base RI'!F303</f>
        <v>1170</v>
      </c>
      <c r="J303" s="14">
        <f>'A) Base RI'!G303+'A) Base RI'!H303</f>
        <v>2802.8</v>
      </c>
      <c r="K303" s="14">
        <f>'A) Base RI'!I303</f>
        <v>0</v>
      </c>
      <c r="L303" s="14">
        <f>'A) Base RI'!J303</f>
        <v>5831.67</v>
      </c>
      <c r="M303" s="14">
        <f>'A) Base RI'!K303</f>
        <v>0</v>
      </c>
      <c r="N303" s="14">
        <f>'A) Base RI'!Q303</f>
        <v>0</v>
      </c>
      <c r="O303" s="14">
        <f t="shared" si="25"/>
        <v>26308.7</v>
      </c>
      <c r="P303" s="14">
        <f>'A) Base RI'!L303</f>
        <v>26308.7</v>
      </c>
      <c r="Q303" s="44">
        <f>'A) Base RI'!AR303</f>
        <v>1</v>
      </c>
      <c r="R303" s="4">
        <f t="shared" si="26"/>
        <v>399246.47</v>
      </c>
      <c r="S303" s="43">
        <f>'A) Base RI'!AM303</f>
        <v>79</v>
      </c>
      <c r="T303" s="4">
        <f t="shared" si="27"/>
        <v>371767.76999999996</v>
      </c>
      <c r="U303" s="4">
        <f t="shared" si="28"/>
        <v>5053.7527848101263</v>
      </c>
      <c r="V303" s="14">
        <f>'A) Base RI'!O303</f>
        <v>0</v>
      </c>
      <c r="W303" s="14">
        <f>'A) Base RI'!P303</f>
        <v>5206.7</v>
      </c>
      <c r="X303" s="14">
        <f>'A) Base RI'!R303</f>
        <v>0</v>
      </c>
      <c r="Y303" s="4">
        <f t="shared" si="29"/>
        <v>5206.7</v>
      </c>
      <c r="Z303" s="14">
        <f>'A) Base RI'!N303</f>
        <v>5230.1000000000004</v>
      </c>
      <c r="AA303" s="14">
        <f>'A) Base RI'!S303+'A) Base RI'!T303</f>
        <v>40</v>
      </c>
      <c r="AB303" s="14">
        <f>'A) Base RI'!U303</f>
        <v>1720</v>
      </c>
      <c r="AC303" s="14">
        <f>'A) Base RI'!V303</f>
        <v>0</v>
      </c>
      <c r="AD303" s="14">
        <f>'A) Base RI'!W303</f>
        <v>0</v>
      </c>
      <c r="AE303" s="14">
        <f>'A) Base RI'!Y303</f>
        <v>2800</v>
      </c>
      <c r="AF303" s="14">
        <f>'A) Base RI'!Z303</f>
        <v>0</v>
      </c>
      <c r="AG303" s="14">
        <f>'A) Base RI'!AA303</f>
        <v>37993.5</v>
      </c>
      <c r="AH303" s="14">
        <f>'A) Base RI'!AB303</f>
        <v>0</v>
      </c>
      <c r="AI303" s="14">
        <f>'A) Base RI'!AC303</f>
        <v>13612.8</v>
      </c>
      <c r="AJ303" s="14">
        <f>'A) Base RI'!AD303</f>
        <v>1503.5</v>
      </c>
      <c r="AK303" s="14">
        <f>'A) Base RI'!AE303</f>
        <v>0</v>
      </c>
      <c r="AL303" s="14">
        <f>'A) Base RI'!AF303</f>
        <v>0</v>
      </c>
      <c r="AM303" s="14">
        <f>'A) Base RI'!AG303</f>
        <v>0</v>
      </c>
      <c r="AN303" s="14">
        <f>'A) Base RI'!AH303</f>
        <v>0</v>
      </c>
      <c r="AO303" s="14">
        <f>'A) Base RI'!AI303</f>
        <v>0</v>
      </c>
      <c r="AP303" s="14">
        <f>'A) Base RI'!AJ303</f>
        <v>0</v>
      </c>
      <c r="AQ303" s="14">
        <f>'A) Base RI'!AK303</f>
        <v>0</v>
      </c>
      <c r="AR303" s="14">
        <f>'A) Base RI'!AN303</f>
        <v>211</v>
      </c>
    </row>
    <row r="304" spans="1:44" x14ac:dyDescent="0.25">
      <c r="A304" s="12">
        <f>'A) Base RI'!A304</f>
        <v>5926</v>
      </c>
      <c r="B304" s="42" t="str">
        <f>'A) Base RI'!B304</f>
        <v>Pomy</v>
      </c>
      <c r="C304" s="14">
        <f>'A) Base RI'!C304+'A) Base RI'!D304</f>
        <v>1334457.6300000001</v>
      </c>
      <c r="D304" s="14">
        <f>'A) Base RI'!AO304</f>
        <v>-9018.7900000000009</v>
      </c>
      <c r="E304" s="41">
        <f>'A) Base RI'!AP304</f>
        <v>0</v>
      </c>
      <c r="F304" s="41">
        <f>'A) Base RI'!AQ304</f>
        <v>-74.27</v>
      </c>
      <c r="G304" s="4">
        <f t="shared" si="24"/>
        <v>1325364.57</v>
      </c>
      <c r="H304" s="14">
        <f>'A) Base RI'!E304</f>
        <v>0</v>
      </c>
      <c r="I304" s="14">
        <f>'A) Base RI'!F304</f>
        <v>0</v>
      </c>
      <c r="J304" s="14">
        <f>'A) Base RI'!G304+'A) Base RI'!H304</f>
        <v>41807.1</v>
      </c>
      <c r="K304" s="14">
        <f>'A) Base RI'!I304</f>
        <v>0</v>
      </c>
      <c r="L304" s="14">
        <f>'A) Base RI'!J304</f>
        <v>17363.099999999999</v>
      </c>
      <c r="M304" s="14">
        <f>'A) Base RI'!K304</f>
        <v>0</v>
      </c>
      <c r="N304" s="14">
        <f>'A) Base RI'!Q304</f>
        <v>1405.39</v>
      </c>
      <c r="O304" s="14">
        <f t="shared" si="25"/>
        <v>107127.8</v>
      </c>
      <c r="P304" s="14">
        <f>'A) Base RI'!L304</f>
        <v>107127.8</v>
      </c>
      <c r="Q304" s="44">
        <f>'A) Base RI'!AR304</f>
        <v>1</v>
      </c>
      <c r="R304" s="4">
        <f t="shared" si="26"/>
        <v>1493067.9600000002</v>
      </c>
      <c r="S304" s="43">
        <f>'A) Base RI'!AM304</f>
        <v>71</v>
      </c>
      <c r="T304" s="4">
        <f t="shared" si="27"/>
        <v>1385940.1600000001</v>
      </c>
      <c r="U304" s="4">
        <f t="shared" si="28"/>
        <v>21029.126197183101</v>
      </c>
      <c r="V304" s="14">
        <f>'A) Base RI'!O304</f>
        <v>679.1</v>
      </c>
      <c r="W304" s="14">
        <f>'A) Base RI'!P304</f>
        <v>45814.15</v>
      </c>
      <c r="X304" s="14">
        <f>'A) Base RI'!R304</f>
        <v>50367.05</v>
      </c>
      <c r="Y304" s="4">
        <f t="shared" si="29"/>
        <v>96860.3</v>
      </c>
      <c r="Z304" s="14">
        <f>'A) Base RI'!N304</f>
        <v>7530.45</v>
      </c>
      <c r="AA304" s="14">
        <f>'A) Base RI'!S304+'A) Base RI'!T304</f>
        <v>620</v>
      </c>
      <c r="AB304" s="14">
        <f>'A) Base RI'!U304</f>
        <v>4800</v>
      </c>
      <c r="AC304" s="14">
        <f>'A) Base RI'!V304</f>
        <v>0</v>
      </c>
      <c r="AD304" s="14">
        <f>'A) Base RI'!W304</f>
        <v>0</v>
      </c>
      <c r="AE304" s="14">
        <f>'A) Base RI'!Y304</f>
        <v>39524</v>
      </c>
      <c r="AF304" s="14">
        <f>'A) Base RI'!Z304</f>
        <v>0</v>
      </c>
      <c r="AG304" s="14">
        <f>'A) Base RI'!AA304</f>
        <v>46011.65</v>
      </c>
      <c r="AH304" s="14">
        <f>'A) Base RI'!AB304</f>
        <v>0</v>
      </c>
      <c r="AI304" s="14">
        <f>'A) Base RI'!AC304</f>
        <v>25577.9</v>
      </c>
      <c r="AJ304" s="14">
        <f>'A) Base RI'!AD304</f>
        <v>23000</v>
      </c>
      <c r="AK304" s="14">
        <f>'A) Base RI'!AE304</f>
        <v>5445.2</v>
      </c>
      <c r="AL304" s="14">
        <f>'A) Base RI'!AF304</f>
        <v>0</v>
      </c>
      <c r="AM304" s="14">
        <f>'A) Base RI'!AG304</f>
        <v>0</v>
      </c>
      <c r="AN304" s="14">
        <f>'A) Base RI'!AH304</f>
        <v>0</v>
      </c>
      <c r="AO304" s="14">
        <f>'A) Base RI'!AI304</f>
        <v>0</v>
      </c>
      <c r="AP304" s="14">
        <f>'A) Base RI'!AJ304</f>
        <v>0</v>
      </c>
      <c r="AQ304" s="14">
        <f>'A) Base RI'!AK304</f>
        <v>0</v>
      </c>
      <c r="AR304" s="14">
        <f>'A) Base RI'!AN304</f>
        <v>730</v>
      </c>
    </row>
    <row r="305" spans="1:44" x14ac:dyDescent="0.25">
      <c r="A305" s="12">
        <f>'A) Base RI'!A305</f>
        <v>5928</v>
      </c>
      <c r="B305" s="42" t="str">
        <f>'A) Base RI'!B305</f>
        <v>Rovray</v>
      </c>
      <c r="C305" s="14">
        <f>'A) Base RI'!C305+'A) Base RI'!D305</f>
        <v>339062.72</v>
      </c>
      <c r="D305" s="14">
        <f>'A) Base RI'!AO305</f>
        <v>-30.93</v>
      </c>
      <c r="E305" s="41">
        <f>'A) Base RI'!AP305</f>
        <v>0</v>
      </c>
      <c r="F305" s="41">
        <f>'A) Base RI'!AQ305</f>
        <v>-0.53</v>
      </c>
      <c r="G305" s="4">
        <f t="shared" si="24"/>
        <v>339031.25999999995</v>
      </c>
      <c r="H305" s="14">
        <f>'A) Base RI'!E305</f>
        <v>0</v>
      </c>
      <c r="I305" s="14">
        <f>'A) Base RI'!F305</f>
        <v>0</v>
      </c>
      <c r="J305" s="14">
        <f>'A) Base RI'!G305+'A) Base RI'!H305</f>
        <v>4163.4500000000007</v>
      </c>
      <c r="K305" s="14">
        <f>'A) Base RI'!I305</f>
        <v>0</v>
      </c>
      <c r="L305" s="14">
        <f>'A) Base RI'!J305</f>
        <v>4613.42</v>
      </c>
      <c r="M305" s="14">
        <f>'A) Base RI'!K305</f>
        <v>0</v>
      </c>
      <c r="N305" s="14">
        <f>'A) Base RI'!Q305</f>
        <v>0</v>
      </c>
      <c r="O305" s="14">
        <f t="shared" si="25"/>
        <v>19477.8</v>
      </c>
      <c r="P305" s="14">
        <f>'A) Base RI'!L305</f>
        <v>19477.8</v>
      </c>
      <c r="Q305" s="44">
        <f>'A) Base RI'!AR305</f>
        <v>1</v>
      </c>
      <c r="R305" s="4">
        <f t="shared" si="26"/>
        <v>367285.92999999993</v>
      </c>
      <c r="S305" s="43">
        <f>'A) Base RI'!AM305</f>
        <v>75</v>
      </c>
      <c r="T305" s="4">
        <f t="shared" si="27"/>
        <v>347808.12999999995</v>
      </c>
      <c r="U305" s="4">
        <f t="shared" si="28"/>
        <v>4897.1457333333328</v>
      </c>
      <c r="V305" s="14">
        <f>'A) Base RI'!O305</f>
        <v>27518.1</v>
      </c>
      <c r="W305" s="14">
        <f>'A) Base RI'!P305</f>
        <v>0</v>
      </c>
      <c r="X305" s="14">
        <f>'A) Base RI'!R305</f>
        <v>0</v>
      </c>
      <c r="Y305" s="4">
        <f t="shared" si="29"/>
        <v>27518.1</v>
      </c>
      <c r="Z305" s="14">
        <f>'A) Base RI'!N305</f>
        <v>0</v>
      </c>
      <c r="AA305" s="14">
        <f>'A) Base RI'!S305+'A) Base RI'!T305</f>
        <v>0</v>
      </c>
      <c r="AB305" s="14">
        <f>'A) Base RI'!U305</f>
        <v>1170</v>
      </c>
      <c r="AC305" s="14">
        <f>'A) Base RI'!V305</f>
        <v>0</v>
      </c>
      <c r="AD305" s="14">
        <f>'A) Base RI'!W305</f>
        <v>0</v>
      </c>
      <c r="AE305" s="14">
        <f>'A) Base RI'!Y305</f>
        <v>0</v>
      </c>
      <c r="AF305" s="14">
        <f>'A) Base RI'!Z305</f>
        <v>0</v>
      </c>
      <c r="AG305" s="14">
        <f>'A) Base RI'!AA305</f>
        <v>29741.65</v>
      </c>
      <c r="AH305" s="14">
        <f>'A) Base RI'!AB305</f>
        <v>0</v>
      </c>
      <c r="AI305" s="14">
        <f>'A) Base RI'!AC305</f>
        <v>7996.45</v>
      </c>
      <c r="AJ305" s="14">
        <f>'A) Base RI'!AD305</f>
        <v>0</v>
      </c>
      <c r="AK305" s="14">
        <f>'A) Base RI'!AE305</f>
        <v>0</v>
      </c>
      <c r="AL305" s="14">
        <f>'A) Base RI'!AF305</f>
        <v>0</v>
      </c>
      <c r="AM305" s="14">
        <f>'A) Base RI'!AG305</f>
        <v>0</v>
      </c>
      <c r="AN305" s="14">
        <f>'A) Base RI'!AH305</f>
        <v>0</v>
      </c>
      <c r="AO305" s="14">
        <f>'A) Base RI'!AI305</f>
        <v>0</v>
      </c>
      <c r="AP305" s="14">
        <f>'A) Base RI'!AJ305</f>
        <v>0</v>
      </c>
      <c r="AQ305" s="14">
        <f>'A) Base RI'!AK305</f>
        <v>0</v>
      </c>
      <c r="AR305" s="14">
        <f>'A) Base RI'!AN305</f>
        <v>176</v>
      </c>
    </row>
    <row r="306" spans="1:44" x14ac:dyDescent="0.25">
      <c r="A306" s="12">
        <f>'A) Base RI'!A306</f>
        <v>5929</v>
      </c>
      <c r="B306" s="42" t="str">
        <f>'A) Base RI'!B306</f>
        <v>Suchy</v>
      </c>
      <c r="C306" s="14">
        <f>'A) Base RI'!C306+'A) Base RI'!D306</f>
        <v>950307.41</v>
      </c>
      <c r="D306" s="14">
        <f>'A) Base RI'!AO306</f>
        <v>-7804.95</v>
      </c>
      <c r="E306" s="41">
        <f>'A) Base RI'!AP306</f>
        <v>0</v>
      </c>
      <c r="F306" s="41">
        <f>'A) Base RI'!AQ306</f>
        <v>-220.58</v>
      </c>
      <c r="G306" s="4">
        <f t="shared" si="24"/>
        <v>942281.88000000012</v>
      </c>
      <c r="H306" s="14">
        <f>'A) Base RI'!E306</f>
        <v>0</v>
      </c>
      <c r="I306" s="14">
        <f>'A) Base RI'!F306</f>
        <v>0</v>
      </c>
      <c r="J306" s="14">
        <f>'A) Base RI'!G306+'A) Base RI'!H306</f>
        <v>27876.25</v>
      </c>
      <c r="K306" s="14">
        <f>'A) Base RI'!I306</f>
        <v>39925.85</v>
      </c>
      <c r="L306" s="14">
        <f>'A) Base RI'!J306</f>
        <v>-3166.46</v>
      </c>
      <c r="M306" s="14">
        <f>'A) Base RI'!K306</f>
        <v>0</v>
      </c>
      <c r="N306" s="14">
        <f>'A) Base RI'!Q306</f>
        <v>0</v>
      </c>
      <c r="O306" s="14">
        <f t="shared" si="25"/>
        <v>86788.583333333343</v>
      </c>
      <c r="P306" s="14">
        <f>'A) Base RI'!L306</f>
        <v>52073.15</v>
      </c>
      <c r="Q306" s="44">
        <f>'A) Base RI'!AR306</f>
        <v>0.6</v>
      </c>
      <c r="R306" s="4">
        <f t="shared" si="26"/>
        <v>1093706.1033333335</v>
      </c>
      <c r="S306" s="43">
        <f>'A) Base RI'!AM306</f>
        <v>68</v>
      </c>
      <c r="T306" s="4">
        <f t="shared" si="27"/>
        <v>1006917.5200000001</v>
      </c>
      <c r="U306" s="4">
        <f t="shared" si="28"/>
        <v>16083.913284313729</v>
      </c>
      <c r="V306" s="14">
        <f>'A) Base RI'!O306</f>
        <v>0</v>
      </c>
      <c r="W306" s="14">
        <f>'A) Base RI'!P306</f>
        <v>17156.150000000001</v>
      </c>
      <c r="X306" s="14">
        <f>'A) Base RI'!R306</f>
        <v>14080.55</v>
      </c>
      <c r="Y306" s="4">
        <f t="shared" si="29"/>
        <v>31236.7</v>
      </c>
      <c r="Z306" s="14">
        <f>'A) Base RI'!N306</f>
        <v>8492.6</v>
      </c>
      <c r="AA306" s="14">
        <f>'A) Base RI'!S306+'A) Base RI'!T306</f>
        <v>93.75</v>
      </c>
      <c r="AB306" s="14">
        <f>'A) Base RI'!U306</f>
        <v>2130</v>
      </c>
      <c r="AC306" s="14">
        <f>'A) Base RI'!V306</f>
        <v>0</v>
      </c>
      <c r="AD306" s="14">
        <f>'A) Base RI'!W306</f>
        <v>0</v>
      </c>
      <c r="AE306" s="14">
        <f>'A) Base RI'!Y306</f>
        <v>16122.65</v>
      </c>
      <c r="AF306" s="14">
        <f>'A) Base RI'!Z306</f>
        <v>0</v>
      </c>
      <c r="AG306" s="14">
        <f>'A) Base RI'!AA306</f>
        <v>188013.1</v>
      </c>
      <c r="AH306" s="14">
        <f>'A) Base RI'!AB306</f>
        <v>0</v>
      </c>
      <c r="AI306" s="14">
        <f>'A) Base RI'!AC306</f>
        <v>39858.85</v>
      </c>
      <c r="AJ306" s="14">
        <f>'A) Base RI'!AD306</f>
        <v>0</v>
      </c>
      <c r="AK306" s="14">
        <f>'A) Base RI'!AE306</f>
        <v>0</v>
      </c>
      <c r="AL306" s="14">
        <f>'A) Base RI'!AF306</f>
        <v>0</v>
      </c>
      <c r="AM306" s="14">
        <f>'A) Base RI'!AG306</f>
        <v>0</v>
      </c>
      <c r="AN306" s="14">
        <f>'A) Base RI'!AH306</f>
        <v>11328.75</v>
      </c>
      <c r="AO306" s="14">
        <f>'A) Base RI'!AI306</f>
        <v>0</v>
      </c>
      <c r="AP306" s="14">
        <f>'A) Base RI'!AJ306</f>
        <v>0</v>
      </c>
      <c r="AQ306" s="14">
        <f>'A) Base RI'!AK306</f>
        <v>0</v>
      </c>
      <c r="AR306" s="14">
        <f>'A) Base RI'!AN306</f>
        <v>542</v>
      </c>
    </row>
    <row r="307" spans="1:44" x14ac:dyDescent="0.25">
      <c r="A307" s="12">
        <f>'A) Base RI'!A307</f>
        <v>5930</v>
      </c>
      <c r="B307" s="42" t="str">
        <f>'A) Base RI'!B307</f>
        <v>Suscévaz</v>
      </c>
      <c r="C307" s="14">
        <f>'A) Base RI'!C307+'A) Base RI'!D307</f>
        <v>315495.13</v>
      </c>
      <c r="D307" s="14">
        <f>'A) Base RI'!AO307</f>
        <v>-51.83</v>
      </c>
      <c r="E307" s="41">
        <f>'A) Base RI'!AP307</f>
        <v>0</v>
      </c>
      <c r="F307" s="41">
        <f>'A) Base RI'!AQ307</f>
        <v>-312.61</v>
      </c>
      <c r="G307" s="4">
        <f t="shared" si="24"/>
        <v>315130.69</v>
      </c>
      <c r="H307" s="14">
        <f>'A) Base RI'!E307</f>
        <v>0</v>
      </c>
      <c r="I307" s="14">
        <f>'A) Base RI'!F307</f>
        <v>0</v>
      </c>
      <c r="J307" s="14">
        <f>'A) Base RI'!G307+'A) Base RI'!H307</f>
        <v>200.85000000000002</v>
      </c>
      <c r="K307" s="14">
        <f>'A) Base RI'!I307</f>
        <v>0</v>
      </c>
      <c r="L307" s="14">
        <f>'A) Base RI'!J307</f>
        <v>2155.39</v>
      </c>
      <c r="M307" s="14">
        <f>'A) Base RI'!K307</f>
        <v>0</v>
      </c>
      <c r="N307" s="14">
        <f>'A) Base RI'!Q307</f>
        <v>0</v>
      </c>
      <c r="O307" s="14">
        <f t="shared" si="25"/>
        <v>26246.6</v>
      </c>
      <c r="P307" s="14">
        <f>'A) Base RI'!L307</f>
        <v>26246.6</v>
      </c>
      <c r="Q307" s="44">
        <f>'A) Base RI'!AR307</f>
        <v>1</v>
      </c>
      <c r="R307" s="4">
        <f t="shared" si="26"/>
        <v>343733.52999999997</v>
      </c>
      <c r="S307" s="43">
        <f>'A) Base RI'!AM307</f>
        <v>66</v>
      </c>
      <c r="T307" s="4">
        <f t="shared" si="27"/>
        <v>317486.93</v>
      </c>
      <c r="U307" s="4">
        <f t="shared" si="28"/>
        <v>5208.083787878787</v>
      </c>
      <c r="V307" s="14">
        <f>'A) Base RI'!O307</f>
        <v>75.3</v>
      </c>
      <c r="W307" s="14">
        <f>'A) Base RI'!P307</f>
        <v>4649.6499999999996</v>
      </c>
      <c r="X307" s="14">
        <f>'A) Base RI'!R307</f>
        <v>0</v>
      </c>
      <c r="Y307" s="4">
        <f t="shared" si="29"/>
        <v>4724.95</v>
      </c>
      <c r="Z307" s="14">
        <f>'A) Base RI'!N307</f>
        <v>7873.25</v>
      </c>
      <c r="AA307" s="14">
        <f>'A) Base RI'!S307+'A) Base RI'!T307</f>
        <v>50</v>
      </c>
      <c r="AB307" s="14">
        <f>'A) Base RI'!U307</f>
        <v>320</v>
      </c>
      <c r="AC307" s="14">
        <f>'A) Base RI'!V307</f>
        <v>0</v>
      </c>
      <c r="AD307" s="14">
        <f>'A) Base RI'!W307</f>
        <v>0</v>
      </c>
      <c r="AE307" s="14">
        <f>'A) Base RI'!Y307</f>
        <v>11750</v>
      </c>
      <c r="AF307" s="14">
        <f>'A) Base RI'!Z307</f>
        <v>0</v>
      </c>
      <c r="AG307" s="14">
        <f>'A) Base RI'!AA307</f>
        <v>17418.7</v>
      </c>
      <c r="AH307" s="14">
        <f>'A) Base RI'!AB307</f>
        <v>0</v>
      </c>
      <c r="AI307" s="14">
        <f>'A) Base RI'!AC307</f>
        <v>6718.25</v>
      </c>
      <c r="AJ307" s="14">
        <f>'A) Base RI'!AD307</f>
        <v>5821.5</v>
      </c>
      <c r="AK307" s="14">
        <f>'A) Base RI'!AE307</f>
        <v>0</v>
      </c>
      <c r="AL307" s="14">
        <f>'A) Base RI'!AF307</f>
        <v>0</v>
      </c>
      <c r="AM307" s="14">
        <f>'A) Base RI'!AG307</f>
        <v>0</v>
      </c>
      <c r="AN307" s="14">
        <f>'A) Base RI'!AH307</f>
        <v>0</v>
      </c>
      <c r="AO307" s="14">
        <f>'A) Base RI'!AI307</f>
        <v>0</v>
      </c>
      <c r="AP307" s="14">
        <f>'A) Base RI'!AJ307</f>
        <v>0</v>
      </c>
      <c r="AQ307" s="14">
        <f>'A) Base RI'!AK307</f>
        <v>0</v>
      </c>
      <c r="AR307" s="14">
        <f>'A) Base RI'!AN307</f>
        <v>199</v>
      </c>
    </row>
    <row r="308" spans="1:44" x14ac:dyDescent="0.25">
      <c r="A308" s="12">
        <f>'A) Base RI'!A308</f>
        <v>5931</v>
      </c>
      <c r="B308" s="42" t="str">
        <f>'A) Base RI'!B308</f>
        <v>Treycovagnes</v>
      </c>
      <c r="C308" s="14">
        <f>'A) Base RI'!C308+'A) Base RI'!D308</f>
        <v>982762.15999999992</v>
      </c>
      <c r="D308" s="14">
        <f>'A) Base RI'!AO308</f>
        <v>-7355.87</v>
      </c>
      <c r="E308" s="41">
        <f>'A) Base RI'!AP308</f>
        <v>0</v>
      </c>
      <c r="F308" s="41">
        <f>'A) Base RI'!AQ308</f>
        <v>-0.72</v>
      </c>
      <c r="G308" s="4">
        <f t="shared" si="24"/>
        <v>975405.57</v>
      </c>
      <c r="H308" s="14">
        <f>'A) Base RI'!E308</f>
        <v>0</v>
      </c>
      <c r="I308" s="14">
        <f>'A) Base RI'!F308</f>
        <v>0</v>
      </c>
      <c r="J308" s="14">
        <f>'A) Base RI'!G308+'A) Base RI'!H308</f>
        <v>11550.55</v>
      </c>
      <c r="K308" s="14">
        <f>'A) Base RI'!I308</f>
        <v>0</v>
      </c>
      <c r="L308" s="14">
        <f>'A) Base RI'!J308</f>
        <v>15062.89</v>
      </c>
      <c r="M308" s="14">
        <f>'A) Base RI'!K308</f>
        <v>94.5</v>
      </c>
      <c r="N308" s="14">
        <f>'A) Base RI'!Q308</f>
        <v>219.5</v>
      </c>
      <c r="O308" s="14">
        <f t="shared" si="25"/>
        <v>69666.7</v>
      </c>
      <c r="P308" s="14">
        <f>'A) Base RI'!L308</f>
        <v>69666.7</v>
      </c>
      <c r="Q308" s="44">
        <f>'A) Base RI'!AR308</f>
        <v>1</v>
      </c>
      <c r="R308" s="4">
        <f t="shared" si="26"/>
        <v>1071999.71</v>
      </c>
      <c r="S308" s="43">
        <f>'A) Base RI'!AM308</f>
        <v>77</v>
      </c>
      <c r="T308" s="4">
        <f t="shared" si="27"/>
        <v>1002238.51</v>
      </c>
      <c r="U308" s="4">
        <f t="shared" si="28"/>
        <v>13922.074155844155</v>
      </c>
      <c r="V308" s="14">
        <f>'A) Base RI'!O308</f>
        <v>4332.1000000000004</v>
      </c>
      <c r="W308" s="14">
        <f>'A) Base RI'!P308</f>
        <v>39723.800000000003</v>
      </c>
      <c r="X308" s="14">
        <f>'A) Base RI'!R308</f>
        <v>31537.1</v>
      </c>
      <c r="Y308" s="4">
        <f t="shared" si="29"/>
        <v>75593</v>
      </c>
      <c r="Z308" s="14">
        <f>'A) Base RI'!N308</f>
        <v>12599.25</v>
      </c>
      <c r="AA308" s="14">
        <f>'A) Base RI'!S308+'A) Base RI'!T308</f>
        <v>350</v>
      </c>
      <c r="AB308" s="14">
        <f>'A) Base RI'!U308</f>
        <v>4100</v>
      </c>
      <c r="AC308" s="14">
        <f>'A) Base RI'!V308</f>
        <v>0</v>
      </c>
      <c r="AD308" s="14">
        <f>'A) Base RI'!W308</f>
        <v>0</v>
      </c>
      <c r="AE308" s="14">
        <f>'A) Base RI'!Y308</f>
        <v>2000</v>
      </c>
      <c r="AF308" s="14">
        <f>'A) Base RI'!Z308</f>
        <v>0</v>
      </c>
      <c r="AG308" s="14">
        <f>'A) Base RI'!AA308</f>
        <v>35302.85</v>
      </c>
      <c r="AH308" s="14">
        <f>'A) Base RI'!AB308</f>
        <v>0</v>
      </c>
      <c r="AI308" s="14">
        <f>'A) Base RI'!AC308</f>
        <v>26775.9</v>
      </c>
      <c r="AJ308" s="14">
        <f>'A) Base RI'!AD308</f>
        <v>500</v>
      </c>
      <c r="AK308" s="14">
        <f>'A) Base RI'!AE308</f>
        <v>0</v>
      </c>
      <c r="AL308" s="14">
        <f>'A) Base RI'!AF308</f>
        <v>0</v>
      </c>
      <c r="AM308" s="14">
        <f>'A) Base RI'!AG308</f>
        <v>0</v>
      </c>
      <c r="AN308" s="14">
        <f>'A) Base RI'!AH308</f>
        <v>13024.05</v>
      </c>
      <c r="AO308" s="14">
        <f>'A) Base RI'!AI308</f>
        <v>0</v>
      </c>
      <c r="AP308" s="14">
        <f>'A) Base RI'!AJ308</f>
        <v>0</v>
      </c>
      <c r="AQ308" s="14">
        <f>'A) Base RI'!AK308</f>
        <v>0</v>
      </c>
      <c r="AR308" s="14">
        <f>'A) Base RI'!AN308</f>
        <v>462</v>
      </c>
    </row>
    <row r="309" spans="1:44" x14ac:dyDescent="0.25">
      <c r="A309" s="12">
        <f>'A) Base RI'!A309</f>
        <v>5932</v>
      </c>
      <c r="B309" s="42" t="str">
        <f>'A) Base RI'!B309</f>
        <v>Ursins</v>
      </c>
      <c r="C309" s="14">
        <f>'A) Base RI'!C309+'A) Base RI'!D309</f>
        <v>366674.35</v>
      </c>
      <c r="D309" s="14">
        <f>'A) Base RI'!AO309</f>
        <v>-1074.07</v>
      </c>
      <c r="E309" s="41">
        <f>'A) Base RI'!AP309</f>
        <v>0</v>
      </c>
      <c r="F309" s="41">
        <f>'A) Base RI'!AQ309</f>
        <v>0</v>
      </c>
      <c r="G309" s="4">
        <f t="shared" si="24"/>
        <v>365600.27999999997</v>
      </c>
      <c r="H309" s="14">
        <f>'A) Base RI'!E309</f>
        <v>0</v>
      </c>
      <c r="I309" s="14">
        <f>'A) Base RI'!F309</f>
        <v>1220</v>
      </c>
      <c r="J309" s="14">
        <f>'A) Base RI'!G309+'A) Base RI'!H309</f>
        <v>1297.7</v>
      </c>
      <c r="K309" s="14">
        <f>'A) Base RI'!I309</f>
        <v>24715.45</v>
      </c>
      <c r="L309" s="14">
        <f>'A) Base RI'!J309</f>
        <v>2928.81</v>
      </c>
      <c r="M309" s="14">
        <f>'A) Base RI'!K309</f>
        <v>50</v>
      </c>
      <c r="N309" s="14">
        <f>'A) Base RI'!Q309</f>
        <v>0</v>
      </c>
      <c r="O309" s="14">
        <f t="shared" si="25"/>
        <v>27673.7</v>
      </c>
      <c r="P309" s="14">
        <f>'A) Base RI'!L309</f>
        <v>27673.7</v>
      </c>
      <c r="Q309" s="44">
        <f>'A) Base RI'!AR309</f>
        <v>1</v>
      </c>
      <c r="R309" s="4">
        <f t="shared" si="26"/>
        <v>423485.94</v>
      </c>
      <c r="S309" s="43">
        <f>'A) Base RI'!AM309</f>
        <v>78</v>
      </c>
      <c r="T309" s="4">
        <f t="shared" si="27"/>
        <v>394542.24</v>
      </c>
      <c r="U309" s="4">
        <f t="shared" si="28"/>
        <v>5429.3069230769233</v>
      </c>
      <c r="V309" s="14">
        <f>'A) Base RI'!O309</f>
        <v>0</v>
      </c>
      <c r="W309" s="14">
        <f>'A) Base RI'!P309</f>
        <v>561</v>
      </c>
      <c r="X309" s="14">
        <f>'A) Base RI'!R309</f>
        <v>0</v>
      </c>
      <c r="Y309" s="4">
        <f t="shared" si="29"/>
        <v>561</v>
      </c>
      <c r="Z309" s="14">
        <f>'A) Base RI'!N309</f>
        <v>0</v>
      </c>
      <c r="AA309" s="14">
        <f>'A) Base RI'!S309+'A) Base RI'!T309</f>
        <v>370</v>
      </c>
      <c r="AB309" s="14">
        <f>'A) Base RI'!U309</f>
        <v>1850</v>
      </c>
      <c r="AC309" s="14">
        <f>'A) Base RI'!V309</f>
        <v>0</v>
      </c>
      <c r="AD309" s="14">
        <f>'A) Base RI'!W309</f>
        <v>0</v>
      </c>
      <c r="AE309" s="14">
        <f>'A) Base RI'!Y309</f>
        <v>16475</v>
      </c>
      <c r="AF309" s="14">
        <f>'A) Base RI'!Z309</f>
        <v>0</v>
      </c>
      <c r="AG309" s="14">
        <f>'A) Base RI'!AA309</f>
        <v>13293.4</v>
      </c>
      <c r="AH309" s="14">
        <f>'A) Base RI'!AB309</f>
        <v>0</v>
      </c>
      <c r="AI309" s="14">
        <f>'A) Base RI'!AC309</f>
        <v>8608.4</v>
      </c>
      <c r="AJ309" s="14">
        <f>'A) Base RI'!AD309</f>
        <v>16046.65</v>
      </c>
      <c r="AK309" s="14">
        <f>'A) Base RI'!AE309</f>
        <v>0</v>
      </c>
      <c r="AL309" s="14">
        <f>'A) Base RI'!AF309</f>
        <v>0</v>
      </c>
      <c r="AM309" s="14">
        <f>'A) Base RI'!AG309</f>
        <v>0</v>
      </c>
      <c r="AN309" s="14">
        <f>'A) Base RI'!AH309</f>
        <v>0</v>
      </c>
      <c r="AO309" s="14">
        <f>'A) Base RI'!AI309</f>
        <v>0</v>
      </c>
      <c r="AP309" s="14">
        <f>'A) Base RI'!AJ309</f>
        <v>0</v>
      </c>
      <c r="AQ309" s="14">
        <f>'A) Base RI'!AK309</f>
        <v>0</v>
      </c>
      <c r="AR309" s="14">
        <f>'A) Base RI'!AN309</f>
        <v>207</v>
      </c>
    </row>
    <row r="310" spans="1:44" x14ac:dyDescent="0.25">
      <c r="A310" s="12">
        <f>'A) Base RI'!A310</f>
        <v>5933</v>
      </c>
      <c r="B310" s="42" t="str">
        <f>'A) Base RI'!B310</f>
        <v>Valeyres-sous-Montagny</v>
      </c>
      <c r="C310" s="14">
        <f>'A) Base RI'!C310+'A) Base RI'!D310</f>
        <v>1139156.03</v>
      </c>
      <c r="D310" s="14">
        <f>'A) Base RI'!AO310</f>
        <v>-28404.55</v>
      </c>
      <c r="E310" s="41">
        <f>'A) Base RI'!AP310</f>
        <v>-14603</v>
      </c>
      <c r="F310" s="41">
        <f>'A) Base RI'!AQ310</f>
        <v>0</v>
      </c>
      <c r="G310" s="4">
        <f t="shared" si="24"/>
        <v>1096148.48</v>
      </c>
      <c r="H310" s="14">
        <f>'A) Base RI'!E310</f>
        <v>0</v>
      </c>
      <c r="I310" s="14">
        <f>'A) Base RI'!F310</f>
        <v>0</v>
      </c>
      <c r="J310" s="14">
        <f>'A) Base RI'!G310+'A) Base RI'!H310</f>
        <v>12536.5</v>
      </c>
      <c r="K310" s="14">
        <f>'A) Base RI'!I310</f>
        <v>0</v>
      </c>
      <c r="L310" s="14">
        <f>'A) Base RI'!J310</f>
        <v>21006.32</v>
      </c>
      <c r="M310" s="14">
        <f>'A) Base RI'!K310</f>
        <v>1764.5</v>
      </c>
      <c r="N310" s="14">
        <f>'A) Base RI'!Q310</f>
        <v>7070.37</v>
      </c>
      <c r="O310" s="14">
        <f t="shared" si="25"/>
        <v>97423.75</v>
      </c>
      <c r="P310" s="14">
        <f>'A) Base RI'!L310</f>
        <v>97423.75</v>
      </c>
      <c r="Q310" s="44">
        <f>'A) Base RI'!AR310</f>
        <v>1</v>
      </c>
      <c r="R310" s="4">
        <f t="shared" si="26"/>
        <v>1235949.9200000002</v>
      </c>
      <c r="S310" s="43">
        <f>'A) Base RI'!AM310</f>
        <v>72</v>
      </c>
      <c r="T310" s="4">
        <f t="shared" si="27"/>
        <v>1136761.6700000002</v>
      </c>
      <c r="U310" s="4">
        <f t="shared" si="28"/>
        <v>17165.971111111114</v>
      </c>
      <c r="V310" s="14">
        <f>'A) Base RI'!O310</f>
        <v>0</v>
      </c>
      <c r="W310" s="14">
        <f>'A) Base RI'!P310</f>
        <v>65006.15</v>
      </c>
      <c r="X310" s="14">
        <f>'A) Base RI'!R310</f>
        <v>34157.449999999997</v>
      </c>
      <c r="Y310" s="4">
        <f t="shared" si="29"/>
        <v>99163.6</v>
      </c>
      <c r="Z310" s="14">
        <f>'A) Base RI'!N310</f>
        <v>8149.15</v>
      </c>
      <c r="AA310" s="14">
        <f>'A) Base RI'!S310+'A) Base RI'!T310</f>
        <v>562.5</v>
      </c>
      <c r="AB310" s="14">
        <f>'A) Base RI'!U310</f>
        <v>3840</v>
      </c>
      <c r="AC310" s="14">
        <f>'A) Base RI'!V310</f>
        <v>0</v>
      </c>
      <c r="AD310" s="14">
        <f>'A) Base RI'!W310</f>
        <v>0</v>
      </c>
      <c r="AE310" s="14">
        <f>'A) Base RI'!Y310</f>
        <v>6214</v>
      </c>
      <c r="AF310" s="14">
        <f>'A) Base RI'!Z310</f>
        <v>0</v>
      </c>
      <c r="AG310" s="14">
        <f>'A) Base RI'!AA310</f>
        <v>71332.55</v>
      </c>
      <c r="AH310" s="14">
        <f>'A) Base RI'!AB310</f>
        <v>0</v>
      </c>
      <c r="AI310" s="14">
        <f>'A) Base RI'!AC310</f>
        <v>29944</v>
      </c>
      <c r="AJ310" s="14">
        <f>'A) Base RI'!AD310</f>
        <v>2436</v>
      </c>
      <c r="AK310" s="14">
        <f>'A) Base RI'!AE310</f>
        <v>0</v>
      </c>
      <c r="AL310" s="14">
        <f>'A) Base RI'!AF310</f>
        <v>0</v>
      </c>
      <c r="AM310" s="14">
        <f>'A) Base RI'!AG310</f>
        <v>0</v>
      </c>
      <c r="AN310" s="14">
        <f>'A) Base RI'!AH310</f>
        <v>0</v>
      </c>
      <c r="AO310" s="14">
        <f>'A) Base RI'!AI310</f>
        <v>0</v>
      </c>
      <c r="AP310" s="14">
        <f>'A) Base RI'!AJ310</f>
        <v>0</v>
      </c>
      <c r="AQ310" s="14">
        <f>'A) Base RI'!AK310</f>
        <v>0</v>
      </c>
      <c r="AR310" s="14">
        <f>'A) Base RI'!AN310</f>
        <v>661</v>
      </c>
    </row>
    <row r="311" spans="1:44" x14ac:dyDescent="0.25">
      <c r="A311" s="12">
        <f>'A) Base RI'!A311</f>
        <v>5934</v>
      </c>
      <c r="B311" s="42" t="str">
        <f>'A) Base RI'!B311</f>
        <v>Valeyres-sous-Ursins</v>
      </c>
      <c r="C311" s="14">
        <f>'A) Base RI'!C311+'A) Base RI'!D311</f>
        <v>497235.79000000004</v>
      </c>
      <c r="D311" s="14">
        <f>'A) Base RI'!AO311</f>
        <v>-4364.79</v>
      </c>
      <c r="E311" s="41">
        <f>'A) Base RI'!AP311</f>
        <v>0</v>
      </c>
      <c r="F311" s="41">
        <f>'A) Base RI'!AQ311</f>
        <v>0</v>
      </c>
      <c r="G311" s="4">
        <f t="shared" si="24"/>
        <v>492871.00000000006</v>
      </c>
      <c r="H311" s="14">
        <f>'A) Base RI'!E311</f>
        <v>0</v>
      </c>
      <c r="I311" s="14">
        <f>'A) Base RI'!F311</f>
        <v>1290</v>
      </c>
      <c r="J311" s="14">
        <f>'A) Base RI'!G311+'A) Base RI'!H311</f>
        <v>838.55</v>
      </c>
      <c r="K311" s="14">
        <f>'A) Base RI'!I311</f>
        <v>0</v>
      </c>
      <c r="L311" s="14">
        <f>'A) Base RI'!J311</f>
        <v>1358.36</v>
      </c>
      <c r="M311" s="14">
        <f>'A) Base RI'!K311</f>
        <v>95</v>
      </c>
      <c r="N311" s="14">
        <f>'A) Base RI'!Q311</f>
        <v>0</v>
      </c>
      <c r="O311" s="14">
        <f t="shared" si="25"/>
        <v>25139.1</v>
      </c>
      <c r="P311" s="14">
        <f>'A) Base RI'!L311</f>
        <v>25139.1</v>
      </c>
      <c r="Q311" s="44">
        <f>'A) Base RI'!AR311</f>
        <v>1</v>
      </c>
      <c r="R311" s="4">
        <f t="shared" si="26"/>
        <v>521592.01</v>
      </c>
      <c r="S311" s="43">
        <f>'A) Base RI'!AM311</f>
        <v>79</v>
      </c>
      <c r="T311" s="4">
        <f t="shared" si="27"/>
        <v>495067.91000000003</v>
      </c>
      <c r="U311" s="4">
        <f t="shared" si="28"/>
        <v>6602.430506329114</v>
      </c>
      <c r="V311" s="14">
        <f>'A) Base RI'!O311</f>
        <v>27.5</v>
      </c>
      <c r="W311" s="14">
        <f>'A) Base RI'!P311</f>
        <v>14084.9</v>
      </c>
      <c r="X311" s="14">
        <f>'A) Base RI'!R311</f>
        <v>22803.95</v>
      </c>
      <c r="Y311" s="4">
        <f t="shared" si="29"/>
        <v>36916.35</v>
      </c>
      <c r="Z311" s="14">
        <f>'A) Base RI'!N311</f>
        <v>11606.85</v>
      </c>
      <c r="AA311" s="14">
        <f>'A) Base RI'!S311+'A) Base RI'!T311</f>
        <v>0</v>
      </c>
      <c r="AB311" s="14">
        <f>'A) Base RI'!U311</f>
        <v>1020</v>
      </c>
      <c r="AC311" s="14">
        <f>'A) Base RI'!V311</f>
        <v>0</v>
      </c>
      <c r="AD311" s="14">
        <f>'A) Base RI'!W311</f>
        <v>0</v>
      </c>
      <c r="AE311" s="14">
        <f>'A) Base RI'!Y311</f>
        <v>3080.95</v>
      </c>
      <c r="AF311" s="14">
        <f>'A) Base RI'!Z311</f>
        <v>0</v>
      </c>
      <c r="AG311" s="14">
        <f>'A) Base RI'!AA311</f>
        <v>27750</v>
      </c>
      <c r="AH311" s="14">
        <f>'A) Base RI'!AB311</f>
        <v>0</v>
      </c>
      <c r="AI311" s="14">
        <f>'A) Base RI'!AC311</f>
        <v>10928.35</v>
      </c>
      <c r="AJ311" s="14">
        <f>'A) Base RI'!AD311</f>
        <v>484</v>
      </c>
      <c r="AK311" s="14">
        <f>'A) Base RI'!AE311</f>
        <v>0</v>
      </c>
      <c r="AL311" s="14">
        <f>'A) Base RI'!AF311</f>
        <v>0</v>
      </c>
      <c r="AM311" s="14">
        <f>'A) Base RI'!AG311</f>
        <v>0</v>
      </c>
      <c r="AN311" s="14">
        <f>'A) Base RI'!AH311</f>
        <v>0</v>
      </c>
      <c r="AO311" s="14">
        <f>'A) Base RI'!AI311</f>
        <v>0</v>
      </c>
      <c r="AP311" s="14">
        <f>'A) Base RI'!AJ311</f>
        <v>0</v>
      </c>
      <c r="AQ311" s="14">
        <f>'A) Base RI'!AK311</f>
        <v>0</v>
      </c>
      <c r="AR311" s="14">
        <f>'A) Base RI'!AN311</f>
        <v>245</v>
      </c>
    </row>
    <row r="312" spans="1:44" x14ac:dyDescent="0.25">
      <c r="A312" s="12">
        <f>'A) Base RI'!A312</f>
        <v>5935</v>
      </c>
      <c r="B312" s="42" t="str">
        <f>'A) Base RI'!B312</f>
        <v>Villars-Epeney</v>
      </c>
      <c r="C312" s="14">
        <f>'A) Base RI'!C312+'A) Base RI'!D312</f>
        <v>352061.05</v>
      </c>
      <c r="D312" s="14">
        <f>'A) Base RI'!AO312</f>
        <v>-12458.46</v>
      </c>
      <c r="E312" s="41">
        <f>'A) Base RI'!AP312</f>
        <v>0</v>
      </c>
      <c r="F312" s="41">
        <f>'A) Base RI'!AQ312</f>
        <v>-115.1</v>
      </c>
      <c r="G312" s="4">
        <f t="shared" si="24"/>
        <v>339487.49</v>
      </c>
      <c r="H312" s="14">
        <f>'A) Base RI'!E312</f>
        <v>0</v>
      </c>
      <c r="I312" s="14">
        <f>'A) Base RI'!F312</f>
        <v>0</v>
      </c>
      <c r="J312" s="14">
        <f>'A) Base RI'!G312+'A) Base RI'!H312</f>
        <v>19680.95</v>
      </c>
      <c r="K312" s="14">
        <f>'A) Base RI'!I312</f>
        <v>0</v>
      </c>
      <c r="L312" s="14">
        <f>'A) Base RI'!J312</f>
        <v>-142.63</v>
      </c>
      <c r="M312" s="14">
        <f>'A) Base RI'!K312</f>
        <v>0</v>
      </c>
      <c r="N312" s="14">
        <f>'A) Base RI'!Q312</f>
        <v>12421.09</v>
      </c>
      <c r="O312" s="14">
        <f t="shared" si="25"/>
        <v>17267.95</v>
      </c>
      <c r="P312" s="14">
        <f>'A) Base RI'!L312</f>
        <v>17267.95</v>
      </c>
      <c r="Q312" s="44">
        <f>'A) Base RI'!AR312</f>
        <v>1</v>
      </c>
      <c r="R312" s="4">
        <f t="shared" si="26"/>
        <v>388714.85000000003</v>
      </c>
      <c r="S312" s="43">
        <f>'A) Base RI'!AM312</f>
        <v>60</v>
      </c>
      <c r="T312" s="4">
        <f t="shared" si="27"/>
        <v>371446.9</v>
      </c>
      <c r="U312" s="4">
        <f t="shared" si="28"/>
        <v>6478.5808333333343</v>
      </c>
      <c r="V312" s="14">
        <f>'A) Base RI'!O312</f>
        <v>0</v>
      </c>
      <c r="W312" s="14">
        <f>'A) Base RI'!P312</f>
        <v>1540</v>
      </c>
      <c r="X312" s="14">
        <f>'A) Base RI'!R312</f>
        <v>0</v>
      </c>
      <c r="Y312" s="4">
        <f t="shared" si="29"/>
        <v>1540</v>
      </c>
      <c r="Z312" s="14">
        <f>'A) Base RI'!N312</f>
        <v>0</v>
      </c>
      <c r="AA312" s="14">
        <f>'A) Base RI'!S312+'A) Base RI'!T312</f>
        <v>0</v>
      </c>
      <c r="AB312" s="14">
        <f>'A) Base RI'!U312</f>
        <v>140</v>
      </c>
      <c r="AC312" s="14">
        <f>'A) Base RI'!V312</f>
        <v>0</v>
      </c>
      <c r="AD312" s="14">
        <f>'A) Base RI'!W312</f>
        <v>0</v>
      </c>
      <c r="AE312" s="14">
        <f>'A) Base RI'!Y312</f>
        <v>0</v>
      </c>
      <c r="AF312" s="14">
        <f>'A) Base RI'!Z312</f>
        <v>1225</v>
      </c>
      <c r="AG312" s="14">
        <f>'A) Base RI'!AA312</f>
        <v>5698</v>
      </c>
      <c r="AH312" s="14">
        <f>'A) Base RI'!AB312</f>
        <v>0</v>
      </c>
      <c r="AI312" s="14">
        <f>'A) Base RI'!AC312</f>
        <v>5104</v>
      </c>
      <c r="AJ312" s="14">
        <f>'A) Base RI'!AD312</f>
        <v>2050</v>
      </c>
      <c r="AK312" s="14">
        <f>'A) Base RI'!AE312</f>
        <v>0</v>
      </c>
      <c r="AL312" s="14">
        <f>'A) Base RI'!AF312</f>
        <v>0</v>
      </c>
      <c r="AM312" s="14">
        <f>'A) Base RI'!AG312</f>
        <v>0</v>
      </c>
      <c r="AN312" s="14">
        <f>'A) Base RI'!AH312</f>
        <v>0</v>
      </c>
      <c r="AO312" s="14">
        <f>'A) Base RI'!AI312</f>
        <v>0</v>
      </c>
      <c r="AP312" s="14">
        <f>'A) Base RI'!AJ312</f>
        <v>0</v>
      </c>
      <c r="AQ312" s="14">
        <f>'A) Base RI'!AK312</f>
        <v>0</v>
      </c>
      <c r="AR312" s="14">
        <f>'A) Base RI'!AN312</f>
        <v>90</v>
      </c>
    </row>
    <row r="313" spans="1:44" x14ac:dyDescent="0.25">
      <c r="A313" s="12">
        <f>'A) Base RI'!A313</f>
        <v>5937</v>
      </c>
      <c r="B313" s="42" t="str">
        <f>'A) Base RI'!B313</f>
        <v>Vugelles-La Mothe</v>
      </c>
      <c r="C313" s="14">
        <f>'A) Base RI'!C313+'A) Base RI'!D313</f>
        <v>134680.65</v>
      </c>
      <c r="D313" s="14">
        <f>'A) Base RI'!AO313</f>
        <v>-5795.97</v>
      </c>
      <c r="E313" s="41">
        <f>'A) Base RI'!AP313</f>
        <v>0</v>
      </c>
      <c r="F313" s="41">
        <f>'A) Base RI'!AQ313</f>
        <v>-2.09</v>
      </c>
      <c r="G313" s="4">
        <f t="shared" si="24"/>
        <v>128882.59</v>
      </c>
      <c r="H313" s="14">
        <f>'A) Base RI'!E313</f>
        <v>0</v>
      </c>
      <c r="I313" s="14">
        <f>'A) Base RI'!F313</f>
        <v>0</v>
      </c>
      <c r="J313" s="14">
        <f>'A) Base RI'!G313+'A) Base RI'!H313</f>
        <v>-314.25</v>
      </c>
      <c r="K313" s="14">
        <f>'A) Base RI'!I313</f>
        <v>0</v>
      </c>
      <c r="L313" s="14">
        <f>'A) Base RI'!J313</f>
        <v>5563.94</v>
      </c>
      <c r="M313" s="14">
        <f>'A) Base RI'!K313</f>
        <v>0</v>
      </c>
      <c r="N313" s="14">
        <f>'A) Base RI'!Q313</f>
        <v>353.47</v>
      </c>
      <c r="O313" s="14">
        <f t="shared" si="25"/>
        <v>14542.714285714286</v>
      </c>
      <c r="P313" s="14">
        <f>'A) Base RI'!L313</f>
        <v>10179.9</v>
      </c>
      <c r="Q313" s="44">
        <f>'A) Base RI'!AR313</f>
        <v>0.7</v>
      </c>
      <c r="R313" s="4">
        <f t="shared" si="26"/>
        <v>149028.46428571429</v>
      </c>
      <c r="S313" s="43">
        <f>'A) Base RI'!AM313</f>
        <v>70</v>
      </c>
      <c r="T313" s="4">
        <f t="shared" si="27"/>
        <v>134485.75</v>
      </c>
      <c r="U313" s="4">
        <f t="shared" si="28"/>
        <v>2128.9780612244899</v>
      </c>
      <c r="V313" s="14">
        <f>'A) Base RI'!O313</f>
        <v>0</v>
      </c>
      <c r="W313" s="14">
        <f>'A) Base RI'!P313</f>
        <v>0</v>
      </c>
      <c r="X313" s="14">
        <f>'A) Base RI'!R313</f>
        <v>0</v>
      </c>
      <c r="Y313" s="4">
        <f t="shared" si="29"/>
        <v>0</v>
      </c>
      <c r="Z313" s="14">
        <f>'A) Base RI'!N313</f>
        <v>0</v>
      </c>
      <c r="AA313" s="14">
        <f>'A) Base RI'!S313+'A) Base RI'!T313</f>
        <v>0</v>
      </c>
      <c r="AB313" s="14">
        <f>'A) Base RI'!U313</f>
        <v>1400</v>
      </c>
      <c r="AC313" s="14">
        <f>'A) Base RI'!V313</f>
        <v>0</v>
      </c>
      <c r="AD313" s="14">
        <f>'A) Base RI'!W313</f>
        <v>0</v>
      </c>
      <c r="AE313" s="14">
        <f>'A) Base RI'!Y313</f>
        <v>0</v>
      </c>
      <c r="AF313" s="14">
        <f>'A) Base RI'!Z313</f>
        <v>0</v>
      </c>
      <c r="AG313" s="14">
        <f>'A) Base RI'!AA313</f>
        <v>14700</v>
      </c>
      <c r="AH313" s="14">
        <f>'A) Base RI'!AB313</f>
        <v>0</v>
      </c>
      <c r="AI313" s="14">
        <f>'A) Base RI'!AC313</f>
        <v>5336</v>
      </c>
      <c r="AJ313" s="14">
        <f>'A) Base RI'!AD313</f>
        <v>0</v>
      </c>
      <c r="AK313" s="14">
        <f>'A) Base RI'!AE313</f>
        <v>0</v>
      </c>
      <c r="AL313" s="14">
        <f>'A) Base RI'!AF313</f>
        <v>0</v>
      </c>
      <c r="AM313" s="14">
        <f>'A) Base RI'!AG313</f>
        <v>0</v>
      </c>
      <c r="AN313" s="14">
        <f>'A) Base RI'!AH313</f>
        <v>0</v>
      </c>
      <c r="AO313" s="14">
        <f>'A) Base RI'!AI313</f>
        <v>0</v>
      </c>
      <c r="AP313" s="14">
        <f>'A) Base RI'!AJ313</f>
        <v>0</v>
      </c>
      <c r="AQ313" s="14">
        <f>'A) Base RI'!AK313</f>
        <v>0</v>
      </c>
      <c r="AR313" s="14">
        <f>'A) Base RI'!AN313</f>
        <v>135</v>
      </c>
    </row>
    <row r="314" spans="1:44" x14ac:dyDescent="0.25">
      <c r="A314" s="12">
        <f>'A) Base RI'!A314</f>
        <v>5938</v>
      </c>
      <c r="B314" s="42" t="str">
        <f>'A) Base RI'!B314</f>
        <v>Yverdon-les-Bains</v>
      </c>
      <c r="C314" s="14">
        <f>'A) Base RI'!C314+'A) Base RI'!D314</f>
        <v>47707399.470000006</v>
      </c>
      <c r="D314" s="14">
        <f>'A) Base RI'!AO314</f>
        <v>-1257159.72</v>
      </c>
      <c r="E314" s="41">
        <f>'A) Base RI'!AP314</f>
        <v>0</v>
      </c>
      <c r="F314" s="41">
        <f>'A) Base RI'!AQ314</f>
        <v>-32443.69</v>
      </c>
      <c r="G314" s="4">
        <f t="shared" si="24"/>
        <v>46417796.06000001</v>
      </c>
      <c r="H314" s="14">
        <f>'A) Base RI'!E314</f>
        <v>0</v>
      </c>
      <c r="I314" s="14">
        <f>'A) Base RI'!F314</f>
        <v>0</v>
      </c>
      <c r="J314" s="14">
        <f>'A) Base RI'!G314+'A) Base RI'!H314</f>
        <v>5845187.2999999998</v>
      </c>
      <c r="K314" s="14">
        <f>'A) Base RI'!I314</f>
        <v>54045.85</v>
      </c>
      <c r="L314" s="14">
        <f>'A) Base RI'!J314</f>
        <v>1978267.83</v>
      </c>
      <c r="M314" s="14">
        <f>'A) Base RI'!K314</f>
        <v>482717</v>
      </c>
      <c r="N314" s="14">
        <f>'A) Base RI'!Q314</f>
        <v>420276.52</v>
      </c>
      <c r="O314" s="14">
        <f t="shared" si="25"/>
        <v>3809221.55</v>
      </c>
      <c r="P314" s="14">
        <f>'A) Base RI'!L314</f>
        <v>3809221.55</v>
      </c>
      <c r="Q314" s="44">
        <f>'A) Base RI'!AR314</f>
        <v>1</v>
      </c>
      <c r="R314" s="4">
        <f t="shared" si="26"/>
        <v>59007512.110000007</v>
      </c>
      <c r="S314" s="43">
        <f>'A) Base RI'!AM314</f>
        <v>76.5</v>
      </c>
      <c r="T314" s="4">
        <f t="shared" si="27"/>
        <v>54715573.56000001</v>
      </c>
      <c r="U314" s="4">
        <f t="shared" si="28"/>
        <v>771340.02758169943</v>
      </c>
      <c r="V314" s="14">
        <f>'A) Base RI'!O314</f>
        <v>1090768.3999999999</v>
      </c>
      <c r="W314" s="14">
        <f>'A) Base RI'!P314</f>
        <v>2050380.1</v>
      </c>
      <c r="X314" s="14">
        <f>'A) Base RI'!R314</f>
        <v>692489.6</v>
      </c>
      <c r="Y314" s="4">
        <f t="shared" si="29"/>
        <v>3833638.1</v>
      </c>
      <c r="Z314" s="14">
        <f>'A) Base RI'!N314</f>
        <v>3351601.5</v>
      </c>
      <c r="AA314" s="14">
        <f>'A) Base RI'!S314+'A) Base RI'!T314</f>
        <v>3850</v>
      </c>
      <c r="AB314" s="14">
        <f>'A) Base RI'!U314</f>
        <v>55125</v>
      </c>
      <c r="AC314" s="14">
        <f>'A) Base RI'!V314</f>
        <v>0</v>
      </c>
      <c r="AD314" s="14">
        <f>'A) Base RI'!W314</f>
        <v>0</v>
      </c>
      <c r="AE314" s="14">
        <f>'A) Base RI'!Y314</f>
        <v>916717</v>
      </c>
      <c r="AF314" s="14">
        <f>'A) Base RI'!Z314</f>
        <v>0</v>
      </c>
      <c r="AG314" s="14">
        <f>'A) Base RI'!AA314</f>
        <v>4280052</v>
      </c>
      <c r="AH314" s="14">
        <f>'A) Base RI'!AB314</f>
        <v>1153249</v>
      </c>
      <c r="AI314" s="14">
        <f>'A) Base RI'!AC314</f>
        <v>99363</v>
      </c>
      <c r="AJ314" s="14">
        <f>'A) Base RI'!AD314</f>
        <v>168730</v>
      </c>
      <c r="AK314" s="14">
        <f>'A) Base RI'!AE314</f>
        <v>0</v>
      </c>
      <c r="AL314" s="14">
        <f>'A) Base RI'!AF314</f>
        <v>0</v>
      </c>
      <c r="AM314" s="14">
        <f>'A) Base RI'!AG314</f>
        <v>244451</v>
      </c>
      <c r="AN314" s="14">
        <f>'A) Base RI'!AH314</f>
        <v>887566</v>
      </c>
      <c r="AO314" s="14">
        <f>'A) Base RI'!AI314</f>
        <v>812335</v>
      </c>
      <c r="AP314" s="14">
        <f>'A) Base RI'!AJ314</f>
        <v>760758</v>
      </c>
      <c r="AQ314" s="14">
        <f>'A) Base RI'!AK314</f>
        <v>0</v>
      </c>
      <c r="AR314" s="14">
        <f>'A) Base RI'!AN314</f>
        <v>29308</v>
      </c>
    </row>
    <row r="315" spans="1:44" x14ac:dyDescent="0.25">
      <c r="A315" s="12">
        <f>'A) Base RI'!A315</f>
        <v>5939</v>
      </c>
      <c r="B315" s="42" t="str">
        <f>'A) Base RI'!B315</f>
        <v>Yvonand</v>
      </c>
      <c r="C315" s="14">
        <f>'A) Base RI'!C315+'A) Base RI'!D315</f>
        <v>5395526.2299999995</v>
      </c>
      <c r="D315" s="14">
        <f>'A) Base RI'!AO315</f>
        <v>-72468.94</v>
      </c>
      <c r="E315" s="41">
        <f>'A) Base RI'!AP315</f>
        <v>0</v>
      </c>
      <c r="F315" s="41">
        <f>'A) Base RI'!AQ315</f>
        <v>-732.21</v>
      </c>
      <c r="G315" s="4">
        <f t="shared" si="24"/>
        <v>5322325.0799999991</v>
      </c>
      <c r="H315" s="14">
        <f>'A) Base RI'!E315</f>
        <v>0</v>
      </c>
      <c r="I315" s="14">
        <f>'A) Base RI'!F315</f>
        <v>0</v>
      </c>
      <c r="J315" s="14">
        <f>'A) Base RI'!G315+'A) Base RI'!H315</f>
        <v>458502.65</v>
      </c>
      <c r="K315" s="14">
        <f>'A) Base RI'!I315</f>
        <v>0</v>
      </c>
      <c r="L315" s="14">
        <f>'A) Base RI'!J315</f>
        <v>187787.51</v>
      </c>
      <c r="M315" s="14">
        <f>'A) Base RI'!K315</f>
        <v>12870.5</v>
      </c>
      <c r="N315" s="14">
        <f>'A) Base RI'!Q315</f>
        <v>0</v>
      </c>
      <c r="O315" s="14">
        <f t="shared" si="25"/>
        <v>458687.55</v>
      </c>
      <c r="P315" s="14">
        <f>'A) Base RI'!L315</f>
        <v>458687.55</v>
      </c>
      <c r="Q315" s="44">
        <f>'A) Base RI'!AR315</f>
        <v>1</v>
      </c>
      <c r="R315" s="4">
        <f t="shared" si="26"/>
        <v>6440173.2899999991</v>
      </c>
      <c r="S315" s="43">
        <f>'A) Base RI'!AM315</f>
        <v>73</v>
      </c>
      <c r="T315" s="4">
        <f t="shared" si="27"/>
        <v>5968615.2399999993</v>
      </c>
      <c r="U315" s="4">
        <f t="shared" si="28"/>
        <v>88221.551917808203</v>
      </c>
      <c r="V315" s="14">
        <f>'A) Base RI'!O315</f>
        <v>92200.5</v>
      </c>
      <c r="W315" s="14">
        <f>'A) Base RI'!P315</f>
        <v>252725.4</v>
      </c>
      <c r="X315" s="14">
        <f>'A) Base RI'!R315</f>
        <v>100263.95</v>
      </c>
      <c r="Y315" s="4">
        <f t="shared" si="29"/>
        <v>445189.85000000003</v>
      </c>
      <c r="Z315" s="14">
        <f>'A) Base RI'!N315</f>
        <v>187954.15</v>
      </c>
      <c r="AA315" s="14">
        <f>'A) Base RI'!S315+'A) Base RI'!T315</f>
        <v>1830</v>
      </c>
      <c r="AB315" s="14">
        <f>'A) Base RI'!U315</f>
        <v>20550</v>
      </c>
      <c r="AC315" s="14">
        <f>'A) Base RI'!V315</f>
        <v>461</v>
      </c>
      <c r="AD315" s="14">
        <f>'A) Base RI'!W315</f>
        <v>0</v>
      </c>
      <c r="AE315" s="14">
        <f>'A) Base RI'!Y315</f>
        <v>217186.4</v>
      </c>
      <c r="AF315" s="14">
        <f>'A) Base RI'!Z315</f>
        <v>0</v>
      </c>
      <c r="AG315" s="14">
        <f>'A) Base RI'!AA315</f>
        <v>649628.9</v>
      </c>
      <c r="AH315" s="14">
        <f>'A) Base RI'!AB315</f>
        <v>0</v>
      </c>
      <c r="AI315" s="14">
        <f>'A) Base RI'!AC315</f>
        <v>0</v>
      </c>
      <c r="AJ315" s="14">
        <f>'A) Base RI'!AD315</f>
        <v>117216</v>
      </c>
      <c r="AK315" s="14">
        <f>'A) Base RI'!AE315</f>
        <v>0</v>
      </c>
      <c r="AL315" s="14">
        <f>'A) Base RI'!AF315</f>
        <v>0</v>
      </c>
      <c r="AM315" s="14">
        <f>'A) Base RI'!AG315</f>
        <v>9751.9500000000007</v>
      </c>
      <c r="AN315" s="14">
        <f>'A) Base RI'!AH315</f>
        <v>0</v>
      </c>
      <c r="AO315" s="14">
        <f>'A) Base RI'!AI315</f>
        <v>0</v>
      </c>
      <c r="AP315" s="14">
        <f>'A) Base RI'!AJ315</f>
        <v>0</v>
      </c>
      <c r="AQ315" s="14">
        <f>'A) Base RI'!AK315</f>
        <v>0</v>
      </c>
      <c r="AR315" s="14">
        <f>'A) Base RI'!AN315</f>
        <v>3152</v>
      </c>
    </row>
    <row r="316" spans="1:44" x14ac:dyDescent="0.25">
      <c r="A316" s="11"/>
      <c r="B316" s="34">
        <f>COUNTA(B7:B315)</f>
        <v>309</v>
      </c>
      <c r="C316" s="15">
        <f t="shared" ref="C316:P316" si="30">SUM(C7:C315)</f>
        <v>1787297145.9599993</v>
      </c>
      <c r="D316" s="15">
        <f t="shared" si="30"/>
        <v>-35132717.890000008</v>
      </c>
      <c r="E316" s="15">
        <f t="shared" si="30"/>
        <v>-87182.15</v>
      </c>
      <c r="F316" s="15">
        <f t="shared" si="30"/>
        <v>-1317067.7100000004</v>
      </c>
      <c r="G316" s="49">
        <f t="shared" si="30"/>
        <v>1750760178.210001</v>
      </c>
      <c r="H316" s="15">
        <f t="shared" si="30"/>
        <v>682404</v>
      </c>
      <c r="I316" s="15">
        <f t="shared" si="30"/>
        <v>106137.85</v>
      </c>
      <c r="J316" s="15">
        <f t="shared" si="30"/>
        <v>311660758.31000006</v>
      </c>
      <c r="K316" s="15">
        <f t="shared" si="30"/>
        <v>46416807.095000006</v>
      </c>
      <c r="L316" s="15">
        <f t="shared" si="30"/>
        <v>84543437.860000104</v>
      </c>
      <c r="M316" s="15">
        <f t="shared" si="30"/>
        <v>14511793.299999997</v>
      </c>
      <c r="N316" s="15">
        <f t="shared" si="30"/>
        <v>11801586.810000006</v>
      </c>
      <c r="O316" s="15">
        <f t="shared" si="30"/>
        <v>147434145.48745307</v>
      </c>
      <c r="P316" s="15">
        <f t="shared" si="30"/>
        <v>170937071.63000005</v>
      </c>
      <c r="Q316" s="45"/>
      <c r="R316" s="49">
        <f>SUM(R7:R315)</f>
        <v>2367917248.9224544</v>
      </c>
      <c r="S316" s="26">
        <f>R316/U316</f>
        <v>67.899312514951305</v>
      </c>
      <c r="T316" s="49">
        <f t="shared" ref="T316:AE316" si="31">SUM(T7:T315)</f>
        <v>2205865172.2850008</v>
      </c>
      <c r="U316" s="49">
        <f t="shared" si="31"/>
        <v>34873950.283385321</v>
      </c>
      <c r="V316" s="15">
        <f t="shared" si="31"/>
        <v>60162522.899999954</v>
      </c>
      <c r="W316" s="15">
        <f t="shared" si="31"/>
        <v>79691057.480000064</v>
      </c>
      <c r="X316" s="15">
        <f t="shared" si="31"/>
        <v>59229955.100000001</v>
      </c>
      <c r="Y316" s="49">
        <f t="shared" si="31"/>
        <v>199083535.4799999</v>
      </c>
      <c r="Z316" s="15">
        <f t="shared" si="31"/>
        <v>66364349.699999996</v>
      </c>
      <c r="AA316" s="15">
        <f t="shared" si="31"/>
        <v>820018.20000000007</v>
      </c>
      <c r="AB316" s="15">
        <f t="shared" si="31"/>
        <v>3145642.05</v>
      </c>
      <c r="AC316" s="15">
        <f t="shared" si="31"/>
        <v>6276500.9700000007</v>
      </c>
      <c r="AD316" s="15">
        <f t="shared" si="31"/>
        <v>429492.02</v>
      </c>
      <c r="AE316" s="15">
        <f t="shared" si="31"/>
        <v>24999413.450000003</v>
      </c>
      <c r="AF316" s="15">
        <f t="shared" ref="AF316:AQ316" si="32">SUM(AF7:AF315)</f>
        <v>2103564.2500000005</v>
      </c>
      <c r="AG316" s="15">
        <f t="shared" si="32"/>
        <v>97773540.480000049</v>
      </c>
      <c r="AH316" s="15">
        <f t="shared" si="32"/>
        <v>9663444.3699999992</v>
      </c>
      <c r="AI316" s="15">
        <f t="shared" si="32"/>
        <v>77753222.010000005</v>
      </c>
      <c r="AJ316" s="15">
        <f t="shared" si="32"/>
        <v>24263295.379999992</v>
      </c>
      <c r="AK316" s="15">
        <f t="shared" si="32"/>
        <v>1550934.88</v>
      </c>
      <c r="AL316" s="15">
        <f t="shared" si="32"/>
        <v>122609.54999999999</v>
      </c>
      <c r="AM316" s="15">
        <f t="shared" si="32"/>
        <v>12409593.169999998</v>
      </c>
      <c r="AN316" s="15">
        <f t="shared" si="32"/>
        <v>21951552.000000007</v>
      </c>
      <c r="AO316" s="15">
        <f t="shared" si="32"/>
        <v>10645376.99</v>
      </c>
      <c r="AP316" s="15">
        <f t="shared" si="32"/>
        <v>4075446.08</v>
      </c>
      <c r="AQ316" s="15">
        <f t="shared" si="32"/>
        <v>2592818.2699999996</v>
      </c>
      <c r="AR316" s="15">
        <f>SUM(AR7:AR315)</f>
        <v>767496</v>
      </c>
    </row>
    <row r="317" spans="1:44" x14ac:dyDescent="0.25">
      <c r="Z317" s="16"/>
    </row>
    <row r="318" spans="1:44" x14ac:dyDescent="0.25">
      <c r="C318" s="8"/>
      <c r="I318" s="8"/>
      <c r="J318" s="8"/>
      <c r="K318" s="8"/>
      <c r="L318" s="8"/>
      <c r="M318" s="8"/>
      <c r="N318" s="8"/>
      <c r="R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</row>
    <row r="319" spans="1:44" x14ac:dyDescent="0.25">
      <c r="C319" s="8"/>
      <c r="J319" s="8"/>
      <c r="R319" s="8"/>
    </row>
    <row r="320" spans="1:44" x14ac:dyDescent="0.25">
      <c r="C320" s="8"/>
      <c r="G320" s="8"/>
      <c r="J320" s="46"/>
      <c r="R320" s="8"/>
    </row>
    <row r="321" spans="1:18" x14ac:dyDescent="0.25">
      <c r="G321" s="8"/>
      <c r="R321" s="8"/>
    </row>
    <row r="322" spans="1:18" x14ac:dyDescent="0.25">
      <c r="G322" s="8"/>
      <c r="R322" s="46"/>
    </row>
    <row r="323" spans="1:18" x14ac:dyDescent="0.25">
      <c r="G323" s="8"/>
      <c r="R323" s="46"/>
    </row>
    <row r="324" spans="1:18" x14ac:dyDescent="0.25">
      <c r="G324" s="46"/>
    </row>
    <row r="325" spans="1:18" s="8" customFormat="1" x14ac:dyDescent="0.25">
      <c r="A325" s="7"/>
    </row>
  </sheetData>
  <sheetProtection password="CBF3" sheet="1" objects="1" scenarios="1"/>
  <mergeCells count="44">
    <mergeCell ref="Q4:Q6"/>
    <mergeCell ref="O4:O6"/>
    <mergeCell ref="AP4:AP6"/>
    <mergeCell ref="AQ4:AQ6"/>
    <mergeCell ref="V4:V5"/>
    <mergeCell ref="AA4:AA5"/>
    <mergeCell ref="AB4:AB5"/>
    <mergeCell ref="AC4:AC5"/>
    <mergeCell ref="U4:U5"/>
    <mergeCell ref="Z4:Z5"/>
    <mergeCell ref="X4:X5"/>
    <mergeCell ref="AL4:AL6"/>
    <mergeCell ref="AN4:AN6"/>
    <mergeCell ref="AD4:AD5"/>
    <mergeCell ref="P4:P5"/>
    <mergeCell ref="R4:R6"/>
    <mergeCell ref="AR4:AR5"/>
    <mergeCell ref="S4:S5"/>
    <mergeCell ref="AI4:AI6"/>
    <mergeCell ref="AK4:AK6"/>
    <mergeCell ref="AJ4:AJ6"/>
    <mergeCell ref="AE4:AE5"/>
    <mergeCell ref="AF4:AF5"/>
    <mergeCell ref="W4:W5"/>
    <mergeCell ref="AG4:AG5"/>
    <mergeCell ref="AH4:AH5"/>
    <mergeCell ref="AO4:AO6"/>
    <mergeCell ref="AM4:AM5"/>
    <mergeCell ref="Y4:Y6"/>
    <mergeCell ref="T4:T6"/>
    <mergeCell ref="A4:A6"/>
    <mergeCell ref="B4:B6"/>
    <mergeCell ref="N4:N6"/>
    <mergeCell ref="C4:C5"/>
    <mergeCell ref="H4:H5"/>
    <mergeCell ref="I4:I5"/>
    <mergeCell ref="J4:J5"/>
    <mergeCell ref="G4:G5"/>
    <mergeCell ref="K4:K5"/>
    <mergeCell ref="L4:L5"/>
    <mergeCell ref="M4:M5"/>
    <mergeCell ref="D4:D6"/>
    <mergeCell ref="E4:E6"/>
    <mergeCell ref="F4:F6"/>
  </mergeCells>
  <phoneticPr fontId="0" type="noConversion"/>
  <pageMargins left="0" right="0" top="0" bottom="0" header="0.51181102362204722" footer="0.51181102362204722"/>
  <pageSetup paperSize="8" scale="70" orientation="landscape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B050"/>
  </sheetPr>
  <dimension ref="A1:H332"/>
  <sheetViews>
    <sheetView workbookViewId="0">
      <selection activeCell="E27" sqref="E27"/>
    </sheetView>
  </sheetViews>
  <sheetFormatPr baseColWidth="10" defaultColWidth="11" defaultRowHeight="15" x14ac:dyDescent="0.25"/>
  <cols>
    <col min="1" max="1" width="7.25" style="18" customWidth="1"/>
    <col min="2" max="2" width="17.375" style="18" bestFit="1" customWidth="1"/>
    <col min="3" max="3" width="18" style="8" customWidth="1"/>
    <col min="4" max="4" width="9.875" style="8" bestFit="1" customWidth="1"/>
    <col min="5" max="5" width="10.75" style="8" bestFit="1" customWidth="1"/>
    <col min="6" max="6" width="11.25" style="8" bestFit="1" customWidth="1"/>
    <col min="7" max="7" width="13" style="38" bestFit="1" customWidth="1"/>
    <col min="8" max="8" width="12.25" style="8" bestFit="1" customWidth="1"/>
    <col min="9" max="16384" width="11" style="18"/>
  </cols>
  <sheetData>
    <row r="1" spans="1:8" ht="21" x14ac:dyDescent="0.25">
      <c r="A1" s="65" t="s">
        <v>484</v>
      </c>
      <c r="B1" s="53"/>
      <c r="C1" s="55"/>
      <c r="D1" s="55"/>
      <c r="E1" s="55"/>
      <c r="F1" s="55"/>
      <c r="G1" s="67"/>
      <c r="H1" s="55"/>
    </row>
    <row r="3" spans="1:8" ht="60" x14ac:dyDescent="0.25">
      <c r="A3" s="424" t="s">
        <v>50</v>
      </c>
      <c r="B3" s="424" t="s">
        <v>119</v>
      </c>
      <c r="C3" s="70" t="s">
        <v>473</v>
      </c>
      <c r="D3" s="70" t="s">
        <v>222</v>
      </c>
      <c r="E3" s="421" t="s">
        <v>166</v>
      </c>
      <c r="F3" s="421" t="s">
        <v>405</v>
      </c>
      <c r="G3" s="427" t="s">
        <v>322</v>
      </c>
      <c r="H3" s="421" t="s">
        <v>468</v>
      </c>
    </row>
    <row r="4" spans="1:8" x14ac:dyDescent="0.25">
      <c r="A4" s="425"/>
      <c r="B4" s="426"/>
      <c r="C4" s="268">
        <f>Paramètres!B11</f>
        <v>0.5</v>
      </c>
      <c r="D4" s="268">
        <f>Paramètres!B12</f>
        <v>0.3</v>
      </c>
      <c r="E4" s="422"/>
      <c r="F4" s="422"/>
      <c r="G4" s="428"/>
      <c r="H4" s="422"/>
    </row>
    <row r="5" spans="1:8" x14ac:dyDescent="0.25">
      <c r="A5" s="57">
        <f>'A) Base RI'!A7</f>
        <v>5401</v>
      </c>
      <c r="B5" s="113" t="str">
        <f>'A) Base RI'!B7</f>
        <v>Aigle</v>
      </c>
      <c r="C5" s="14">
        <f>'B) D RI'!Y7</f>
        <v>1088961.8</v>
      </c>
      <c r="D5" s="19">
        <f>'B) D RI'!Z7</f>
        <v>1028213.05</v>
      </c>
      <c r="E5" s="14">
        <f>C5+D5</f>
        <v>2117174.85</v>
      </c>
      <c r="F5" s="19">
        <f>'B) D RI'!U7</f>
        <v>260845.44622222218</v>
      </c>
      <c r="G5" s="347">
        <f>E5/F5</f>
        <v>8.1165873534028048</v>
      </c>
      <c r="H5" s="74">
        <f>(C5*$C$4)+(D5*$D$4)</f>
        <v>852944.81499999994</v>
      </c>
    </row>
    <row r="6" spans="1:8" x14ac:dyDescent="0.25">
      <c r="A6" s="61">
        <f>'A) Base RI'!A8</f>
        <v>5402</v>
      </c>
      <c r="B6" s="114" t="str">
        <f>'A) Base RI'!B8</f>
        <v>Bex</v>
      </c>
      <c r="C6" s="14">
        <f>'B) D RI'!Y8</f>
        <v>1727273.95</v>
      </c>
      <c r="D6" s="19">
        <f>'B) D RI'!Z8</f>
        <v>184714.75</v>
      </c>
      <c r="E6" s="14">
        <f t="shared" ref="E6:E69" si="0">C6+D6</f>
        <v>1911988.7</v>
      </c>
      <c r="F6" s="19">
        <f>'B) D RI'!U8</f>
        <v>175890.90239436619</v>
      </c>
      <c r="G6" s="347">
        <f t="shared" ref="G6:G69" si="1">E6/F6</f>
        <v>10.870310368373215</v>
      </c>
      <c r="H6" s="74">
        <f t="shared" ref="H6:H69" si="2">(C6*$C$4)+(D6*$D$4)</f>
        <v>919051.4</v>
      </c>
    </row>
    <row r="7" spans="1:8" x14ac:dyDescent="0.25">
      <c r="A7" s="61">
        <f>'A) Base RI'!A9</f>
        <v>5403</v>
      </c>
      <c r="B7" s="114" t="str">
        <f>'A) Base RI'!B9</f>
        <v>Chessel</v>
      </c>
      <c r="C7" s="14">
        <f>'B) D RI'!Y9</f>
        <v>26458.25</v>
      </c>
      <c r="D7" s="19">
        <f>'B) D RI'!Z9</f>
        <v>6667.2</v>
      </c>
      <c r="E7" s="14">
        <f t="shared" si="0"/>
        <v>33125.449999999997</v>
      </c>
      <c r="F7" s="19">
        <f>'B) D RI'!U9</f>
        <v>8284.5784210526326</v>
      </c>
      <c r="G7" s="347">
        <f t="shared" si="1"/>
        <v>3.9984472735295928</v>
      </c>
      <c r="H7" s="74">
        <f t="shared" si="2"/>
        <v>15229.285</v>
      </c>
    </row>
    <row r="8" spans="1:8" x14ac:dyDescent="0.25">
      <c r="A8" s="61">
        <f>'A) Base RI'!A10</f>
        <v>5404</v>
      </c>
      <c r="B8" s="114" t="str">
        <f>'A) Base RI'!B10</f>
        <v>Corbeyrier</v>
      </c>
      <c r="C8" s="14">
        <f>'B) D RI'!Y10</f>
        <v>88078.5</v>
      </c>
      <c r="D8" s="19">
        <f>'B) D RI'!Z10</f>
        <v>11807.3</v>
      </c>
      <c r="E8" s="14">
        <f t="shared" si="0"/>
        <v>99885.8</v>
      </c>
      <c r="F8" s="19">
        <f>'B) D RI'!U10</f>
        <v>9966.1885714285709</v>
      </c>
      <c r="G8" s="347">
        <f t="shared" si="1"/>
        <v>10.022467394040307</v>
      </c>
      <c r="H8" s="74">
        <f t="shared" si="2"/>
        <v>47581.440000000002</v>
      </c>
    </row>
    <row r="9" spans="1:8" x14ac:dyDescent="0.25">
      <c r="A9" s="61">
        <f>'A) Base RI'!A11</f>
        <v>5405</v>
      </c>
      <c r="B9" s="114" t="str">
        <f>'A) Base RI'!B11</f>
        <v>Gryon</v>
      </c>
      <c r="C9" s="14">
        <f>'B) D RI'!Y11</f>
        <v>684706.45</v>
      </c>
      <c r="D9" s="19">
        <f>'B) D RI'!Z11</f>
        <v>0</v>
      </c>
      <c r="E9" s="14">
        <f t="shared" si="0"/>
        <v>684706.45</v>
      </c>
      <c r="F9" s="19">
        <f>'B) D RI'!U11</f>
        <v>72189.140533333324</v>
      </c>
      <c r="G9" s="347">
        <f t="shared" si="1"/>
        <v>9.4848954419098099</v>
      </c>
      <c r="H9" s="74">
        <f t="shared" si="2"/>
        <v>342353.22499999998</v>
      </c>
    </row>
    <row r="10" spans="1:8" x14ac:dyDescent="0.25">
      <c r="A10" s="61">
        <f>'A) Base RI'!A12</f>
        <v>5406</v>
      </c>
      <c r="B10" s="114" t="str">
        <f>'A) Base RI'!B12</f>
        <v>Lavey-Morcles</v>
      </c>
      <c r="C10" s="14">
        <f>'B) D RI'!Y12</f>
        <v>84143.15</v>
      </c>
      <c r="D10" s="19">
        <f>'B) D RI'!Z12</f>
        <v>0</v>
      </c>
      <c r="E10" s="14">
        <f t="shared" si="0"/>
        <v>84143.15</v>
      </c>
      <c r="F10" s="19">
        <f>'B) D RI'!U12</f>
        <v>19831.448851570964</v>
      </c>
      <c r="G10" s="347">
        <f t="shared" si="1"/>
        <v>4.2429149090301852</v>
      </c>
      <c r="H10" s="74">
        <f t="shared" si="2"/>
        <v>42071.574999999997</v>
      </c>
    </row>
    <row r="11" spans="1:8" x14ac:dyDescent="0.25">
      <c r="A11" s="61">
        <f>'A) Base RI'!A13</f>
        <v>5407</v>
      </c>
      <c r="B11" s="114" t="str">
        <f>'A) Base RI'!B13</f>
        <v>Leysin</v>
      </c>
      <c r="C11" s="14">
        <f>'B) D RI'!Y13</f>
        <v>768821.3</v>
      </c>
      <c r="D11" s="19">
        <f>'B) D RI'!Z13</f>
        <v>27734</v>
      </c>
      <c r="E11" s="14">
        <f t="shared" si="0"/>
        <v>796555.3</v>
      </c>
      <c r="F11" s="19">
        <f>'B) D RI'!U13</f>
        <v>102799.09089743589</v>
      </c>
      <c r="G11" s="347">
        <f t="shared" si="1"/>
        <v>7.7486609370381938</v>
      </c>
      <c r="H11" s="74">
        <f t="shared" si="2"/>
        <v>392730.85000000003</v>
      </c>
    </row>
    <row r="12" spans="1:8" x14ac:dyDescent="0.25">
      <c r="A12" s="61">
        <f>'A) Base RI'!A14</f>
        <v>5408</v>
      </c>
      <c r="B12" s="114" t="str">
        <f>'A) Base RI'!B14</f>
        <v>Noville</v>
      </c>
      <c r="C12" s="14">
        <f>'B) D RI'!Y14</f>
        <v>243106.25</v>
      </c>
      <c r="D12" s="19">
        <f>'B) D RI'!Z14</f>
        <v>71128.55</v>
      </c>
      <c r="E12" s="14">
        <f t="shared" si="0"/>
        <v>314234.8</v>
      </c>
      <c r="F12" s="19">
        <f>'B) D RI'!U14</f>
        <v>34745.229256900217</v>
      </c>
      <c r="G12" s="347">
        <f t="shared" si="1"/>
        <v>9.0439696821857822</v>
      </c>
      <c r="H12" s="74">
        <f t="shared" si="2"/>
        <v>142891.69</v>
      </c>
    </row>
    <row r="13" spans="1:8" x14ac:dyDescent="0.25">
      <c r="A13" s="61">
        <f>'A) Base RI'!A15</f>
        <v>5409</v>
      </c>
      <c r="B13" s="114" t="str">
        <f>'A) Base RI'!B15</f>
        <v>Ollon</v>
      </c>
      <c r="C13" s="14">
        <f>'B) D RI'!Y15</f>
        <v>3282233.6</v>
      </c>
      <c r="D13" s="19">
        <f>'B) D RI'!Z15</f>
        <v>49965.8</v>
      </c>
      <c r="E13" s="14">
        <f t="shared" si="0"/>
        <v>3332199.4</v>
      </c>
      <c r="F13" s="19">
        <f>'B) D RI'!U15</f>
        <v>485365.10493778286</v>
      </c>
      <c r="G13" s="347">
        <f t="shared" si="1"/>
        <v>6.8653460376537412</v>
      </c>
      <c r="H13" s="74">
        <f t="shared" si="2"/>
        <v>1656106.54</v>
      </c>
    </row>
    <row r="14" spans="1:8" x14ac:dyDescent="0.25">
      <c r="A14" s="61">
        <f>'A) Base RI'!A16</f>
        <v>5410</v>
      </c>
      <c r="B14" s="114" t="str">
        <f>'A) Base RI'!B16</f>
        <v>Ormont-Dessous</v>
      </c>
      <c r="C14" s="14">
        <f>'B) D RI'!Y16</f>
        <v>327509.80000000005</v>
      </c>
      <c r="D14" s="19">
        <f>'B) D RI'!Z16</f>
        <v>0</v>
      </c>
      <c r="E14" s="14">
        <f t="shared" si="0"/>
        <v>327509.80000000005</v>
      </c>
      <c r="F14" s="19">
        <f>'B) D RI'!U16</f>
        <v>35234.198174097655</v>
      </c>
      <c r="G14" s="347">
        <f t="shared" si="1"/>
        <v>9.2952250078665948</v>
      </c>
      <c r="H14" s="74">
        <f t="shared" si="2"/>
        <v>163754.90000000002</v>
      </c>
    </row>
    <row r="15" spans="1:8" x14ac:dyDescent="0.25">
      <c r="A15" s="61">
        <f>'A) Base RI'!A17</f>
        <v>5411</v>
      </c>
      <c r="B15" s="114" t="str">
        <f>'A) Base RI'!B17</f>
        <v>Ormont-Dessus</v>
      </c>
      <c r="C15" s="14">
        <f>'B) D RI'!Y17</f>
        <v>512606.95</v>
      </c>
      <c r="D15" s="19">
        <f>'B) D RI'!Z17</f>
        <v>4683.3</v>
      </c>
      <c r="E15" s="14">
        <f t="shared" si="0"/>
        <v>517290.25</v>
      </c>
      <c r="F15" s="19">
        <f>'B) D RI'!U17</f>
        <v>71790.213859649128</v>
      </c>
      <c r="G15" s="347">
        <f t="shared" si="1"/>
        <v>7.2055816829200383</v>
      </c>
      <c r="H15" s="74">
        <f t="shared" si="2"/>
        <v>257708.465</v>
      </c>
    </row>
    <row r="16" spans="1:8" x14ac:dyDescent="0.25">
      <c r="A16" s="61">
        <f>'A) Base RI'!A18</f>
        <v>5412</v>
      </c>
      <c r="B16" s="114" t="str">
        <f>'A) Base RI'!B18</f>
        <v>Rennaz</v>
      </c>
      <c r="C16" s="14">
        <f>'B) D RI'!Y18</f>
        <v>128335.34999999999</v>
      </c>
      <c r="D16" s="19">
        <f>'B) D RI'!Z18</f>
        <v>92887.85</v>
      </c>
      <c r="E16" s="14">
        <f t="shared" si="0"/>
        <v>221223.2</v>
      </c>
      <c r="F16" s="19">
        <f>'B) D RI'!U18</f>
        <v>26501.739703703701</v>
      </c>
      <c r="G16" s="347">
        <f t="shared" si="1"/>
        <v>8.347497276530996</v>
      </c>
      <c r="H16" s="74">
        <f t="shared" si="2"/>
        <v>92034.03</v>
      </c>
    </row>
    <row r="17" spans="1:8" x14ac:dyDescent="0.25">
      <c r="A17" s="61">
        <f>'A) Base RI'!A19</f>
        <v>5413</v>
      </c>
      <c r="B17" s="114" t="str">
        <f>'A) Base RI'!B19</f>
        <v>Roche</v>
      </c>
      <c r="C17" s="14">
        <f>'B) D RI'!Y19</f>
        <v>216291.84999999998</v>
      </c>
      <c r="D17" s="19">
        <f>'B) D RI'!Z19</f>
        <v>208419.15</v>
      </c>
      <c r="E17" s="14">
        <f t="shared" si="0"/>
        <v>424711</v>
      </c>
      <c r="F17" s="19">
        <f>'B) D RI'!U19</f>
        <v>34861.221617647054</v>
      </c>
      <c r="G17" s="347">
        <f t="shared" si="1"/>
        <v>12.182906401220535</v>
      </c>
      <c r="H17" s="74">
        <f t="shared" si="2"/>
        <v>170671.66999999998</v>
      </c>
    </row>
    <row r="18" spans="1:8" x14ac:dyDescent="0.25">
      <c r="A18" s="61">
        <f>'A) Base RI'!A20</f>
        <v>5414</v>
      </c>
      <c r="B18" s="114" t="str">
        <f>'A) Base RI'!B20</f>
        <v>Villeneuve</v>
      </c>
      <c r="C18" s="14">
        <f>'B) D RI'!Y20</f>
        <v>1384403.5</v>
      </c>
      <c r="D18" s="19">
        <f>'B) D RI'!Z20</f>
        <v>772343.75</v>
      </c>
      <c r="E18" s="14">
        <f t="shared" si="0"/>
        <v>2156747.25</v>
      </c>
      <c r="F18" s="19">
        <f>'B) D RI'!U20</f>
        <v>168009.32057971013</v>
      </c>
      <c r="G18" s="347">
        <f t="shared" si="1"/>
        <v>12.8370690540157</v>
      </c>
      <c r="H18" s="74">
        <f t="shared" si="2"/>
        <v>923904.875</v>
      </c>
    </row>
    <row r="19" spans="1:8" x14ac:dyDescent="0.25">
      <c r="A19" s="61">
        <f>'A) Base RI'!A21</f>
        <v>5415</v>
      </c>
      <c r="B19" s="114" t="str">
        <f>'A) Base RI'!B21</f>
        <v>Yvorne</v>
      </c>
      <c r="C19" s="14">
        <f>'B) D RI'!Y21</f>
        <v>129055.7</v>
      </c>
      <c r="D19" s="19">
        <f>'B) D RI'!Z21</f>
        <v>38421.300000000003</v>
      </c>
      <c r="E19" s="14">
        <f t="shared" si="0"/>
        <v>167477</v>
      </c>
      <c r="F19" s="19">
        <f>'B) D RI'!U21</f>
        <v>43055.973722627736</v>
      </c>
      <c r="G19" s="347">
        <f t="shared" si="1"/>
        <v>3.8897506087984199</v>
      </c>
      <c r="H19" s="74">
        <f t="shared" si="2"/>
        <v>76054.240000000005</v>
      </c>
    </row>
    <row r="20" spans="1:8" x14ac:dyDescent="0.25">
      <c r="A20" s="61">
        <f>'A) Base RI'!A22</f>
        <v>5421</v>
      </c>
      <c r="B20" s="114" t="str">
        <f>'A) Base RI'!B22</f>
        <v>Apples</v>
      </c>
      <c r="C20" s="14">
        <f>'B) D RI'!Y22</f>
        <v>592923.05000000005</v>
      </c>
      <c r="D20" s="19">
        <f>'B) D RI'!Z22</f>
        <v>21306.2</v>
      </c>
      <c r="E20" s="14">
        <f t="shared" si="0"/>
        <v>614229.25</v>
      </c>
      <c r="F20" s="19">
        <f>'B) D RI'!U22</f>
        <v>57391.691408450701</v>
      </c>
      <c r="G20" s="347">
        <f t="shared" si="1"/>
        <v>10.702407176477763</v>
      </c>
      <c r="H20" s="74">
        <f t="shared" si="2"/>
        <v>302853.38500000001</v>
      </c>
    </row>
    <row r="21" spans="1:8" x14ac:dyDescent="0.25">
      <c r="A21" s="61">
        <f>'A) Base RI'!A23</f>
        <v>5422</v>
      </c>
      <c r="B21" s="114" t="str">
        <f>'A) Base RI'!B23</f>
        <v>Aubonne</v>
      </c>
      <c r="C21" s="14">
        <f>'B) D RI'!Y23</f>
        <v>1153010.2000000002</v>
      </c>
      <c r="D21" s="19">
        <f>'B) D RI'!Z23</f>
        <v>474225</v>
      </c>
      <c r="E21" s="14">
        <f t="shared" si="0"/>
        <v>1627235.2000000002</v>
      </c>
      <c r="F21" s="19">
        <f>'B) D RI'!U23</f>
        <v>231550.9032352941</v>
      </c>
      <c r="G21" s="347">
        <f t="shared" si="1"/>
        <v>7.0275484883186117</v>
      </c>
      <c r="H21" s="74">
        <f t="shared" si="2"/>
        <v>718772.60000000009</v>
      </c>
    </row>
    <row r="22" spans="1:8" x14ac:dyDescent="0.25">
      <c r="A22" s="61">
        <f>'A) Base RI'!A24</f>
        <v>5423</v>
      </c>
      <c r="B22" s="114" t="str">
        <f>'A) Base RI'!B24</f>
        <v>Ballens</v>
      </c>
      <c r="C22" s="14">
        <f>'B) D RI'!Y24</f>
        <v>57527.700000000004</v>
      </c>
      <c r="D22" s="19">
        <f>'B) D RI'!Z24</f>
        <v>13307.25</v>
      </c>
      <c r="E22" s="14">
        <f t="shared" si="0"/>
        <v>70834.950000000012</v>
      </c>
      <c r="F22" s="19">
        <f>'B) D RI'!U24</f>
        <v>18689.408115942024</v>
      </c>
      <c r="G22" s="347">
        <f t="shared" si="1"/>
        <v>3.7901120014377532</v>
      </c>
      <c r="H22" s="74">
        <f t="shared" si="2"/>
        <v>32756.025000000001</v>
      </c>
    </row>
    <row r="23" spans="1:8" x14ac:dyDescent="0.25">
      <c r="A23" s="61">
        <f>'A) Base RI'!A25</f>
        <v>5424</v>
      </c>
      <c r="B23" s="114" t="str">
        <f>'A) Base RI'!B25</f>
        <v>Berolle</v>
      </c>
      <c r="C23" s="14">
        <f>'B) D RI'!Y25</f>
        <v>51983.1</v>
      </c>
      <c r="D23" s="19">
        <f>'B) D RI'!Z25</f>
        <v>0</v>
      </c>
      <c r="E23" s="14">
        <f t="shared" si="0"/>
        <v>51983.1</v>
      </c>
      <c r="F23" s="19">
        <f>'B) D RI'!U25</f>
        <v>9360.1262337662338</v>
      </c>
      <c r="G23" s="347">
        <f t="shared" si="1"/>
        <v>5.5536751002858598</v>
      </c>
      <c r="H23" s="74">
        <f t="shared" si="2"/>
        <v>25991.55</v>
      </c>
    </row>
    <row r="24" spans="1:8" x14ac:dyDescent="0.25">
      <c r="A24" s="61">
        <f>'A) Base RI'!A26</f>
        <v>5425</v>
      </c>
      <c r="B24" s="114" t="str">
        <f>'A) Base RI'!B26</f>
        <v>Bière</v>
      </c>
      <c r="C24" s="14">
        <f>'B) D RI'!Y26</f>
        <v>206811.45</v>
      </c>
      <c r="D24" s="19">
        <f>'B) D RI'!Z26</f>
        <v>37180.1</v>
      </c>
      <c r="E24" s="14">
        <f t="shared" si="0"/>
        <v>243991.55000000002</v>
      </c>
      <c r="F24" s="19">
        <f>'B) D RI'!U26</f>
        <v>40787.403970588231</v>
      </c>
      <c r="G24" s="347">
        <f t="shared" si="1"/>
        <v>5.982031859049969</v>
      </c>
      <c r="H24" s="74">
        <f t="shared" si="2"/>
        <v>114559.755</v>
      </c>
    </row>
    <row r="25" spans="1:8" x14ac:dyDescent="0.25">
      <c r="A25" s="61">
        <f>'A) Base RI'!A27</f>
        <v>5426</v>
      </c>
      <c r="B25" s="114" t="str">
        <f>'A) Base RI'!B27</f>
        <v>Bougy-Villars</v>
      </c>
      <c r="C25" s="14">
        <f>'B) D RI'!Y27</f>
        <v>238675.25</v>
      </c>
      <c r="D25" s="19">
        <f>'B) D RI'!Z27</f>
        <v>15206.55</v>
      </c>
      <c r="E25" s="14">
        <f t="shared" si="0"/>
        <v>253881.8</v>
      </c>
      <c r="F25" s="19">
        <f>'B) D RI'!U27</f>
        <v>42113.452258064506</v>
      </c>
      <c r="G25" s="347">
        <f t="shared" si="1"/>
        <v>6.0285202562889619</v>
      </c>
      <c r="H25" s="74">
        <f t="shared" si="2"/>
        <v>123899.59</v>
      </c>
    </row>
    <row r="26" spans="1:8" x14ac:dyDescent="0.25">
      <c r="A26" s="61">
        <f>'A) Base RI'!A28</f>
        <v>5427</v>
      </c>
      <c r="B26" s="114" t="str">
        <f>'A) Base RI'!B28</f>
        <v>Féchy</v>
      </c>
      <c r="C26" s="14">
        <f>'B) D RI'!Y28</f>
        <v>239657.59999999998</v>
      </c>
      <c r="D26" s="19">
        <f>'B) D RI'!Z28</f>
        <v>8714.9</v>
      </c>
      <c r="E26" s="14">
        <f t="shared" si="0"/>
        <v>248372.49999999997</v>
      </c>
      <c r="F26" s="19">
        <f>'B) D RI'!U28</f>
        <v>64357.078870192301</v>
      </c>
      <c r="G26" s="347">
        <f t="shared" si="1"/>
        <v>3.8592879658345782</v>
      </c>
      <c r="H26" s="74">
        <f t="shared" si="2"/>
        <v>122443.26999999999</v>
      </c>
    </row>
    <row r="27" spans="1:8" x14ac:dyDescent="0.25">
      <c r="A27" s="61">
        <f>'A) Base RI'!A29</f>
        <v>5428</v>
      </c>
      <c r="B27" s="114" t="str">
        <f>'A) Base RI'!B29</f>
        <v>Gimel</v>
      </c>
      <c r="C27" s="14">
        <f>'B) D RI'!Y29</f>
        <v>404764.10000000003</v>
      </c>
      <c r="D27" s="19">
        <f>'B) D RI'!Z29</f>
        <v>225987.15</v>
      </c>
      <c r="E27" s="14">
        <f t="shared" si="0"/>
        <v>630751.25</v>
      </c>
      <c r="F27" s="19">
        <f>'B) D RI'!U29</f>
        <v>57546.053752913758</v>
      </c>
      <c r="G27" s="347">
        <f t="shared" si="1"/>
        <v>10.960808063542721</v>
      </c>
      <c r="H27" s="74">
        <f t="shared" si="2"/>
        <v>270178.19500000001</v>
      </c>
    </row>
    <row r="28" spans="1:8" x14ac:dyDescent="0.25">
      <c r="A28" s="61">
        <f>'A) Base RI'!A30</f>
        <v>5429</v>
      </c>
      <c r="B28" s="114" t="str">
        <f>'A) Base RI'!B30</f>
        <v>Longirod</v>
      </c>
      <c r="C28" s="14">
        <f>'B) D RI'!Y30</f>
        <v>69037.55</v>
      </c>
      <c r="D28" s="19">
        <f>'B) D RI'!Z30</f>
        <v>0</v>
      </c>
      <c r="E28" s="14">
        <f t="shared" si="0"/>
        <v>69037.55</v>
      </c>
      <c r="F28" s="19">
        <f>'B) D RI'!U30</f>
        <v>13645.142716049384</v>
      </c>
      <c r="G28" s="347">
        <f t="shared" si="1"/>
        <v>5.059496367069741</v>
      </c>
      <c r="H28" s="74">
        <f t="shared" si="2"/>
        <v>34518.775000000001</v>
      </c>
    </row>
    <row r="29" spans="1:8" x14ac:dyDescent="0.25">
      <c r="A29" s="61">
        <f>'A) Base RI'!A31</f>
        <v>5430</v>
      </c>
      <c r="B29" s="114" t="str">
        <f>'A) Base RI'!B31</f>
        <v>Marchissy</v>
      </c>
      <c r="C29" s="14">
        <f>'B) D RI'!Y31</f>
        <v>187349.2</v>
      </c>
      <c r="D29" s="19">
        <f>'B) D RI'!Z31</f>
        <v>14332.65</v>
      </c>
      <c r="E29" s="14">
        <f t="shared" si="0"/>
        <v>201681.85</v>
      </c>
      <c r="F29" s="19">
        <f>'B) D RI'!U31</f>
        <v>12901.686543209877</v>
      </c>
      <c r="G29" s="347">
        <f t="shared" si="1"/>
        <v>15.632208186467267</v>
      </c>
      <c r="H29" s="74">
        <f t="shared" si="2"/>
        <v>97974.395000000004</v>
      </c>
    </row>
    <row r="30" spans="1:8" x14ac:dyDescent="0.25">
      <c r="A30" s="61">
        <f>'A) Base RI'!A32</f>
        <v>5431</v>
      </c>
      <c r="B30" s="114" t="str">
        <f>'A) Base RI'!B32</f>
        <v>Mollens</v>
      </c>
      <c r="C30" s="14">
        <f>'B) D RI'!Y32</f>
        <v>37411.599999999999</v>
      </c>
      <c r="D30" s="19">
        <f>'B) D RI'!Z32</f>
        <v>0</v>
      </c>
      <c r="E30" s="14">
        <f t="shared" si="0"/>
        <v>37411.599999999999</v>
      </c>
      <c r="F30" s="19">
        <f>'B) D RI'!U32</f>
        <v>8965.3154054054066</v>
      </c>
      <c r="G30" s="347">
        <f t="shared" si="1"/>
        <v>4.1729262505860794</v>
      </c>
      <c r="H30" s="74">
        <f t="shared" si="2"/>
        <v>18705.8</v>
      </c>
    </row>
    <row r="31" spans="1:8" x14ac:dyDescent="0.25">
      <c r="A31" s="61">
        <f>'A) Base RI'!A33</f>
        <v>5432</v>
      </c>
      <c r="B31" s="114" t="str">
        <f>'A) Base RI'!B33</f>
        <v>Montherod</v>
      </c>
      <c r="C31" s="14">
        <f>'B) D RI'!Y33</f>
        <v>162139.75</v>
      </c>
      <c r="D31" s="19">
        <f>'B) D RI'!Z33</f>
        <v>14943.5</v>
      </c>
      <c r="E31" s="14">
        <f t="shared" si="0"/>
        <v>177083.25</v>
      </c>
      <c r="F31" s="19">
        <f>'B) D RI'!U33</f>
        <v>18938.674054054052</v>
      </c>
      <c r="G31" s="347">
        <f t="shared" si="1"/>
        <v>9.3503510063363269</v>
      </c>
      <c r="H31" s="74">
        <f t="shared" si="2"/>
        <v>85552.925000000003</v>
      </c>
    </row>
    <row r="32" spans="1:8" x14ac:dyDescent="0.25">
      <c r="A32" s="61">
        <f>'A) Base RI'!A34</f>
        <v>5434</v>
      </c>
      <c r="B32" s="114" t="str">
        <f>'A) Base RI'!B34</f>
        <v>Saint-George</v>
      </c>
      <c r="C32" s="14">
        <f>'B) D RI'!Y34</f>
        <v>250674.19999999998</v>
      </c>
      <c r="D32" s="19">
        <f>'B) D RI'!Z34</f>
        <v>34403.599999999999</v>
      </c>
      <c r="E32" s="14">
        <f t="shared" si="0"/>
        <v>285077.8</v>
      </c>
      <c r="F32" s="19">
        <f>'B) D RI'!U34</f>
        <v>33015.772116788328</v>
      </c>
      <c r="G32" s="347">
        <f t="shared" si="1"/>
        <v>8.6345943687635156</v>
      </c>
      <c r="H32" s="74">
        <f t="shared" si="2"/>
        <v>135658.18</v>
      </c>
    </row>
    <row r="33" spans="1:8" x14ac:dyDescent="0.25">
      <c r="A33" s="61">
        <f>'A) Base RI'!A35</f>
        <v>5435</v>
      </c>
      <c r="B33" s="114" t="str">
        <f>'A) Base RI'!B35</f>
        <v>Saint-Livres</v>
      </c>
      <c r="C33" s="14">
        <f>'B) D RI'!Y35</f>
        <v>29734.05</v>
      </c>
      <c r="D33" s="19">
        <f>'B) D RI'!Z35</f>
        <v>0</v>
      </c>
      <c r="E33" s="14">
        <f t="shared" si="0"/>
        <v>29734.05</v>
      </c>
      <c r="F33" s="19">
        <f>'B) D RI'!U35</f>
        <v>24335.25550724638</v>
      </c>
      <c r="G33" s="347">
        <f t="shared" si="1"/>
        <v>1.2218507420703268</v>
      </c>
      <c r="H33" s="74">
        <f t="shared" si="2"/>
        <v>14867.025</v>
      </c>
    </row>
    <row r="34" spans="1:8" x14ac:dyDescent="0.25">
      <c r="A34" s="61">
        <f>'A) Base RI'!A36</f>
        <v>5436</v>
      </c>
      <c r="B34" s="114" t="str">
        <f>'A) Base RI'!B36</f>
        <v>Saint-Oyens</v>
      </c>
      <c r="C34" s="14">
        <f>'B) D RI'!Y36</f>
        <v>77147.950000000012</v>
      </c>
      <c r="D34" s="19">
        <f>'B) D RI'!Z36</f>
        <v>0</v>
      </c>
      <c r="E34" s="14">
        <f t="shared" si="0"/>
        <v>77147.950000000012</v>
      </c>
      <c r="F34" s="19">
        <f>'B) D RI'!U36</f>
        <v>9937.7678395061721</v>
      </c>
      <c r="G34" s="347">
        <f t="shared" si="1"/>
        <v>7.763106488894759</v>
      </c>
      <c r="H34" s="74">
        <f t="shared" si="2"/>
        <v>38573.975000000006</v>
      </c>
    </row>
    <row r="35" spans="1:8" x14ac:dyDescent="0.25">
      <c r="A35" s="61">
        <f>'A) Base RI'!A37</f>
        <v>5437</v>
      </c>
      <c r="B35" s="114" t="str">
        <f>'A) Base RI'!B37</f>
        <v>Saubraz</v>
      </c>
      <c r="C35" s="14">
        <f>'B) D RI'!Y37</f>
        <v>248414.15</v>
      </c>
      <c r="D35" s="19">
        <f>'B) D RI'!Z37</f>
        <v>0</v>
      </c>
      <c r="E35" s="14">
        <f t="shared" si="0"/>
        <v>248414.15</v>
      </c>
      <c r="F35" s="19">
        <f>'B) D RI'!U37</f>
        <v>9144.65614457831</v>
      </c>
      <c r="G35" s="347">
        <f t="shared" si="1"/>
        <v>27.164952522274984</v>
      </c>
      <c r="H35" s="74">
        <f t="shared" si="2"/>
        <v>124207.075</v>
      </c>
    </row>
    <row r="36" spans="1:8" x14ac:dyDescent="0.25">
      <c r="A36" s="61">
        <f>'A) Base RI'!A38</f>
        <v>5451</v>
      </c>
      <c r="B36" s="114" t="str">
        <f>'A) Base RI'!B38</f>
        <v>Avenches</v>
      </c>
      <c r="C36" s="14">
        <f>'B) D RI'!Y38</f>
        <v>525809.64999999991</v>
      </c>
      <c r="D36" s="19">
        <f>'B) D RI'!Z38</f>
        <v>596347.94999999995</v>
      </c>
      <c r="E36" s="14">
        <f t="shared" si="0"/>
        <v>1122157.5999999999</v>
      </c>
      <c r="F36" s="19">
        <f>'B) D RI'!U38</f>
        <v>102028.81651960785</v>
      </c>
      <c r="G36" s="347">
        <f t="shared" si="1"/>
        <v>10.998437875483384</v>
      </c>
      <c r="H36" s="74">
        <f t="shared" si="2"/>
        <v>441809.20999999996</v>
      </c>
    </row>
    <row r="37" spans="1:8" x14ac:dyDescent="0.25">
      <c r="A37" s="61">
        <f>'A) Base RI'!A39</f>
        <v>5456</v>
      </c>
      <c r="B37" s="114" t="str">
        <f>'A) Base RI'!B39</f>
        <v>Cudrefin</v>
      </c>
      <c r="C37" s="14">
        <f>'B) D RI'!Y39</f>
        <v>768228.55</v>
      </c>
      <c r="D37" s="19">
        <f>'B) D RI'!Z39</f>
        <v>0</v>
      </c>
      <c r="E37" s="14">
        <f t="shared" si="0"/>
        <v>768228.55</v>
      </c>
      <c r="F37" s="19">
        <f>'B) D RI'!U39</f>
        <v>45272.368813559326</v>
      </c>
      <c r="G37" s="347">
        <f t="shared" si="1"/>
        <v>16.969038071847287</v>
      </c>
      <c r="H37" s="74">
        <f t="shared" si="2"/>
        <v>384114.27500000002</v>
      </c>
    </row>
    <row r="38" spans="1:8" x14ac:dyDescent="0.25">
      <c r="A38" s="61">
        <f>'A) Base RI'!A40</f>
        <v>5458</v>
      </c>
      <c r="B38" s="114" t="str">
        <f>'A) Base RI'!B40</f>
        <v>Faoug</v>
      </c>
      <c r="C38" s="14">
        <f>'B) D RI'!Y40</f>
        <v>180410.9</v>
      </c>
      <c r="D38" s="19">
        <f>'B) D RI'!Z40</f>
        <v>0</v>
      </c>
      <c r="E38" s="14">
        <f t="shared" si="0"/>
        <v>180410.9</v>
      </c>
      <c r="F38" s="19">
        <f>'B) D RI'!U40</f>
        <v>28143.986721311474</v>
      </c>
      <c r="G38" s="347">
        <f t="shared" si="1"/>
        <v>6.4102823024496178</v>
      </c>
      <c r="H38" s="74">
        <f t="shared" si="2"/>
        <v>90205.45</v>
      </c>
    </row>
    <row r="39" spans="1:8" x14ac:dyDescent="0.25">
      <c r="A39" s="61">
        <f>'A) Base RI'!A41</f>
        <v>5464</v>
      </c>
      <c r="B39" s="114" t="str">
        <f>'A) Base RI'!B41</f>
        <v>Vully-les-Lacs</v>
      </c>
      <c r="C39" s="14">
        <f>'B) D RI'!Y41</f>
        <v>744761.7</v>
      </c>
      <c r="D39" s="19">
        <f>'B) D RI'!Z41</f>
        <v>0</v>
      </c>
      <c r="E39" s="14">
        <f t="shared" si="0"/>
        <v>744761.7</v>
      </c>
      <c r="F39" s="19">
        <f>'B) D RI'!U41</f>
        <v>96865.968557213928</v>
      </c>
      <c r="G39" s="347">
        <f t="shared" si="1"/>
        <v>7.6885794990023371</v>
      </c>
      <c r="H39" s="74">
        <f t="shared" si="2"/>
        <v>372380.85</v>
      </c>
    </row>
    <row r="40" spans="1:8" x14ac:dyDescent="0.25">
      <c r="A40" s="61">
        <f>'A) Base RI'!A42</f>
        <v>5471</v>
      </c>
      <c r="B40" s="114" t="str">
        <f>'A) Base RI'!B42</f>
        <v>Bettens</v>
      </c>
      <c r="C40" s="14">
        <f>'B) D RI'!Y42</f>
        <v>125861.09999999999</v>
      </c>
      <c r="D40" s="19">
        <f>'B) D RI'!Z42</f>
        <v>2335.65</v>
      </c>
      <c r="E40" s="14">
        <f t="shared" si="0"/>
        <v>128196.74999999999</v>
      </c>
      <c r="F40" s="19">
        <f>'B) D RI'!U42</f>
        <v>18168.257063492067</v>
      </c>
      <c r="G40" s="347">
        <f t="shared" si="1"/>
        <v>7.0560841115355544</v>
      </c>
      <c r="H40" s="74">
        <f t="shared" si="2"/>
        <v>63631.244999999995</v>
      </c>
    </row>
    <row r="41" spans="1:8" x14ac:dyDescent="0.25">
      <c r="A41" s="61">
        <f>'A) Base RI'!A43</f>
        <v>5472</v>
      </c>
      <c r="B41" s="114" t="str">
        <f>'A) Base RI'!B43</f>
        <v>Bournens</v>
      </c>
      <c r="C41" s="14">
        <f>'B) D RI'!Y43</f>
        <v>101901.6</v>
      </c>
      <c r="D41" s="19">
        <f>'B) D RI'!Z43</f>
        <v>0</v>
      </c>
      <c r="E41" s="14">
        <f t="shared" si="0"/>
        <v>101901.6</v>
      </c>
      <c r="F41" s="19">
        <f>'B) D RI'!U43</f>
        <v>13213.617875</v>
      </c>
      <c r="G41" s="347">
        <f t="shared" si="1"/>
        <v>7.7118621836943353</v>
      </c>
      <c r="H41" s="74">
        <f t="shared" si="2"/>
        <v>50950.8</v>
      </c>
    </row>
    <row r="42" spans="1:8" x14ac:dyDescent="0.25">
      <c r="A42" s="61">
        <f>'A) Base RI'!A44</f>
        <v>5473</v>
      </c>
      <c r="B42" s="114" t="str">
        <f>'A) Base RI'!B44</f>
        <v>Boussens</v>
      </c>
      <c r="C42" s="14">
        <f>'B) D RI'!Y44</f>
        <v>39565.350000000006</v>
      </c>
      <c r="D42" s="19">
        <f>'B) D RI'!Z44</f>
        <v>0</v>
      </c>
      <c r="E42" s="14">
        <f t="shared" si="0"/>
        <v>39565.350000000006</v>
      </c>
      <c r="F42" s="19">
        <f>'B) D RI'!U44</f>
        <v>33007.750579710155</v>
      </c>
      <c r="G42" s="347">
        <f t="shared" si="1"/>
        <v>1.1986684734681921</v>
      </c>
      <c r="H42" s="74">
        <f t="shared" si="2"/>
        <v>19782.675000000003</v>
      </c>
    </row>
    <row r="43" spans="1:8" x14ac:dyDescent="0.25">
      <c r="A43" s="61">
        <f>'A) Base RI'!A45</f>
        <v>5474</v>
      </c>
      <c r="B43" s="114" t="str">
        <f>'A) Base RI'!B45</f>
        <v>La Chaux (Cossonay)</v>
      </c>
      <c r="C43" s="14">
        <f>'B) D RI'!Y45</f>
        <v>-14762.7</v>
      </c>
      <c r="D43" s="19">
        <f>'B) D RI'!Z45</f>
        <v>0</v>
      </c>
      <c r="E43" s="14">
        <f t="shared" si="0"/>
        <v>-14762.7</v>
      </c>
      <c r="F43" s="19">
        <f>'B) D RI'!U45</f>
        <v>12690.44829004329</v>
      </c>
      <c r="G43" s="347">
        <f t="shared" si="1"/>
        <v>-1.1632922385872344</v>
      </c>
      <c r="H43" s="74">
        <f t="shared" si="2"/>
        <v>-7381.35</v>
      </c>
    </row>
    <row r="44" spans="1:8" x14ac:dyDescent="0.25">
      <c r="A44" s="61">
        <f>'A) Base RI'!A46</f>
        <v>5475</v>
      </c>
      <c r="B44" s="114" t="str">
        <f>'A) Base RI'!B46</f>
        <v>Chavannes-le-Veyron</v>
      </c>
      <c r="C44" s="14">
        <f>'B) D RI'!Y46</f>
        <v>3649.25</v>
      </c>
      <c r="D44" s="19">
        <f>'B) D RI'!Z46</f>
        <v>0</v>
      </c>
      <c r="E44" s="14">
        <f t="shared" si="0"/>
        <v>3649.25</v>
      </c>
      <c r="F44" s="19">
        <f>'B) D RI'!U46</f>
        <v>2750.1545454545449</v>
      </c>
      <c r="G44" s="347">
        <f t="shared" si="1"/>
        <v>1.3269254289841566</v>
      </c>
      <c r="H44" s="74">
        <f t="shared" si="2"/>
        <v>1824.625</v>
      </c>
    </row>
    <row r="45" spans="1:8" x14ac:dyDescent="0.25">
      <c r="A45" s="61">
        <f>'A) Base RI'!A47</f>
        <v>5476</v>
      </c>
      <c r="B45" s="114" t="str">
        <f>'A) Base RI'!B47</f>
        <v>Chevilly</v>
      </c>
      <c r="C45" s="14">
        <f>'B) D RI'!Y47</f>
        <v>75294.25</v>
      </c>
      <c r="D45" s="19">
        <f>'B) D RI'!Z47</f>
        <v>2996.05</v>
      </c>
      <c r="E45" s="14">
        <f t="shared" si="0"/>
        <v>78290.3</v>
      </c>
      <c r="F45" s="19">
        <f>'B) D RI'!U47</f>
        <v>7887.6179729729729</v>
      </c>
      <c r="G45" s="347">
        <f t="shared" si="1"/>
        <v>9.9257215889845014</v>
      </c>
      <c r="H45" s="74">
        <f t="shared" si="2"/>
        <v>38545.94</v>
      </c>
    </row>
    <row r="46" spans="1:8" x14ac:dyDescent="0.25">
      <c r="A46" s="61">
        <f>'A) Base RI'!A48</f>
        <v>5477</v>
      </c>
      <c r="B46" s="114" t="str">
        <f>'A) Base RI'!B48</f>
        <v>Cossonay</v>
      </c>
      <c r="C46" s="14">
        <f>'B) D RI'!Y48</f>
        <v>727366.2</v>
      </c>
      <c r="D46" s="19">
        <f>'B) D RI'!Z48</f>
        <v>78698.25</v>
      </c>
      <c r="E46" s="14">
        <f t="shared" si="0"/>
        <v>806064.45</v>
      </c>
      <c r="F46" s="19">
        <f>'B) D RI'!U48</f>
        <v>120589.74256854257</v>
      </c>
      <c r="G46" s="347">
        <f t="shared" si="1"/>
        <v>6.6843533523743712</v>
      </c>
      <c r="H46" s="74">
        <f t="shared" si="2"/>
        <v>387292.57499999995</v>
      </c>
    </row>
    <row r="47" spans="1:8" x14ac:dyDescent="0.25">
      <c r="A47" s="61">
        <f>'A) Base RI'!A49</f>
        <v>5478</v>
      </c>
      <c r="B47" s="114" t="str">
        <f>'A) Base RI'!B49</f>
        <v>Cottens</v>
      </c>
      <c r="C47" s="14">
        <f>'B) D RI'!Y49</f>
        <v>27472.85</v>
      </c>
      <c r="D47" s="19">
        <f>'B) D RI'!Z49</f>
        <v>0</v>
      </c>
      <c r="E47" s="14">
        <f t="shared" si="0"/>
        <v>27472.85</v>
      </c>
      <c r="F47" s="19">
        <f>'B) D RI'!U49</f>
        <v>15464.23347222222</v>
      </c>
      <c r="G47" s="347">
        <f t="shared" si="1"/>
        <v>1.7765413364554004</v>
      </c>
      <c r="H47" s="74">
        <f t="shared" si="2"/>
        <v>13736.424999999999</v>
      </c>
    </row>
    <row r="48" spans="1:8" x14ac:dyDescent="0.25">
      <c r="A48" s="61">
        <f>'A) Base RI'!A50</f>
        <v>5479</v>
      </c>
      <c r="B48" s="114" t="str">
        <f>'A) Base RI'!B50</f>
        <v>Cuarnens</v>
      </c>
      <c r="C48" s="14">
        <f>'B) D RI'!Y50</f>
        <v>15178.750000000002</v>
      </c>
      <c r="D48" s="19">
        <f>'B) D RI'!Z50</f>
        <v>1482.8</v>
      </c>
      <c r="E48" s="14">
        <f t="shared" si="0"/>
        <v>16661.550000000003</v>
      </c>
      <c r="F48" s="19">
        <f>'B) D RI'!U50</f>
        <v>11805.525064935064</v>
      </c>
      <c r="G48" s="347">
        <f t="shared" si="1"/>
        <v>1.4113349392216676</v>
      </c>
      <c r="H48" s="74">
        <f t="shared" si="2"/>
        <v>8034.2150000000011</v>
      </c>
    </row>
    <row r="49" spans="1:8" x14ac:dyDescent="0.25">
      <c r="A49" s="61">
        <f>'A) Base RI'!A51</f>
        <v>5480</v>
      </c>
      <c r="B49" s="114" t="str">
        <f>'A) Base RI'!B51</f>
        <v>Daillens</v>
      </c>
      <c r="C49" s="14">
        <f>'B) D RI'!Y51</f>
        <v>254516.5</v>
      </c>
      <c r="D49" s="19">
        <f>'B) D RI'!Z51</f>
        <v>161064.79999999999</v>
      </c>
      <c r="E49" s="14">
        <f t="shared" si="0"/>
        <v>415581.3</v>
      </c>
      <c r="F49" s="19">
        <f>'B) D RI'!U51</f>
        <v>42113.849718309852</v>
      </c>
      <c r="G49" s="347">
        <f t="shared" si="1"/>
        <v>9.8680434769020309</v>
      </c>
      <c r="H49" s="74">
        <f t="shared" si="2"/>
        <v>175577.69</v>
      </c>
    </row>
    <row r="50" spans="1:8" x14ac:dyDescent="0.25">
      <c r="A50" s="61">
        <f>'A) Base RI'!A52</f>
        <v>5481</v>
      </c>
      <c r="B50" s="114" t="str">
        <f>'A) Base RI'!B52</f>
        <v>Dizy</v>
      </c>
      <c r="C50" s="14">
        <f>'B) D RI'!Y52</f>
        <v>23713.4</v>
      </c>
      <c r="D50" s="19">
        <f>'B) D RI'!Z52</f>
        <v>0</v>
      </c>
      <c r="E50" s="14">
        <f t="shared" si="0"/>
        <v>23713.4</v>
      </c>
      <c r="F50" s="19">
        <f>'B) D RI'!U52</f>
        <v>8240.9954054054051</v>
      </c>
      <c r="G50" s="347">
        <f t="shared" si="1"/>
        <v>2.8774922000861682</v>
      </c>
      <c r="H50" s="74">
        <f t="shared" si="2"/>
        <v>11856.7</v>
      </c>
    </row>
    <row r="51" spans="1:8" x14ac:dyDescent="0.25">
      <c r="A51" s="61">
        <f>'A) Base RI'!A53</f>
        <v>5482</v>
      </c>
      <c r="B51" s="114" t="str">
        <f>'A) Base RI'!B53</f>
        <v>Eclépens</v>
      </c>
      <c r="C51" s="14">
        <f>'B) D RI'!Y53</f>
        <v>172037.35</v>
      </c>
      <c r="D51" s="19">
        <f>'B) D RI'!Z53</f>
        <v>152417.95000000001</v>
      </c>
      <c r="E51" s="14">
        <f t="shared" si="0"/>
        <v>324455.30000000005</v>
      </c>
      <c r="F51" s="19">
        <f>'B) D RI'!U53</f>
        <v>64551.928043478263</v>
      </c>
      <c r="G51" s="347">
        <f t="shared" si="1"/>
        <v>5.026268150836124</v>
      </c>
      <c r="H51" s="74">
        <f t="shared" si="2"/>
        <v>131744.06</v>
      </c>
    </row>
    <row r="52" spans="1:8" x14ac:dyDescent="0.25">
      <c r="A52" s="61">
        <f>'A) Base RI'!A54</f>
        <v>5483</v>
      </c>
      <c r="B52" s="114" t="str">
        <f>'A) Base RI'!B54</f>
        <v>Ferreyres</v>
      </c>
      <c r="C52" s="14">
        <f>'B) D RI'!Y54</f>
        <v>26547.8</v>
      </c>
      <c r="D52" s="19">
        <f>'B) D RI'!Z54</f>
        <v>171.95</v>
      </c>
      <c r="E52" s="14">
        <f t="shared" si="0"/>
        <v>26719.75</v>
      </c>
      <c r="F52" s="19">
        <f>'B) D RI'!U54</f>
        <v>9097.5578947368413</v>
      </c>
      <c r="G52" s="347">
        <f t="shared" si="1"/>
        <v>2.9370244530631706</v>
      </c>
      <c r="H52" s="74">
        <f t="shared" si="2"/>
        <v>13325.484999999999</v>
      </c>
    </row>
    <row r="53" spans="1:8" x14ac:dyDescent="0.25">
      <c r="A53" s="61">
        <f>'A) Base RI'!A55</f>
        <v>5484</v>
      </c>
      <c r="B53" s="114" t="str">
        <f>'A) Base RI'!B55</f>
        <v>Gollion</v>
      </c>
      <c r="C53" s="14">
        <f>'B) D RI'!Y55</f>
        <v>239751.59999999998</v>
      </c>
      <c r="D53" s="19">
        <f>'B) D RI'!Z55</f>
        <v>9736.2999999999993</v>
      </c>
      <c r="E53" s="14">
        <f t="shared" si="0"/>
        <v>249487.89999999997</v>
      </c>
      <c r="F53" s="19">
        <f>'B) D RI'!U55</f>
        <v>23163.007162162161</v>
      </c>
      <c r="G53" s="347">
        <f t="shared" si="1"/>
        <v>10.77096329735415</v>
      </c>
      <c r="H53" s="74">
        <f t="shared" si="2"/>
        <v>122796.68999999999</v>
      </c>
    </row>
    <row r="54" spans="1:8" x14ac:dyDescent="0.25">
      <c r="A54" s="61">
        <f>'A) Base RI'!A56</f>
        <v>5485</v>
      </c>
      <c r="B54" s="114" t="str">
        <f>'A) Base RI'!B56</f>
        <v>Grancy</v>
      </c>
      <c r="C54" s="14">
        <f>'B) D RI'!Y56</f>
        <v>59395.25</v>
      </c>
      <c r="D54" s="19">
        <f>'B) D RI'!Z56</f>
        <v>7836.4</v>
      </c>
      <c r="E54" s="14">
        <f t="shared" si="0"/>
        <v>67231.649999999994</v>
      </c>
      <c r="F54" s="19">
        <f>'B) D RI'!U56</f>
        <v>17298.355857142858</v>
      </c>
      <c r="G54" s="347">
        <f t="shared" si="1"/>
        <v>3.8865919140077478</v>
      </c>
      <c r="H54" s="74">
        <f t="shared" si="2"/>
        <v>32048.544999999998</v>
      </c>
    </row>
    <row r="55" spans="1:8" x14ac:dyDescent="0.25">
      <c r="A55" s="61">
        <f>'A) Base RI'!A57</f>
        <v>5486</v>
      </c>
      <c r="B55" s="114" t="str">
        <f>'A) Base RI'!B57</f>
        <v>L'Isle</v>
      </c>
      <c r="C55" s="14">
        <f>'B) D RI'!Y57</f>
        <v>502118.7</v>
      </c>
      <c r="D55" s="19">
        <f>'B) D RI'!Z57</f>
        <v>55291.35</v>
      </c>
      <c r="E55" s="14">
        <f t="shared" si="0"/>
        <v>557410.05000000005</v>
      </c>
      <c r="F55" s="19">
        <f>'B) D RI'!U57</f>
        <v>27212.445657894736</v>
      </c>
      <c r="G55" s="347">
        <f t="shared" si="1"/>
        <v>20.483644028455306</v>
      </c>
      <c r="H55" s="74">
        <f t="shared" si="2"/>
        <v>267646.755</v>
      </c>
    </row>
    <row r="56" spans="1:8" x14ac:dyDescent="0.25">
      <c r="A56" s="61">
        <f>'A) Base RI'!A58</f>
        <v>5487</v>
      </c>
      <c r="B56" s="114" t="str">
        <f>'A) Base RI'!B58</f>
        <v>Lussery-Villars</v>
      </c>
      <c r="C56" s="14">
        <f>'B) D RI'!Y58</f>
        <v>47019.7</v>
      </c>
      <c r="D56" s="19">
        <f>'B) D RI'!Z58</f>
        <v>0</v>
      </c>
      <c r="E56" s="14">
        <f t="shared" si="0"/>
        <v>47019.7</v>
      </c>
      <c r="F56" s="19">
        <f>'B) D RI'!U58</f>
        <v>12274.32455882353</v>
      </c>
      <c r="G56" s="347">
        <f t="shared" si="1"/>
        <v>3.8307362474132542</v>
      </c>
      <c r="H56" s="74">
        <f t="shared" si="2"/>
        <v>23509.85</v>
      </c>
    </row>
    <row r="57" spans="1:8" x14ac:dyDescent="0.25">
      <c r="A57" s="61">
        <f>'A) Base RI'!A59</f>
        <v>5488</v>
      </c>
      <c r="B57" s="114" t="str">
        <f>'A) Base RI'!B59</f>
        <v>Mauraz</v>
      </c>
      <c r="C57" s="14">
        <f>'B) D RI'!Y59</f>
        <v>0</v>
      </c>
      <c r="D57" s="19">
        <f>'B) D RI'!Z59</f>
        <v>0</v>
      </c>
      <c r="E57" s="14">
        <f t="shared" si="0"/>
        <v>0</v>
      </c>
      <c r="F57" s="19">
        <f>'B) D RI'!U59</f>
        <v>1417.5255405405405</v>
      </c>
      <c r="G57" s="347">
        <f t="shared" si="1"/>
        <v>0</v>
      </c>
      <c r="H57" s="74">
        <f t="shared" si="2"/>
        <v>0</v>
      </c>
    </row>
    <row r="58" spans="1:8" x14ac:dyDescent="0.25">
      <c r="A58" s="61">
        <f>'A) Base RI'!A60</f>
        <v>5489</v>
      </c>
      <c r="B58" s="114" t="str">
        <f>'A) Base RI'!B60</f>
        <v>Mex</v>
      </c>
      <c r="C58" s="14">
        <f>'B) D RI'!Y60</f>
        <v>128993</v>
      </c>
      <c r="D58" s="19">
        <f>'B) D RI'!Z60</f>
        <v>17897.2</v>
      </c>
      <c r="E58" s="14">
        <f t="shared" si="0"/>
        <v>146890.20000000001</v>
      </c>
      <c r="F58" s="19">
        <f>'B) D RI'!U60</f>
        <v>37121.285573770496</v>
      </c>
      <c r="G58" s="347">
        <f t="shared" si="1"/>
        <v>3.9570342925782467</v>
      </c>
      <c r="H58" s="74">
        <f t="shared" si="2"/>
        <v>69865.66</v>
      </c>
    </row>
    <row r="59" spans="1:8" x14ac:dyDescent="0.25">
      <c r="A59" s="61">
        <f>'A) Base RI'!A61</f>
        <v>5490</v>
      </c>
      <c r="B59" s="114" t="str">
        <f>'A) Base RI'!B61</f>
        <v>Moiry</v>
      </c>
      <c r="C59" s="14">
        <f>'B) D RI'!Y61</f>
        <v>27974.100000000002</v>
      </c>
      <c r="D59" s="19">
        <f>'B) D RI'!Z61</f>
        <v>0</v>
      </c>
      <c r="E59" s="14">
        <f t="shared" si="0"/>
        <v>27974.100000000002</v>
      </c>
      <c r="F59" s="19">
        <f>'B) D RI'!U61</f>
        <v>7321.727037037037</v>
      </c>
      <c r="G59" s="347">
        <f t="shared" si="1"/>
        <v>3.8206969282646988</v>
      </c>
      <c r="H59" s="74">
        <f t="shared" si="2"/>
        <v>13987.050000000001</v>
      </c>
    </row>
    <row r="60" spans="1:8" x14ac:dyDescent="0.25">
      <c r="A60" s="61">
        <f>'A) Base RI'!A62</f>
        <v>5491</v>
      </c>
      <c r="B60" s="114" t="str">
        <f>'A) Base RI'!B62</f>
        <v>Mont-la-Ville</v>
      </c>
      <c r="C60" s="14">
        <f>'B) D RI'!Y62</f>
        <v>77234.95</v>
      </c>
      <c r="D60" s="19">
        <f>'B) D RI'!Z62</f>
        <v>0</v>
      </c>
      <c r="E60" s="14">
        <f t="shared" si="0"/>
        <v>77234.95</v>
      </c>
      <c r="F60" s="19">
        <f>'B) D RI'!U62</f>
        <v>8599.6809210526335</v>
      </c>
      <c r="G60" s="347">
        <f t="shared" si="1"/>
        <v>8.9811413596664167</v>
      </c>
      <c r="H60" s="74">
        <f t="shared" si="2"/>
        <v>38617.474999999999</v>
      </c>
    </row>
    <row r="61" spans="1:8" x14ac:dyDescent="0.25">
      <c r="A61" s="61">
        <f>'A) Base RI'!A63</f>
        <v>5492</v>
      </c>
      <c r="B61" s="114" t="str">
        <f>'A) Base RI'!B63</f>
        <v>Montricher</v>
      </c>
      <c r="C61" s="14">
        <f>'B) D RI'!Y63</f>
        <v>124538.85</v>
      </c>
      <c r="D61" s="19">
        <f>'B) D RI'!Z63</f>
        <v>2115.35</v>
      </c>
      <c r="E61" s="14">
        <f t="shared" si="0"/>
        <v>126654.20000000001</v>
      </c>
      <c r="F61" s="19">
        <f>'B) D RI'!U63</f>
        <v>187025.79406249998</v>
      </c>
      <c r="G61" s="347">
        <f t="shared" si="1"/>
        <v>0.6772017765510725</v>
      </c>
      <c r="H61" s="74">
        <f t="shared" si="2"/>
        <v>62904.030000000006</v>
      </c>
    </row>
    <row r="62" spans="1:8" x14ac:dyDescent="0.25">
      <c r="A62" s="61">
        <f>'A) Base RI'!A64</f>
        <v>5493</v>
      </c>
      <c r="B62" s="114" t="str">
        <f>'A) Base RI'!B64</f>
        <v>Orny</v>
      </c>
      <c r="C62" s="14">
        <f>'B) D RI'!Y64</f>
        <v>17460.849999999999</v>
      </c>
      <c r="D62" s="19">
        <f>'B) D RI'!Z64</f>
        <v>60612.05</v>
      </c>
      <c r="E62" s="14">
        <f t="shared" si="0"/>
        <v>78072.899999999994</v>
      </c>
      <c r="F62" s="19">
        <f>'B) D RI'!U64</f>
        <v>10614.324773445733</v>
      </c>
      <c r="G62" s="347">
        <f t="shared" si="1"/>
        <v>7.3554278455204223</v>
      </c>
      <c r="H62" s="74">
        <f t="shared" si="2"/>
        <v>26914.04</v>
      </c>
    </row>
    <row r="63" spans="1:8" x14ac:dyDescent="0.25">
      <c r="A63" s="61">
        <f>'A) Base RI'!A65</f>
        <v>5494</v>
      </c>
      <c r="B63" s="114" t="str">
        <f>'A) Base RI'!B65</f>
        <v>Pampigny</v>
      </c>
      <c r="C63" s="14">
        <f>'B) D RI'!Y65</f>
        <v>157725.70000000001</v>
      </c>
      <c r="D63" s="19">
        <f>'B) D RI'!Z65</f>
        <v>20551.3</v>
      </c>
      <c r="E63" s="14">
        <f t="shared" si="0"/>
        <v>178277</v>
      </c>
      <c r="F63" s="19">
        <f>'B) D RI'!U65</f>
        <v>33982.091568253971</v>
      </c>
      <c r="G63" s="347">
        <f t="shared" si="1"/>
        <v>5.2462044498328098</v>
      </c>
      <c r="H63" s="74">
        <f t="shared" si="2"/>
        <v>85028.24</v>
      </c>
    </row>
    <row r="64" spans="1:8" x14ac:dyDescent="0.25">
      <c r="A64" s="61">
        <f>'A) Base RI'!A66</f>
        <v>5495</v>
      </c>
      <c r="B64" s="114" t="str">
        <f>'A) Base RI'!B66</f>
        <v>Penthalaz</v>
      </c>
      <c r="C64" s="14">
        <f>'B) D RI'!Y66</f>
        <v>326812</v>
      </c>
      <c r="D64" s="19">
        <f>'B) D RI'!Z66</f>
        <v>212709.05</v>
      </c>
      <c r="E64" s="14">
        <f t="shared" si="0"/>
        <v>539521.05000000005</v>
      </c>
      <c r="F64" s="19">
        <f>'B) D RI'!U66</f>
        <v>96162.321351351362</v>
      </c>
      <c r="G64" s="347">
        <f t="shared" si="1"/>
        <v>5.6105243968553404</v>
      </c>
      <c r="H64" s="74">
        <f t="shared" si="2"/>
        <v>227218.715</v>
      </c>
    </row>
    <row r="65" spans="1:8" x14ac:dyDescent="0.25">
      <c r="A65" s="61">
        <f>'A) Base RI'!A67</f>
        <v>5496</v>
      </c>
      <c r="B65" s="114" t="str">
        <f>'A) Base RI'!B67</f>
        <v>Penthaz</v>
      </c>
      <c r="C65" s="14">
        <f>'B) D RI'!Y67</f>
        <v>157867.79999999999</v>
      </c>
      <c r="D65" s="19">
        <f>'B) D RI'!Z67</f>
        <v>91874.9</v>
      </c>
      <c r="E65" s="14">
        <f t="shared" si="0"/>
        <v>249742.69999999998</v>
      </c>
      <c r="F65" s="19">
        <f>'B) D RI'!U67</f>
        <v>55211.289014084505</v>
      </c>
      <c r="G65" s="347">
        <f t="shared" si="1"/>
        <v>4.5233991899064367</v>
      </c>
      <c r="H65" s="74">
        <f t="shared" si="2"/>
        <v>106496.37</v>
      </c>
    </row>
    <row r="66" spans="1:8" x14ac:dyDescent="0.25">
      <c r="A66" s="61">
        <f>'A) Base RI'!A68</f>
        <v>5497</v>
      </c>
      <c r="B66" s="114" t="str">
        <f>'A) Base RI'!B68</f>
        <v>Pompaples</v>
      </c>
      <c r="C66" s="14">
        <f>'B) D RI'!Y68</f>
        <v>79879</v>
      </c>
      <c r="D66" s="19">
        <f>'B) D RI'!Z68</f>
        <v>249012.55</v>
      </c>
      <c r="E66" s="14">
        <f t="shared" si="0"/>
        <v>328891.55</v>
      </c>
      <c r="F66" s="19">
        <f>'B) D RI'!U68</f>
        <v>22227.212272727276</v>
      </c>
      <c r="G66" s="347">
        <f t="shared" si="1"/>
        <v>14.7967970955831</v>
      </c>
      <c r="H66" s="74">
        <f t="shared" si="2"/>
        <v>114643.265</v>
      </c>
    </row>
    <row r="67" spans="1:8" x14ac:dyDescent="0.25">
      <c r="A67" s="61">
        <f>'A) Base RI'!A69</f>
        <v>5498</v>
      </c>
      <c r="B67" s="114" t="str">
        <f>'A) Base RI'!B69</f>
        <v>La Sarraz</v>
      </c>
      <c r="C67" s="14">
        <f>'B) D RI'!Y69</f>
        <v>242092.44999999998</v>
      </c>
      <c r="D67" s="19">
        <f>'B) D RI'!Z69</f>
        <v>66079.600000000006</v>
      </c>
      <c r="E67" s="14">
        <f t="shared" si="0"/>
        <v>308172.05</v>
      </c>
      <c r="F67" s="19">
        <f>'B) D RI'!U69</f>
        <v>72104.13</v>
      </c>
      <c r="G67" s="347">
        <f t="shared" si="1"/>
        <v>4.2739861087014015</v>
      </c>
      <c r="H67" s="74">
        <f t="shared" si="2"/>
        <v>140870.10499999998</v>
      </c>
    </row>
    <row r="68" spans="1:8" x14ac:dyDescent="0.25">
      <c r="A68" s="61">
        <f>'A) Base RI'!A70</f>
        <v>5499</v>
      </c>
      <c r="B68" s="114" t="str">
        <f>'A) Base RI'!B70</f>
        <v>Senarclens</v>
      </c>
      <c r="C68" s="14">
        <f>'B) D RI'!Y70</f>
        <v>110516.70000000001</v>
      </c>
      <c r="D68" s="19">
        <f>'B) D RI'!Z70</f>
        <v>15828.05</v>
      </c>
      <c r="E68" s="14">
        <f t="shared" si="0"/>
        <v>126344.75000000001</v>
      </c>
      <c r="F68" s="19">
        <f>'B) D RI'!U70</f>
        <v>21697.695620437953</v>
      </c>
      <c r="G68" s="347">
        <f t="shared" si="1"/>
        <v>5.8229570646659221</v>
      </c>
      <c r="H68" s="74">
        <f t="shared" si="2"/>
        <v>60006.765000000007</v>
      </c>
    </row>
    <row r="69" spans="1:8" x14ac:dyDescent="0.25">
      <c r="A69" s="61">
        <f>'A) Base RI'!A71</f>
        <v>5500</v>
      </c>
      <c r="B69" s="114" t="str">
        <f>'A) Base RI'!B71</f>
        <v>Sévery</v>
      </c>
      <c r="C69" s="14">
        <f>'B) D RI'!Y71</f>
        <v>38812.400000000001</v>
      </c>
      <c r="D69" s="19">
        <f>'B) D RI'!Z71</f>
        <v>5291.4</v>
      </c>
      <c r="E69" s="14">
        <f t="shared" si="0"/>
        <v>44103.8</v>
      </c>
      <c r="F69" s="19">
        <f>'B) D RI'!U71</f>
        <v>6767.1525657894736</v>
      </c>
      <c r="G69" s="347">
        <f t="shared" si="1"/>
        <v>6.517334960491576</v>
      </c>
      <c r="H69" s="74">
        <f t="shared" si="2"/>
        <v>20993.62</v>
      </c>
    </row>
    <row r="70" spans="1:8" x14ac:dyDescent="0.25">
      <c r="A70" s="61">
        <f>'A) Base RI'!A72</f>
        <v>5501</v>
      </c>
      <c r="B70" s="114" t="str">
        <f>'A) Base RI'!B72</f>
        <v>Sullens</v>
      </c>
      <c r="C70" s="14">
        <f>'B) D RI'!Y72</f>
        <v>211229.8</v>
      </c>
      <c r="D70" s="19">
        <f>'B) D RI'!Z72</f>
        <v>8687.9</v>
      </c>
      <c r="E70" s="14">
        <f t="shared" ref="E70:E133" si="3">C70+D70</f>
        <v>219917.69999999998</v>
      </c>
      <c r="F70" s="19">
        <f>'B) D RI'!U72</f>
        <v>35887.851857142865</v>
      </c>
      <c r="G70" s="347">
        <f t="shared" ref="G70:G133" si="4">E70/F70</f>
        <v>6.1279148408050821</v>
      </c>
      <c r="H70" s="74">
        <f t="shared" ref="H70:H133" si="5">(C70*$C$4)+(D70*$D$4)</f>
        <v>108221.26999999999</v>
      </c>
    </row>
    <row r="71" spans="1:8" x14ac:dyDescent="0.25">
      <c r="A71" s="61">
        <f>'A) Base RI'!A73</f>
        <v>5503</v>
      </c>
      <c r="B71" s="114" t="str">
        <f>'A) Base RI'!B73</f>
        <v>Vufflens-la-Ville</v>
      </c>
      <c r="C71" s="14">
        <f>'B) D RI'!Y73</f>
        <v>600791.30000000005</v>
      </c>
      <c r="D71" s="19">
        <f>'B) D RI'!Z73</f>
        <v>56414.15</v>
      </c>
      <c r="E71" s="14">
        <f t="shared" si="3"/>
        <v>657205.45000000007</v>
      </c>
      <c r="F71" s="19">
        <f>'B) D RI'!U73</f>
        <v>61379.446318407958</v>
      </c>
      <c r="G71" s="347">
        <f t="shared" si="4"/>
        <v>10.707256083587403</v>
      </c>
      <c r="H71" s="74">
        <f t="shared" si="5"/>
        <v>317319.89500000002</v>
      </c>
    </row>
    <row r="72" spans="1:8" x14ac:dyDescent="0.25">
      <c r="A72" s="61">
        <f>'A) Base RI'!A74</f>
        <v>5511</v>
      </c>
      <c r="B72" s="114" t="str">
        <f>'A) Base RI'!B74</f>
        <v>Assens</v>
      </c>
      <c r="C72" s="14">
        <f>'B) D RI'!Y74</f>
        <v>147215.54999999999</v>
      </c>
      <c r="D72" s="19">
        <f>'B) D RI'!Z74</f>
        <v>9736.75</v>
      </c>
      <c r="E72" s="14">
        <f t="shared" si="3"/>
        <v>156952.29999999999</v>
      </c>
      <c r="F72" s="19">
        <f>'B) D RI'!U74</f>
        <v>41422.612571428566</v>
      </c>
      <c r="G72" s="347">
        <f t="shared" si="4"/>
        <v>3.7890487889761579</v>
      </c>
      <c r="H72" s="74">
        <f t="shared" si="5"/>
        <v>76528.799999999988</v>
      </c>
    </row>
    <row r="73" spans="1:8" x14ac:dyDescent="0.25">
      <c r="A73" s="61">
        <f>'A) Base RI'!A75</f>
        <v>5512</v>
      </c>
      <c r="B73" s="114" t="str">
        <f>'A) Base RI'!B75</f>
        <v>Bercher</v>
      </c>
      <c r="C73" s="14">
        <f>'B) D RI'!Y75</f>
        <v>151044.75</v>
      </c>
      <c r="D73" s="19">
        <f>'B) D RI'!Z75</f>
        <v>13337.05</v>
      </c>
      <c r="E73" s="14">
        <f t="shared" si="3"/>
        <v>164381.79999999999</v>
      </c>
      <c r="F73" s="19">
        <f>'B) D RI'!U75</f>
        <v>32079.191772151898</v>
      </c>
      <c r="G73" s="347">
        <f t="shared" si="4"/>
        <v>5.1242500486779914</v>
      </c>
      <c r="H73" s="74">
        <f t="shared" si="5"/>
        <v>79523.490000000005</v>
      </c>
    </row>
    <row r="74" spans="1:8" x14ac:dyDescent="0.25">
      <c r="A74" s="61">
        <f>'A) Base RI'!A76</f>
        <v>5513</v>
      </c>
      <c r="B74" s="114" t="str">
        <f>'A) Base RI'!B76</f>
        <v>Bioley-Orjulaz</v>
      </c>
      <c r="C74" s="14">
        <f>'B) D RI'!Y76</f>
        <v>128423.09999999999</v>
      </c>
      <c r="D74" s="19">
        <f>'B) D RI'!Z76</f>
        <v>33909.300000000003</v>
      </c>
      <c r="E74" s="14">
        <f t="shared" si="3"/>
        <v>162332.4</v>
      </c>
      <c r="F74" s="19">
        <f>'B) D RI'!U76</f>
        <v>24024.471515151512</v>
      </c>
      <c r="G74" s="347">
        <f t="shared" si="4"/>
        <v>6.7569602893292293</v>
      </c>
      <c r="H74" s="74">
        <f t="shared" si="5"/>
        <v>74384.34</v>
      </c>
    </row>
    <row r="75" spans="1:8" x14ac:dyDescent="0.25">
      <c r="A75" s="61">
        <f>'A) Base RI'!A77</f>
        <v>5514</v>
      </c>
      <c r="B75" s="114" t="str">
        <f>'A) Base RI'!B77</f>
        <v>Bottens</v>
      </c>
      <c r="C75" s="14">
        <f>'B) D RI'!Y77</f>
        <v>295533.3</v>
      </c>
      <c r="D75" s="19">
        <f>'B) D RI'!Z77</f>
        <v>10310.85</v>
      </c>
      <c r="E75" s="14">
        <f t="shared" si="3"/>
        <v>305844.14999999997</v>
      </c>
      <c r="F75" s="19">
        <f>'B) D RI'!U77</f>
        <v>38346.680434782604</v>
      </c>
      <c r="G75" s="347">
        <f t="shared" si="4"/>
        <v>7.9757659993583712</v>
      </c>
      <c r="H75" s="74">
        <f t="shared" si="5"/>
        <v>150859.905</v>
      </c>
    </row>
    <row r="76" spans="1:8" x14ac:dyDescent="0.25">
      <c r="A76" s="61">
        <f>'A) Base RI'!A78</f>
        <v>5515</v>
      </c>
      <c r="B76" s="114" t="str">
        <f>'A) Base RI'!B78</f>
        <v>Bretigny-sur-Morrens</v>
      </c>
      <c r="C76" s="14">
        <f>'B) D RI'!Y78</f>
        <v>123537.8</v>
      </c>
      <c r="D76" s="19">
        <f>'B) D RI'!Z78</f>
        <v>13053.7</v>
      </c>
      <c r="E76" s="14">
        <f t="shared" si="3"/>
        <v>136591.5</v>
      </c>
      <c r="F76" s="19">
        <f>'B) D RI'!U78</f>
        <v>24345.34643835617</v>
      </c>
      <c r="G76" s="347">
        <f t="shared" si="4"/>
        <v>5.6105794323304297</v>
      </c>
      <c r="H76" s="74">
        <f t="shared" si="5"/>
        <v>65685.009999999995</v>
      </c>
    </row>
    <row r="77" spans="1:8" x14ac:dyDescent="0.25">
      <c r="A77" s="61">
        <f>'A) Base RI'!A79</f>
        <v>5516</v>
      </c>
      <c r="B77" s="114" t="str">
        <f>'A) Base RI'!B79</f>
        <v>Cugy</v>
      </c>
      <c r="C77" s="14">
        <f>'B) D RI'!Y79</f>
        <v>583045.5</v>
      </c>
      <c r="D77" s="19">
        <f>'B) D RI'!Z79</f>
        <v>101673.55</v>
      </c>
      <c r="E77" s="14">
        <f t="shared" si="3"/>
        <v>684719.05</v>
      </c>
      <c r="F77" s="19">
        <f>'B) D RI'!U79</f>
        <v>104935.17701492537</v>
      </c>
      <c r="G77" s="347">
        <f t="shared" si="4"/>
        <v>6.5251621951579644</v>
      </c>
      <c r="H77" s="74">
        <f t="shared" si="5"/>
        <v>322024.815</v>
      </c>
    </row>
    <row r="78" spans="1:8" x14ac:dyDescent="0.25">
      <c r="A78" s="61">
        <f>'A) Base RI'!A80</f>
        <v>5518</v>
      </c>
      <c r="B78" s="114" t="str">
        <f>'A) Base RI'!B80</f>
        <v>Echallens</v>
      </c>
      <c r="C78" s="14">
        <f>'B) D RI'!Y80</f>
        <v>580167.75</v>
      </c>
      <c r="D78" s="19">
        <f>'B) D RI'!Z80</f>
        <v>189303.95</v>
      </c>
      <c r="E78" s="14">
        <f t="shared" si="3"/>
        <v>769471.7</v>
      </c>
      <c r="F78" s="19">
        <f>'B) D RI'!U80</f>
        <v>181423.1631081081</v>
      </c>
      <c r="G78" s="347">
        <f t="shared" si="4"/>
        <v>4.2413090303219994</v>
      </c>
      <c r="H78" s="74">
        <f t="shared" si="5"/>
        <v>346875.06</v>
      </c>
    </row>
    <row r="79" spans="1:8" x14ac:dyDescent="0.25">
      <c r="A79" s="61">
        <f>'A) Base RI'!A81</f>
        <v>5520</v>
      </c>
      <c r="B79" s="114" t="str">
        <f>'A) Base RI'!B81</f>
        <v>Essertines-sur-Yverdon</v>
      </c>
      <c r="C79" s="14">
        <f>'B) D RI'!Y81</f>
        <v>83846.2</v>
      </c>
      <c r="D79" s="19">
        <f>'B) D RI'!Z81</f>
        <v>8440.5</v>
      </c>
      <c r="E79" s="14">
        <f t="shared" si="3"/>
        <v>92286.7</v>
      </c>
      <c r="F79" s="19">
        <f>'B) D RI'!U81</f>
        <v>28021.579589041095</v>
      </c>
      <c r="G79" s="347">
        <f t="shared" si="4"/>
        <v>3.2934153375169548</v>
      </c>
      <c r="H79" s="74">
        <f t="shared" si="5"/>
        <v>44455.25</v>
      </c>
    </row>
    <row r="80" spans="1:8" x14ac:dyDescent="0.25">
      <c r="A80" s="61">
        <f>'A) Base RI'!A82</f>
        <v>5521</v>
      </c>
      <c r="B80" s="114" t="str">
        <f>'A) Base RI'!B82</f>
        <v>Etagnières</v>
      </c>
      <c r="C80" s="14">
        <f>'B) D RI'!Y82</f>
        <v>46597.45</v>
      </c>
      <c r="D80" s="19">
        <f>'B) D RI'!Z82</f>
        <v>60233.95</v>
      </c>
      <c r="E80" s="14">
        <f t="shared" si="3"/>
        <v>106831.4</v>
      </c>
      <c r="F80" s="19">
        <f>'B) D RI'!U82</f>
        <v>40532.749863013705</v>
      </c>
      <c r="G80" s="347">
        <f t="shared" si="4"/>
        <v>2.6356810322776565</v>
      </c>
      <c r="H80" s="74">
        <f t="shared" si="5"/>
        <v>41368.909999999996</v>
      </c>
    </row>
    <row r="81" spans="1:8" x14ac:dyDescent="0.25">
      <c r="A81" s="61">
        <f>'A) Base RI'!A83</f>
        <v>5522</v>
      </c>
      <c r="B81" s="114" t="str">
        <f>'A) Base RI'!B83</f>
        <v>Fey</v>
      </c>
      <c r="C81" s="14">
        <f>'B) D RI'!Y83</f>
        <v>68702.7</v>
      </c>
      <c r="D81" s="19">
        <f>'B) D RI'!Z83</f>
        <v>7678.25</v>
      </c>
      <c r="E81" s="14">
        <f t="shared" si="3"/>
        <v>76380.95</v>
      </c>
      <c r="F81" s="19">
        <f>'B) D RI'!U83</f>
        <v>18218.5124</v>
      </c>
      <c r="G81" s="347">
        <f t="shared" si="4"/>
        <v>4.1924910400478144</v>
      </c>
      <c r="H81" s="74">
        <f t="shared" si="5"/>
        <v>36654.824999999997</v>
      </c>
    </row>
    <row r="82" spans="1:8" x14ac:dyDescent="0.25">
      <c r="A82" s="61">
        <f>'A) Base RI'!A84</f>
        <v>5523</v>
      </c>
      <c r="B82" s="114" t="str">
        <f>'A) Base RI'!B84</f>
        <v>Froideville</v>
      </c>
      <c r="C82" s="14">
        <f>'B) D RI'!Y84</f>
        <v>524159.55000000005</v>
      </c>
      <c r="D82" s="19">
        <f>'B) D RI'!Z84</f>
        <v>0</v>
      </c>
      <c r="E82" s="14">
        <f t="shared" si="3"/>
        <v>524159.55000000005</v>
      </c>
      <c r="F82" s="19">
        <f>'B) D RI'!U84</f>
        <v>77819.657763157898</v>
      </c>
      <c r="G82" s="347">
        <f t="shared" si="4"/>
        <v>6.7355674011734408</v>
      </c>
      <c r="H82" s="74">
        <f t="shared" si="5"/>
        <v>262079.77500000002</v>
      </c>
    </row>
    <row r="83" spans="1:8" x14ac:dyDescent="0.25">
      <c r="A83" s="61">
        <f>'A) Base RI'!A85</f>
        <v>5527</v>
      </c>
      <c r="B83" s="114" t="str">
        <f>'A) Base RI'!B85</f>
        <v>Morrens</v>
      </c>
      <c r="C83" s="14">
        <f>'B) D RI'!Y85</f>
        <v>247356.25</v>
      </c>
      <c r="D83" s="19">
        <f>'B) D RI'!Z85</f>
        <v>13054.25</v>
      </c>
      <c r="E83" s="14">
        <f t="shared" si="3"/>
        <v>260410.5</v>
      </c>
      <c r="F83" s="19">
        <f>'B) D RI'!U85</f>
        <v>36998.677183098589</v>
      </c>
      <c r="G83" s="347">
        <f t="shared" si="4"/>
        <v>7.0383732561919388</v>
      </c>
      <c r="H83" s="74">
        <f t="shared" si="5"/>
        <v>127594.4</v>
      </c>
    </row>
    <row r="84" spans="1:8" x14ac:dyDescent="0.25">
      <c r="A84" s="61">
        <f>'A) Base RI'!A86</f>
        <v>5529</v>
      </c>
      <c r="B84" s="114" t="str">
        <f>'A) Base RI'!B86</f>
        <v>Oulens-sous-Echallens</v>
      </c>
      <c r="C84" s="14">
        <f>'B) D RI'!Y86</f>
        <v>166696.75</v>
      </c>
      <c r="D84" s="19">
        <f>'B) D RI'!Z86</f>
        <v>611.79999999999995</v>
      </c>
      <c r="E84" s="14">
        <f t="shared" si="3"/>
        <v>167308.54999999999</v>
      </c>
      <c r="F84" s="19">
        <f>'B) D RI'!U86</f>
        <v>16830.940140845072</v>
      </c>
      <c r="G84" s="347">
        <f t="shared" si="4"/>
        <v>9.9405350265596937</v>
      </c>
      <c r="H84" s="74">
        <f t="shared" si="5"/>
        <v>83531.914999999994</v>
      </c>
    </row>
    <row r="85" spans="1:8" x14ac:dyDescent="0.25">
      <c r="A85" s="61">
        <f>'A) Base RI'!A87</f>
        <v>5530</v>
      </c>
      <c r="B85" s="114" t="str">
        <f>'A) Base RI'!B87</f>
        <v>Pailly</v>
      </c>
      <c r="C85" s="14">
        <f>'B) D RI'!Y87</f>
        <v>47809.700000000004</v>
      </c>
      <c r="D85" s="19">
        <f>'B) D RI'!Z87</f>
        <v>3638.2</v>
      </c>
      <c r="E85" s="14">
        <f t="shared" si="3"/>
        <v>51447.9</v>
      </c>
      <c r="F85" s="19">
        <f>'B) D RI'!U87</f>
        <v>15988.116172043008</v>
      </c>
      <c r="G85" s="347">
        <f t="shared" si="4"/>
        <v>3.2178837985905027</v>
      </c>
      <c r="H85" s="74">
        <f t="shared" si="5"/>
        <v>24996.31</v>
      </c>
    </row>
    <row r="86" spans="1:8" x14ac:dyDescent="0.25">
      <c r="A86" s="61">
        <f>'A) Base RI'!A88</f>
        <v>5531</v>
      </c>
      <c r="B86" s="114" t="str">
        <f>'A) Base RI'!B88</f>
        <v>Penthéréaz</v>
      </c>
      <c r="C86" s="14">
        <f>'B) D RI'!Y88</f>
        <v>40358.6</v>
      </c>
      <c r="D86" s="19">
        <f>'B) D RI'!Z88</f>
        <v>47848.7</v>
      </c>
      <c r="E86" s="14">
        <f t="shared" si="3"/>
        <v>88207.299999999988</v>
      </c>
      <c r="F86" s="19">
        <f>'B) D RI'!U88</f>
        <v>11628.696923076923</v>
      </c>
      <c r="G86" s="347">
        <f t="shared" si="4"/>
        <v>7.585312488878639</v>
      </c>
      <c r="H86" s="74">
        <f t="shared" si="5"/>
        <v>34533.909999999996</v>
      </c>
    </row>
    <row r="87" spans="1:8" x14ac:dyDescent="0.25">
      <c r="A87" s="61">
        <f>'A) Base RI'!A89</f>
        <v>5533</v>
      </c>
      <c r="B87" s="114" t="str">
        <f>'A) Base RI'!B89</f>
        <v>Poliez-Pittet</v>
      </c>
      <c r="C87" s="14">
        <f>'B) D RI'!Y89</f>
        <v>78168.399999999994</v>
      </c>
      <c r="D87" s="19">
        <f>'B) D RI'!Z89</f>
        <v>5273.9</v>
      </c>
      <c r="E87" s="14">
        <f t="shared" si="3"/>
        <v>83442.299999999988</v>
      </c>
      <c r="F87" s="19">
        <f>'B) D RI'!U89</f>
        <v>21286.915727699528</v>
      </c>
      <c r="G87" s="347">
        <f t="shared" si="4"/>
        <v>3.9198868012344774</v>
      </c>
      <c r="H87" s="74">
        <f t="shared" si="5"/>
        <v>40666.369999999995</v>
      </c>
    </row>
    <row r="88" spans="1:8" x14ac:dyDescent="0.25">
      <c r="A88" s="61">
        <f>'A) Base RI'!A90</f>
        <v>5534</v>
      </c>
      <c r="B88" s="114" t="str">
        <f>'A) Base RI'!B90</f>
        <v>Rueyres</v>
      </c>
      <c r="C88" s="14">
        <f>'B) D RI'!Y90</f>
        <v>89081</v>
      </c>
      <c r="D88" s="19">
        <f>'B) D RI'!Z90</f>
        <v>24554.6</v>
      </c>
      <c r="E88" s="14">
        <f t="shared" si="3"/>
        <v>113635.6</v>
      </c>
      <c r="F88" s="19">
        <f>'B) D RI'!U90</f>
        <v>8123.1504109589041</v>
      </c>
      <c r="G88" s="347">
        <f t="shared" si="4"/>
        <v>13.989104503924333</v>
      </c>
      <c r="H88" s="74">
        <f t="shared" si="5"/>
        <v>51906.879999999997</v>
      </c>
    </row>
    <row r="89" spans="1:8" x14ac:dyDescent="0.25">
      <c r="A89" s="61">
        <f>'A) Base RI'!A91</f>
        <v>5535</v>
      </c>
      <c r="B89" s="114" t="str">
        <f>'A) Base RI'!B91</f>
        <v>Saint-Barthélemy</v>
      </c>
      <c r="C89" s="14">
        <f>'B) D RI'!Y91</f>
        <v>14698.2</v>
      </c>
      <c r="D89" s="19">
        <f>'B) D RI'!Z91</f>
        <v>24150.85</v>
      </c>
      <c r="E89" s="14">
        <f t="shared" si="3"/>
        <v>38849.050000000003</v>
      </c>
      <c r="F89" s="19">
        <f>'B) D RI'!U91</f>
        <v>21652.779733333333</v>
      </c>
      <c r="G89" s="347">
        <f t="shared" si="4"/>
        <v>1.7941830323149643</v>
      </c>
      <c r="H89" s="74">
        <f t="shared" si="5"/>
        <v>14594.355</v>
      </c>
    </row>
    <row r="90" spans="1:8" x14ac:dyDescent="0.25">
      <c r="A90" s="61">
        <f>'A) Base RI'!A92</f>
        <v>5537</v>
      </c>
      <c r="B90" s="114" t="str">
        <f>'A) Base RI'!B92</f>
        <v>Villars-le-Terroir</v>
      </c>
      <c r="C90" s="14">
        <f>'B) D RI'!Y92</f>
        <v>113377.79999999999</v>
      </c>
      <c r="D90" s="19">
        <f>'B) D RI'!Z92</f>
        <v>0</v>
      </c>
      <c r="E90" s="14">
        <f t="shared" si="3"/>
        <v>113377.79999999999</v>
      </c>
      <c r="F90" s="19">
        <f>'B) D RI'!U92</f>
        <v>28181.728767123288</v>
      </c>
      <c r="G90" s="347">
        <f t="shared" si="4"/>
        <v>4.0230959902029202</v>
      </c>
      <c r="H90" s="74">
        <f t="shared" si="5"/>
        <v>56688.899999999994</v>
      </c>
    </row>
    <row r="91" spans="1:8" x14ac:dyDescent="0.25">
      <c r="A91" s="61">
        <f>'A) Base RI'!A93</f>
        <v>5539</v>
      </c>
      <c r="B91" s="114" t="str">
        <f>'A) Base RI'!B93</f>
        <v>Vuarrens</v>
      </c>
      <c r="C91" s="14">
        <f>'B) D RI'!Y93</f>
        <v>97519.65</v>
      </c>
      <c r="D91" s="19">
        <f>'B) D RI'!Z93</f>
        <v>25545.599999999999</v>
      </c>
      <c r="E91" s="14">
        <f t="shared" si="3"/>
        <v>123065.25</v>
      </c>
      <c r="F91" s="19">
        <f>'B) D RI'!U93</f>
        <v>22756.172933333331</v>
      </c>
      <c r="G91" s="347">
        <f t="shared" si="4"/>
        <v>5.4079941456119602</v>
      </c>
      <c r="H91" s="74">
        <f t="shared" si="5"/>
        <v>56423.504999999997</v>
      </c>
    </row>
    <row r="92" spans="1:8" x14ac:dyDescent="0.25">
      <c r="A92" s="61">
        <f>'A) Base RI'!A94</f>
        <v>5540</v>
      </c>
      <c r="B92" s="114" t="str">
        <f>'A) Base RI'!B94</f>
        <v>Montilliez</v>
      </c>
      <c r="C92" s="14">
        <f>'B) D RI'!Y94</f>
        <v>205034.8</v>
      </c>
      <c r="D92" s="19">
        <f>'B) D RI'!Z94</f>
        <v>5316.15</v>
      </c>
      <c r="E92" s="14">
        <f t="shared" si="3"/>
        <v>210350.94999999998</v>
      </c>
      <c r="F92" s="19">
        <f>'B) D RI'!U94</f>
        <v>47199.265101351346</v>
      </c>
      <c r="G92" s="347">
        <f t="shared" si="4"/>
        <v>4.4566573133779048</v>
      </c>
      <c r="H92" s="74">
        <f t="shared" si="5"/>
        <v>104112.245</v>
      </c>
    </row>
    <row r="93" spans="1:8" x14ac:dyDescent="0.25">
      <c r="A93" s="61">
        <f>'A) Base RI'!A95</f>
        <v>5541</v>
      </c>
      <c r="B93" s="114" t="str">
        <f>'A) Base RI'!B95</f>
        <v>Goumoëns</v>
      </c>
      <c r="C93" s="14">
        <f>'B) D RI'!Y95</f>
        <v>122251.79999999999</v>
      </c>
      <c r="D93" s="19">
        <f>'B) D RI'!Z95</f>
        <v>11381.55</v>
      </c>
      <c r="E93" s="14">
        <f t="shared" si="3"/>
        <v>133633.34999999998</v>
      </c>
      <c r="F93" s="19">
        <f>'B) D RI'!U95</f>
        <v>35607.690389610398</v>
      </c>
      <c r="G93" s="347">
        <f t="shared" si="4"/>
        <v>3.7529350693015315</v>
      </c>
      <c r="H93" s="74">
        <f t="shared" si="5"/>
        <v>64540.364999999991</v>
      </c>
    </row>
    <row r="94" spans="1:8" x14ac:dyDescent="0.25">
      <c r="A94" s="61">
        <f>'A) Base RI'!A96</f>
        <v>5551</v>
      </c>
      <c r="B94" s="114" t="str">
        <f>'A) Base RI'!B96</f>
        <v>Bonvillars</v>
      </c>
      <c r="C94" s="14">
        <f>'B) D RI'!Y96</f>
        <v>37188.65</v>
      </c>
      <c r="D94" s="19">
        <f>'B) D RI'!Z96</f>
        <v>7693.2</v>
      </c>
      <c r="E94" s="14">
        <f t="shared" si="3"/>
        <v>44881.85</v>
      </c>
      <c r="F94" s="19">
        <f>'B) D RI'!U96</f>
        <v>15988.430935064936</v>
      </c>
      <c r="G94" s="347">
        <f t="shared" si="4"/>
        <v>2.8071453779474771</v>
      </c>
      <c r="H94" s="74">
        <f t="shared" si="5"/>
        <v>20902.285</v>
      </c>
    </row>
    <row r="95" spans="1:8" x14ac:dyDescent="0.25">
      <c r="A95" s="61">
        <f>'A) Base RI'!A97</f>
        <v>5552</v>
      </c>
      <c r="B95" s="114" t="str">
        <f>'A) Base RI'!B97</f>
        <v>Bullet</v>
      </c>
      <c r="C95" s="14">
        <f>'B) D RI'!Y97</f>
        <v>199850.44999999998</v>
      </c>
      <c r="D95" s="19">
        <f>'B) D RI'!Z97</f>
        <v>49622.3</v>
      </c>
      <c r="E95" s="14">
        <f t="shared" si="3"/>
        <v>249472.75</v>
      </c>
      <c r="F95" s="19">
        <f>'B) D RI'!U97</f>
        <v>15525.607571428574</v>
      </c>
      <c r="G95" s="347">
        <f t="shared" si="4"/>
        <v>16.068469388540972</v>
      </c>
      <c r="H95" s="74">
        <f t="shared" si="5"/>
        <v>114811.91499999999</v>
      </c>
    </row>
    <row r="96" spans="1:8" x14ac:dyDescent="0.25">
      <c r="A96" s="61">
        <f>'A) Base RI'!A98</f>
        <v>5553</v>
      </c>
      <c r="B96" s="114" t="str">
        <f>'A) Base RI'!B98</f>
        <v>Champagne</v>
      </c>
      <c r="C96" s="14">
        <f>'B) D RI'!Y98</f>
        <v>235436</v>
      </c>
      <c r="D96" s="19">
        <f>'B) D RI'!Z98</f>
        <v>111459.85</v>
      </c>
      <c r="E96" s="14">
        <f t="shared" si="3"/>
        <v>346895.85</v>
      </c>
      <c r="F96" s="19">
        <f>'B) D RI'!U98</f>
        <v>43429.608412698406</v>
      </c>
      <c r="G96" s="347">
        <f t="shared" si="4"/>
        <v>7.9875426622214469</v>
      </c>
      <c r="H96" s="74">
        <f t="shared" si="5"/>
        <v>151155.95500000002</v>
      </c>
    </row>
    <row r="97" spans="1:8" x14ac:dyDescent="0.25">
      <c r="A97" s="61">
        <f>'A) Base RI'!A99</f>
        <v>5554</v>
      </c>
      <c r="B97" s="114" t="str">
        <f>'A) Base RI'!B99</f>
        <v>Concise</v>
      </c>
      <c r="C97" s="14">
        <f>'B) D RI'!Y99</f>
        <v>282716.09999999998</v>
      </c>
      <c r="D97" s="19">
        <f>'B) D RI'!Z99</f>
        <v>0</v>
      </c>
      <c r="E97" s="14">
        <f t="shared" si="3"/>
        <v>282716.09999999998</v>
      </c>
      <c r="F97" s="19">
        <f>'B) D RI'!U99</f>
        <v>29691.100933333331</v>
      </c>
      <c r="G97" s="347">
        <f t="shared" si="4"/>
        <v>9.521913674901926</v>
      </c>
      <c r="H97" s="74">
        <f t="shared" si="5"/>
        <v>141358.04999999999</v>
      </c>
    </row>
    <row r="98" spans="1:8" x14ac:dyDescent="0.25">
      <c r="A98" s="61">
        <f>'A) Base RI'!A100</f>
        <v>5555</v>
      </c>
      <c r="B98" s="114" t="str">
        <f>'A) Base RI'!B100</f>
        <v>Corcelles-près-Concise</v>
      </c>
      <c r="C98" s="14">
        <f>'B) D RI'!Y100</f>
        <v>67054.100000000006</v>
      </c>
      <c r="D98" s="19">
        <f>'B) D RI'!Z100</f>
        <v>10192.85</v>
      </c>
      <c r="E98" s="14">
        <f t="shared" si="3"/>
        <v>77246.950000000012</v>
      </c>
      <c r="F98" s="19">
        <f>'B) D RI'!U100</f>
        <v>9762.6867605633779</v>
      </c>
      <c r="G98" s="347">
        <f t="shared" si="4"/>
        <v>7.9124683495982921</v>
      </c>
      <c r="H98" s="74">
        <f t="shared" si="5"/>
        <v>36584.905000000006</v>
      </c>
    </row>
    <row r="99" spans="1:8" x14ac:dyDescent="0.25">
      <c r="A99" s="61">
        <f>'A) Base RI'!A101</f>
        <v>5556</v>
      </c>
      <c r="B99" s="114" t="str">
        <f>'A) Base RI'!B101</f>
        <v>Fiez</v>
      </c>
      <c r="C99" s="14">
        <f>'B) D RI'!Y101</f>
        <v>41025.25</v>
      </c>
      <c r="D99" s="19">
        <f>'B) D RI'!Z101</f>
        <v>11298.6</v>
      </c>
      <c r="E99" s="14">
        <f t="shared" si="3"/>
        <v>52323.85</v>
      </c>
      <c r="F99" s="19">
        <f>'B) D RI'!U101</f>
        <v>10799.932053140095</v>
      </c>
      <c r="G99" s="347">
        <f t="shared" si="4"/>
        <v>4.8448314065815596</v>
      </c>
      <c r="H99" s="74">
        <f t="shared" si="5"/>
        <v>23902.205000000002</v>
      </c>
    </row>
    <row r="100" spans="1:8" x14ac:dyDescent="0.25">
      <c r="A100" s="61">
        <f>'A) Base RI'!A102</f>
        <v>5557</v>
      </c>
      <c r="B100" s="114" t="str">
        <f>'A) Base RI'!B102</f>
        <v>Fontaines-sur-Grandson</v>
      </c>
      <c r="C100" s="14">
        <f>'B) D RI'!Y102</f>
        <v>16738.3</v>
      </c>
      <c r="D100" s="19">
        <f>'B) D RI'!Z102</f>
        <v>1075.8499999999999</v>
      </c>
      <c r="E100" s="14">
        <f t="shared" si="3"/>
        <v>17814.149999999998</v>
      </c>
      <c r="F100" s="19">
        <f>'B) D RI'!U102</f>
        <v>4200.6523188405799</v>
      </c>
      <c r="G100" s="347">
        <f t="shared" si="4"/>
        <v>4.2408056291878191</v>
      </c>
      <c r="H100" s="74">
        <f t="shared" si="5"/>
        <v>8691.9049999999988</v>
      </c>
    </row>
    <row r="101" spans="1:8" x14ac:dyDescent="0.25">
      <c r="A101" s="61">
        <f>'A) Base RI'!A103</f>
        <v>5559</v>
      </c>
      <c r="B101" s="114" t="str">
        <f>'A) Base RI'!B103</f>
        <v>Giez</v>
      </c>
      <c r="C101" s="14">
        <f>'B) D RI'!Y103</f>
        <v>4171.5</v>
      </c>
      <c r="D101" s="19">
        <f>'B) D RI'!Z103</f>
        <v>24437.05</v>
      </c>
      <c r="E101" s="14">
        <f t="shared" si="3"/>
        <v>28608.55</v>
      </c>
      <c r="F101" s="19">
        <f>'B) D RI'!U103</f>
        <v>17998.483636363639</v>
      </c>
      <c r="G101" s="347">
        <f t="shared" si="4"/>
        <v>1.5894977920362177</v>
      </c>
      <c r="H101" s="74">
        <f t="shared" si="5"/>
        <v>9416.8649999999998</v>
      </c>
    </row>
    <row r="102" spans="1:8" x14ac:dyDescent="0.25">
      <c r="A102" s="61">
        <f>'A) Base RI'!A104</f>
        <v>5560</v>
      </c>
      <c r="B102" s="114" t="str">
        <f>'A) Base RI'!B104</f>
        <v>Grandevent</v>
      </c>
      <c r="C102" s="14">
        <f>'B) D RI'!Y104</f>
        <v>31220.25</v>
      </c>
      <c r="D102" s="19">
        <f>'B) D RI'!Z104</f>
        <v>0</v>
      </c>
      <c r="E102" s="14">
        <f t="shared" si="3"/>
        <v>31220.25</v>
      </c>
      <c r="F102" s="19">
        <f>'B) D RI'!U104</f>
        <v>6396.1444117647052</v>
      </c>
      <c r="G102" s="347">
        <f t="shared" si="4"/>
        <v>4.8811046139882714</v>
      </c>
      <c r="H102" s="74">
        <f t="shared" si="5"/>
        <v>15610.125</v>
      </c>
    </row>
    <row r="103" spans="1:8" x14ac:dyDescent="0.25">
      <c r="A103" s="61">
        <f>'A) Base RI'!A105</f>
        <v>5561</v>
      </c>
      <c r="B103" s="114" t="str">
        <f>'A) Base RI'!B105</f>
        <v>Grandson</v>
      </c>
      <c r="C103" s="14">
        <f>'B) D RI'!Y105</f>
        <v>702159.95</v>
      </c>
      <c r="D103" s="19">
        <f>'B) D RI'!Z105</f>
        <v>327346.25</v>
      </c>
      <c r="E103" s="14">
        <f t="shared" si="3"/>
        <v>1029506.2</v>
      </c>
      <c r="F103" s="19">
        <f>'B) D RI'!U105</f>
        <v>106507.86840579711</v>
      </c>
      <c r="G103" s="347">
        <f t="shared" si="4"/>
        <v>9.6660107408925011</v>
      </c>
      <c r="H103" s="74">
        <f t="shared" si="5"/>
        <v>449283.85</v>
      </c>
    </row>
    <row r="104" spans="1:8" x14ac:dyDescent="0.25">
      <c r="A104" s="61">
        <f>'A) Base RI'!A106</f>
        <v>5562</v>
      </c>
      <c r="B104" s="114" t="str">
        <f>'A) Base RI'!B106</f>
        <v>Mauborget</v>
      </c>
      <c r="C104" s="14">
        <f>'B) D RI'!Y106</f>
        <v>9603.5</v>
      </c>
      <c r="D104" s="19">
        <f>'B) D RI'!Z106</f>
        <v>0</v>
      </c>
      <c r="E104" s="14">
        <f t="shared" si="3"/>
        <v>9603.5</v>
      </c>
      <c r="F104" s="19">
        <f>'B) D RI'!U106</f>
        <v>3916.9319285714282</v>
      </c>
      <c r="G104" s="347">
        <f t="shared" si="4"/>
        <v>2.451791395696417</v>
      </c>
      <c r="H104" s="74">
        <f t="shared" si="5"/>
        <v>4801.75</v>
      </c>
    </row>
    <row r="105" spans="1:8" x14ac:dyDescent="0.25">
      <c r="A105" s="61">
        <f>'A) Base RI'!A107</f>
        <v>5563</v>
      </c>
      <c r="B105" s="114" t="str">
        <f>'A) Base RI'!B107</f>
        <v>Mutrux</v>
      </c>
      <c r="C105" s="14">
        <f>'B) D RI'!Y107</f>
        <v>12571.7</v>
      </c>
      <c r="D105" s="19">
        <f>'B) D RI'!Z107</f>
        <v>0</v>
      </c>
      <c r="E105" s="14">
        <f t="shared" si="3"/>
        <v>12571.7</v>
      </c>
      <c r="F105" s="19">
        <f>'B) D RI'!U107</f>
        <v>4102.2142675159239</v>
      </c>
      <c r="G105" s="347">
        <f t="shared" si="4"/>
        <v>3.0646132015948386</v>
      </c>
      <c r="H105" s="74">
        <f t="shared" si="5"/>
        <v>6285.85</v>
      </c>
    </row>
    <row r="106" spans="1:8" x14ac:dyDescent="0.25">
      <c r="A106" s="61">
        <f>'A) Base RI'!A108</f>
        <v>5564</v>
      </c>
      <c r="B106" s="114" t="str">
        <f>'A) Base RI'!B108</f>
        <v>Novalles</v>
      </c>
      <c r="C106" s="14">
        <f>'B) D RI'!Y108</f>
        <v>0</v>
      </c>
      <c r="D106" s="19">
        <f>'B) D RI'!Z108</f>
        <v>0</v>
      </c>
      <c r="E106" s="14">
        <f t="shared" si="3"/>
        <v>0</v>
      </c>
      <c r="F106" s="19">
        <f>'B) D RI'!U108</f>
        <v>2120.1975328947365</v>
      </c>
      <c r="G106" s="347">
        <f t="shared" si="4"/>
        <v>0</v>
      </c>
      <c r="H106" s="74">
        <f t="shared" si="5"/>
        <v>0</v>
      </c>
    </row>
    <row r="107" spans="1:8" x14ac:dyDescent="0.25">
      <c r="A107" s="61">
        <f>'A) Base RI'!A109</f>
        <v>5565</v>
      </c>
      <c r="B107" s="114" t="str">
        <f>'A) Base RI'!B109</f>
        <v>Onnens</v>
      </c>
      <c r="C107" s="14">
        <f>'B) D RI'!Y109</f>
        <v>51078.55</v>
      </c>
      <c r="D107" s="19">
        <f>'B) D RI'!Z109</f>
        <v>55616.3</v>
      </c>
      <c r="E107" s="14">
        <f t="shared" si="3"/>
        <v>106694.85</v>
      </c>
      <c r="F107" s="19">
        <f>'B) D RI'!U109</f>
        <v>19222.665538461537</v>
      </c>
      <c r="G107" s="347">
        <f t="shared" si="4"/>
        <v>5.550471124127939</v>
      </c>
      <c r="H107" s="74">
        <f t="shared" si="5"/>
        <v>42224.165000000001</v>
      </c>
    </row>
    <row r="108" spans="1:8" x14ac:dyDescent="0.25">
      <c r="A108" s="61">
        <f>'A) Base RI'!A110</f>
        <v>5566</v>
      </c>
      <c r="B108" s="114" t="str">
        <f>'A) Base RI'!B110</f>
        <v>Provence</v>
      </c>
      <c r="C108" s="14">
        <f>'B) D RI'!Y110</f>
        <v>4851.55</v>
      </c>
      <c r="D108" s="19">
        <f>'B) D RI'!Z110</f>
        <v>59855.6</v>
      </c>
      <c r="E108" s="14">
        <f t="shared" si="3"/>
        <v>64707.15</v>
      </c>
      <c r="F108" s="19">
        <f>'B) D RI'!U110</f>
        <v>7814.1319753086409</v>
      </c>
      <c r="G108" s="347">
        <f t="shared" si="4"/>
        <v>8.2807854032237813</v>
      </c>
      <c r="H108" s="74">
        <f t="shared" si="5"/>
        <v>20382.455000000002</v>
      </c>
    </row>
    <row r="109" spans="1:8" x14ac:dyDescent="0.25">
      <c r="A109" s="61">
        <f>'A) Base RI'!A111</f>
        <v>5568</v>
      </c>
      <c r="B109" s="114" t="str">
        <f>'A) Base RI'!B111</f>
        <v>Sainte-Croix</v>
      </c>
      <c r="C109" s="14">
        <f>'B) D RI'!Y111</f>
        <v>598893.9</v>
      </c>
      <c r="D109" s="19">
        <f>'B) D RI'!Z111</f>
        <v>2072950.7</v>
      </c>
      <c r="E109" s="14">
        <f t="shared" si="3"/>
        <v>2671844.6</v>
      </c>
      <c r="F109" s="19">
        <f>'B) D RI'!U111</f>
        <v>93435.029714285716</v>
      </c>
      <c r="G109" s="347">
        <f t="shared" si="4"/>
        <v>28.595748384414431</v>
      </c>
      <c r="H109" s="74">
        <f t="shared" si="5"/>
        <v>921332.15999999992</v>
      </c>
    </row>
    <row r="110" spans="1:8" x14ac:dyDescent="0.25">
      <c r="A110" s="61">
        <f>'A) Base RI'!A112</f>
        <v>5571</v>
      </c>
      <c r="B110" s="114" t="str">
        <f>'A) Base RI'!B112</f>
        <v>Tévenon</v>
      </c>
      <c r="C110" s="14">
        <f>'B) D RI'!Y112</f>
        <v>95424.7</v>
      </c>
      <c r="D110" s="19">
        <f>'B) D RI'!Z112</f>
        <v>61436.35</v>
      </c>
      <c r="E110" s="14">
        <f t="shared" si="3"/>
        <v>156861.04999999999</v>
      </c>
      <c r="F110" s="19">
        <f>'B) D RI'!U112</f>
        <v>20766.182465753427</v>
      </c>
      <c r="G110" s="347">
        <f t="shared" si="4"/>
        <v>7.5536777286189967</v>
      </c>
      <c r="H110" s="74">
        <f t="shared" si="5"/>
        <v>66143.255000000005</v>
      </c>
    </row>
    <row r="111" spans="1:8" x14ac:dyDescent="0.25">
      <c r="A111" s="61">
        <f>'A) Base RI'!A113</f>
        <v>5581</v>
      </c>
      <c r="B111" s="114" t="str">
        <f>'A) Base RI'!B113</f>
        <v>Belmont-sur-Lausanne</v>
      </c>
      <c r="C111" s="14">
        <f>'B) D RI'!Y113</f>
        <v>809912.45</v>
      </c>
      <c r="D111" s="19">
        <f>'B) D RI'!Z113</f>
        <v>0</v>
      </c>
      <c r="E111" s="14">
        <f t="shared" si="3"/>
        <v>809912.45</v>
      </c>
      <c r="F111" s="19">
        <f>'B) D RI'!U113</f>
        <v>173034.35179856114</v>
      </c>
      <c r="G111" s="347">
        <f t="shared" si="4"/>
        <v>4.6806454416800651</v>
      </c>
      <c r="H111" s="74">
        <f t="shared" si="5"/>
        <v>404956.22499999998</v>
      </c>
    </row>
    <row r="112" spans="1:8" x14ac:dyDescent="0.25">
      <c r="A112" s="61">
        <f>'A) Base RI'!A114</f>
        <v>5582</v>
      </c>
      <c r="B112" s="114" t="str">
        <f>'A) Base RI'!B114</f>
        <v>Cheseaux-sur-Lausanne</v>
      </c>
      <c r="C112" s="14">
        <f>'B) D RI'!Y114</f>
        <v>760977.05</v>
      </c>
      <c r="D112" s="19">
        <f>'B) D RI'!Z114</f>
        <v>603734.35</v>
      </c>
      <c r="E112" s="14">
        <f t="shared" si="3"/>
        <v>1364711.4</v>
      </c>
      <c r="F112" s="19">
        <f>'B) D RI'!U114</f>
        <v>165346.44872483221</v>
      </c>
      <c r="G112" s="347">
        <f t="shared" si="4"/>
        <v>8.2536480857302106</v>
      </c>
      <c r="H112" s="74">
        <f t="shared" si="5"/>
        <v>561608.83000000007</v>
      </c>
    </row>
    <row r="113" spans="1:8" x14ac:dyDescent="0.25">
      <c r="A113" s="61">
        <f>'A) Base RI'!A115</f>
        <v>5583</v>
      </c>
      <c r="B113" s="114" t="str">
        <f>'A) Base RI'!B115</f>
        <v>Crissier</v>
      </c>
      <c r="C113" s="14">
        <f>'B) D RI'!Y115</f>
        <v>1371078.9500000002</v>
      </c>
      <c r="D113" s="19">
        <f>'B) D RI'!Z115</f>
        <v>1552944.55</v>
      </c>
      <c r="E113" s="14">
        <f t="shared" si="3"/>
        <v>2924023.5</v>
      </c>
      <c r="F113" s="19">
        <f>'B) D RI'!U115</f>
        <v>323925.7196923077</v>
      </c>
      <c r="G113" s="347">
        <f t="shared" si="4"/>
        <v>9.0268333825961307</v>
      </c>
      <c r="H113" s="74">
        <f t="shared" si="5"/>
        <v>1151422.8400000001</v>
      </c>
    </row>
    <row r="114" spans="1:8" x14ac:dyDescent="0.25">
      <c r="A114" s="61">
        <f>'A) Base RI'!A116</f>
        <v>5584</v>
      </c>
      <c r="B114" s="114" t="str">
        <f>'A) Base RI'!B116</f>
        <v>Epalinges</v>
      </c>
      <c r="C114" s="14">
        <f>'B) D RI'!Y116</f>
        <v>3248379.15</v>
      </c>
      <c r="D114" s="19">
        <f>'B) D RI'!Z116</f>
        <v>154161.45000000001</v>
      </c>
      <c r="E114" s="14">
        <f t="shared" si="3"/>
        <v>3402540.6</v>
      </c>
      <c r="F114" s="19">
        <f>'B) D RI'!U116</f>
        <v>455923.60696969699</v>
      </c>
      <c r="G114" s="347">
        <f t="shared" si="4"/>
        <v>7.4629621015130949</v>
      </c>
      <c r="H114" s="74">
        <f t="shared" si="5"/>
        <v>1670438.01</v>
      </c>
    </row>
    <row r="115" spans="1:8" x14ac:dyDescent="0.25">
      <c r="A115" s="61">
        <f>'A) Base RI'!A117</f>
        <v>5585</v>
      </c>
      <c r="B115" s="114" t="str">
        <f>'A) Base RI'!B117</f>
        <v>Jouxtens-Mézery</v>
      </c>
      <c r="C115" s="14">
        <f>'B) D RI'!Y117</f>
        <v>545820.35</v>
      </c>
      <c r="D115" s="19">
        <f>'B) D RI'!Z117</f>
        <v>2778.95</v>
      </c>
      <c r="E115" s="14">
        <f t="shared" si="3"/>
        <v>548599.29999999993</v>
      </c>
      <c r="F115" s="19">
        <f>'B) D RI'!U117</f>
        <v>159177.88018867921</v>
      </c>
      <c r="G115" s="347">
        <f t="shared" si="4"/>
        <v>3.4464543650771429</v>
      </c>
      <c r="H115" s="74">
        <f t="shared" si="5"/>
        <v>273743.86</v>
      </c>
    </row>
    <row r="116" spans="1:8" x14ac:dyDescent="0.25">
      <c r="A116" s="61">
        <f>'A) Base RI'!A118</f>
        <v>5586</v>
      </c>
      <c r="B116" s="114" t="str">
        <f>'A) Base RI'!B118</f>
        <v>Lausanne</v>
      </c>
      <c r="C116" s="14">
        <f>'B) D RI'!Y118</f>
        <v>28187145.850000001</v>
      </c>
      <c r="D116" s="19">
        <f>'B) D RI'!Z118</f>
        <v>10512662.449999999</v>
      </c>
      <c r="E116" s="14">
        <f t="shared" si="3"/>
        <v>38699808.299999997</v>
      </c>
      <c r="F116" s="19">
        <f>'B) D RI'!U118</f>
        <v>5897479.10464135</v>
      </c>
      <c r="G116" s="347">
        <f t="shared" si="4"/>
        <v>6.562093330613588</v>
      </c>
      <c r="H116" s="74">
        <f t="shared" si="5"/>
        <v>17247371.66</v>
      </c>
    </row>
    <row r="117" spans="1:8" x14ac:dyDescent="0.25">
      <c r="A117" s="61">
        <f>'A) Base RI'!A119</f>
        <v>5587</v>
      </c>
      <c r="B117" s="114" t="str">
        <f>'A) Base RI'!B119</f>
        <v>Le Mont-sur-Lausanne</v>
      </c>
      <c r="C117" s="14">
        <f>'B) D RI'!Y119</f>
        <v>2952808.1</v>
      </c>
      <c r="D117" s="19">
        <f>'B) D RI'!Z119</f>
        <v>506518.25</v>
      </c>
      <c r="E117" s="14">
        <f t="shared" si="3"/>
        <v>3459326.35</v>
      </c>
      <c r="F117" s="19">
        <f>'B) D RI'!U119</f>
        <v>380449.00348888891</v>
      </c>
      <c r="G117" s="347">
        <f t="shared" si="4"/>
        <v>9.0927465133997405</v>
      </c>
      <c r="H117" s="74">
        <f t="shared" si="5"/>
        <v>1628359.5250000001</v>
      </c>
    </row>
    <row r="118" spans="1:8" x14ac:dyDescent="0.25">
      <c r="A118" s="61">
        <f>'A) Base RI'!A120</f>
        <v>5588</v>
      </c>
      <c r="B118" s="114" t="str">
        <f>'A) Base RI'!B120</f>
        <v>Paudex</v>
      </c>
      <c r="C118" s="14">
        <f>'B) D RI'!Y120</f>
        <v>37524.949999999997</v>
      </c>
      <c r="D118" s="19">
        <f>'B) D RI'!Z120</f>
        <v>18905.45</v>
      </c>
      <c r="E118" s="14">
        <f t="shared" si="3"/>
        <v>56430.399999999994</v>
      </c>
      <c r="F118" s="19">
        <f>'B) D RI'!U120</f>
        <v>152789.79231126595</v>
      </c>
      <c r="G118" s="347">
        <f t="shared" si="4"/>
        <v>0.36933357357433294</v>
      </c>
      <c r="H118" s="74">
        <f t="shared" si="5"/>
        <v>24434.11</v>
      </c>
    </row>
    <row r="119" spans="1:8" x14ac:dyDescent="0.25">
      <c r="A119" s="61">
        <f>'A) Base RI'!A121</f>
        <v>5589</v>
      </c>
      <c r="B119" s="114" t="str">
        <f>'A) Base RI'!B121</f>
        <v>Prilly</v>
      </c>
      <c r="C119" s="14">
        <f>'B) D RI'!Y121</f>
        <v>2618844</v>
      </c>
      <c r="D119" s="19">
        <f>'B) D RI'!Z121</f>
        <v>1442728.6</v>
      </c>
      <c r="E119" s="14">
        <f t="shared" si="3"/>
        <v>4061572.6</v>
      </c>
      <c r="F119" s="19">
        <f>'B) D RI'!U121</f>
        <v>462414.97306122456</v>
      </c>
      <c r="G119" s="347">
        <f t="shared" si="4"/>
        <v>8.7833933514567235</v>
      </c>
      <c r="H119" s="74">
        <f t="shared" si="5"/>
        <v>1742240.58</v>
      </c>
    </row>
    <row r="120" spans="1:8" x14ac:dyDescent="0.25">
      <c r="A120" s="61">
        <f>'A) Base RI'!A122</f>
        <v>5590</v>
      </c>
      <c r="B120" s="114" t="str">
        <f>'A) Base RI'!B122</f>
        <v>Pully</v>
      </c>
      <c r="C120" s="14">
        <f>'B) D RI'!Y122</f>
        <v>11229508.15</v>
      </c>
      <c r="D120" s="19">
        <f>'B) D RI'!Z122</f>
        <v>118526</v>
      </c>
      <c r="E120" s="14">
        <f t="shared" si="3"/>
        <v>11348034.15</v>
      </c>
      <c r="F120" s="19">
        <f>'B) D RI'!U122</f>
        <v>1366683.426371882</v>
      </c>
      <c r="G120" s="347">
        <f t="shared" si="4"/>
        <v>8.3033377964679715</v>
      </c>
      <c r="H120" s="74">
        <f t="shared" si="5"/>
        <v>5650311.875</v>
      </c>
    </row>
    <row r="121" spans="1:8" x14ac:dyDescent="0.25">
      <c r="A121" s="61">
        <f>'A) Base RI'!A123</f>
        <v>5591</v>
      </c>
      <c r="B121" s="114" t="str">
        <f>'A) Base RI'!B123</f>
        <v>Renens</v>
      </c>
      <c r="C121" s="14">
        <f>'B) D RI'!Y123</f>
        <v>1034508.75</v>
      </c>
      <c r="D121" s="19">
        <f>'B) D RI'!Z123</f>
        <v>2177057.7000000002</v>
      </c>
      <c r="E121" s="14">
        <f t="shared" si="3"/>
        <v>3211566.45</v>
      </c>
      <c r="F121" s="19">
        <f>'B) D RI'!U123</f>
        <v>546895.28569608741</v>
      </c>
      <c r="G121" s="347">
        <f t="shared" si="4"/>
        <v>5.8723608229906823</v>
      </c>
      <c r="H121" s="74">
        <f t="shared" si="5"/>
        <v>1170371.6850000001</v>
      </c>
    </row>
    <row r="122" spans="1:8" x14ac:dyDescent="0.25">
      <c r="A122" s="61">
        <f>'A) Base RI'!A124</f>
        <v>5592</v>
      </c>
      <c r="B122" s="114" t="str">
        <f>'A) Base RI'!B124</f>
        <v>Romanel-sur-Lausanne</v>
      </c>
      <c r="C122" s="14">
        <f>'B) D RI'!Y124</f>
        <v>856351.5</v>
      </c>
      <c r="D122" s="19">
        <f>'B) D RI'!Z124</f>
        <v>229362.6</v>
      </c>
      <c r="E122" s="14">
        <f t="shared" si="3"/>
        <v>1085714.1000000001</v>
      </c>
      <c r="F122" s="19">
        <f>'B) D RI'!U124</f>
        <v>110273.83828571429</v>
      </c>
      <c r="G122" s="347">
        <f t="shared" si="4"/>
        <v>9.8456181164834984</v>
      </c>
      <c r="H122" s="74">
        <f t="shared" si="5"/>
        <v>496984.53</v>
      </c>
    </row>
    <row r="123" spans="1:8" x14ac:dyDescent="0.25">
      <c r="A123" s="61">
        <f>'A) Base RI'!A125</f>
        <v>5601</v>
      </c>
      <c r="B123" s="114" t="str">
        <f>'A) Base RI'!B125</f>
        <v>Chexbres</v>
      </c>
      <c r="C123" s="14">
        <f>'B) D RI'!Y125</f>
        <v>619624.1</v>
      </c>
      <c r="D123" s="19">
        <f>'B) D RI'!Z125</f>
        <v>53917.5</v>
      </c>
      <c r="E123" s="14">
        <f t="shared" si="3"/>
        <v>673541.6</v>
      </c>
      <c r="F123" s="19">
        <f>'B) D RI'!U125</f>
        <v>104474.96078125002</v>
      </c>
      <c r="G123" s="347">
        <f t="shared" si="4"/>
        <v>6.4469189072993611</v>
      </c>
      <c r="H123" s="74">
        <f t="shared" si="5"/>
        <v>325987.3</v>
      </c>
    </row>
    <row r="124" spans="1:8" x14ac:dyDescent="0.25">
      <c r="A124" s="61">
        <f>'A) Base RI'!A126</f>
        <v>5604</v>
      </c>
      <c r="B124" s="114" t="str">
        <f>'A) Base RI'!B126</f>
        <v>Forel (Lavaux)</v>
      </c>
      <c r="C124" s="14">
        <f>'B) D RI'!Y126</f>
        <v>278225.75</v>
      </c>
      <c r="D124" s="19">
        <f>'B) D RI'!Z126</f>
        <v>6750.8</v>
      </c>
      <c r="E124" s="14">
        <f t="shared" si="3"/>
        <v>284976.55</v>
      </c>
      <c r="F124" s="19">
        <f>'B) D RI'!U126</f>
        <v>65514.699852941172</v>
      </c>
      <c r="G124" s="347">
        <f t="shared" si="4"/>
        <v>4.3498108155830382</v>
      </c>
      <c r="H124" s="74">
        <f t="shared" si="5"/>
        <v>141138.11499999999</v>
      </c>
    </row>
    <row r="125" spans="1:8" x14ac:dyDescent="0.25">
      <c r="A125" s="61">
        <f>'A) Base RI'!A127</f>
        <v>5606</v>
      </c>
      <c r="B125" s="114" t="str">
        <f>'A) Base RI'!B127</f>
        <v>Lutry</v>
      </c>
      <c r="C125" s="14">
        <f>'B) D RI'!Y127</f>
        <v>7523987.25</v>
      </c>
      <c r="D125" s="19">
        <f>'B) D RI'!Z127</f>
        <v>83906.4</v>
      </c>
      <c r="E125" s="14">
        <f t="shared" si="3"/>
        <v>7607893.6500000004</v>
      </c>
      <c r="F125" s="19">
        <f>'B) D RI'!U127</f>
        <v>742470.65823979594</v>
      </c>
      <c r="G125" s="347">
        <f t="shared" si="4"/>
        <v>10.246726339376602</v>
      </c>
      <c r="H125" s="74">
        <f t="shared" si="5"/>
        <v>3787165.5449999999</v>
      </c>
    </row>
    <row r="126" spans="1:8" x14ac:dyDescent="0.25">
      <c r="A126" s="61">
        <f>'A) Base RI'!A128</f>
        <v>5607</v>
      </c>
      <c r="B126" s="114" t="str">
        <f>'A) Base RI'!B128</f>
        <v>Puidoux</v>
      </c>
      <c r="C126" s="14">
        <f>'B) D RI'!Y128</f>
        <v>431450.95</v>
      </c>
      <c r="D126" s="19">
        <f>'B) D RI'!Z128</f>
        <v>140910.85</v>
      </c>
      <c r="E126" s="14">
        <f t="shared" si="3"/>
        <v>572361.80000000005</v>
      </c>
      <c r="F126" s="19">
        <f>'B) D RI'!U128</f>
        <v>100862.46201406649</v>
      </c>
      <c r="G126" s="347">
        <f t="shared" si="4"/>
        <v>5.6746760744366647</v>
      </c>
      <c r="H126" s="74">
        <f t="shared" si="5"/>
        <v>257998.73</v>
      </c>
    </row>
    <row r="127" spans="1:8" x14ac:dyDescent="0.25">
      <c r="A127" s="61">
        <f>'A) Base RI'!A129</f>
        <v>5609</v>
      </c>
      <c r="B127" s="114" t="str">
        <f>'A) Base RI'!B129</f>
        <v>Rivaz</v>
      </c>
      <c r="C127" s="14">
        <f>'B) D RI'!Y129</f>
        <v>102678.84999999999</v>
      </c>
      <c r="D127" s="19">
        <f>'B) D RI'!Z129</f>
        <v>0</v>
      </c>
      <c r="E127" s="14">
        <f t="shared" si="3"/>
        <v>102678.84999999999</v>
      </c>
      <c r="F127" s="19">
        <f>'B) D RI'!U129</f>
        <v>16122.244409448818</v>
      </c>
      <c r="G127" s="347">
        <f t="shared" si="4"/>
        <v>6.3687689748595204</v>
      </c>
      <c r="H127" s="74">
        <f t="shared" si="5"/>
        <v>51339.424999999996</v>
      </c>
    </row>
    <row r="128" spans="1:8" x14ac:dyDescent="0.25">
      <c r="A128" s="61">
        <f>'A) Base RI'!A130</f>
        <v>5610</v>
      </c>
      <c r="B128" s="114" t="str">
        <f>'A) Base RI'!B130</f>
        <v>St-Saphorin (Lavaux)</v>
      </c>
      <c r="C128" s="14">
        <f>'B) D RI'!Y130</f>
        <v>51923.149999999994</v>
      </c>
      <c r="D128" s="19">
        <f>'B) D RI'!Z130</f>
        <v>0</v>
      </c>
      <c r="E128" s="14">
        <f t="shared" si="3"/>
        <v>51923.149999999994</v>
      </c>
      <c r="F128" s="19">
        <f>'B) D RI'!U130</f>
        <v>20974.487096774192</v>
      </c>
      <c r="G128" s="347">
        <f t="shared" si="4"/>
        <v>2.4755384844659969</v>
      </c>
      <c r="H128" s="74">
        <f t="shared" si="5"/>
        <v>25961.574999999997</v>
      </c>
    </row>
    <row r="129" spans="1:8" x14ac:dyDescent="0.25">
      <c r="A129" s="61">
        <f>'A) Base RI'!A131</f>
        <v>5611</v>
      </c>
      <c r="B129" s="114" t="str">
        <f>'A) Base RI'!B131</f>
        <v>Savigny</v>
      </c>
      <c r="C129" s="14">
        <f>'B) D RI'!Y131</f>
        <v>818641.85000000009</v>
      </c>
      <c r="D129" s="19">
        <f>'B) D RI'!Z131</f>
        <v>93366.8</v>
      </c>
      <c r="E129" s="14">
        <f t="shared" si="3"/>
        <v>912008.65000000014</v>
      </c>
      <c r="F129" s="19">
        <f>'B) D RI'!U131</f>
        <v>130312.40671641791</v>
      </c>
      <c r="G129" s="347">
        <f t="shared" si="4"/>
        <v>6.9986325399137703</v>
      </c>
      <c r="H129" s="74">
        <f t="shared" si="5"/>
        <v>437330.96500000003</v>
      </c>
    </row>
    <row r="130" spans="1:8" x14ac:dyDescent="0.25">
      <c r="A130" s="61">
        <f>'A) Base RI'!A132</f>
        <v>5613</v>
      </c>
      <c r="B130" s="114" t="str">
        <f>'A) Base RI'!B132</f>
        <v>Bourg-en-Lavaux</v>
      </c>
      <c r="C130" s="14">
        <f>'B) D RI'!Y132</f>
        <v>2130527.7999999998</v>
      </c>
      <c r="D130" s="19">
        <f>'B) D RI'!Z132</f>
        <v>39091.699999999997</v>
      </c>
      <c r="E130" s="14">
        <f t="shared" si="3"/>
        <v>2169619.5</v>
      </c>
      <c r="F130" s="19">
        <f>'B) D RI'!U132</f>
        <v>295658.88923497271</v>
      </c>
      <c r="G130" s="347">
        <f t="shared" si="4"/>
        <v>7.3382522190148354</v>
      </c>
      <c r="H130" s="74">
        <f t="shared" si="5"/>
        <v>1076991.4099999999</v>
      </c>
    </row>
    <row r="131" spans="1:8" x14ac:dyDescent="0.25">
      <c r="A131" s="61">
        <f>'A) Base RI'!A133</f>
        <v>5621</v>
      </c>
      <c r="B131" s="114" t="str">
        <f>'A) Base RI'!B133</f>
        <v>Aclens</v>
      </c>
      <c r="C131" s="14">
        <f>'B) D RI'!Y133</f>
        <v>161823.25</v>
      </c>
      <c r="D131" s="19">
        <f>'B) D RI'!Z133</f>
        <v>144149.65</v>
      </c>
      <c r="E131" s="14">
        <f t="shared" si="3"/>
        <v>305972.90000000002</v>
      </c>
      <c r="F131" s="19">
        <f>'B) D RI'!U133</f>
        <v>33759.339076246331</v>
      </c>
      <c r="G131" s="347">
        <f t="shared" si="4"/>
        <v>9.0633557519876913</v>
      </c>
      <c r="H131" s="74">
        <f t="shared" si="5"/>
        <v>124156.51999999999</v>
      </c>
    </row>
    <row r="132" spans="1:8" x14ac:dyDescent="0.25">
      <c r="A132" s="61">
        <f>'A) Base RI'!A134</f>
        <v>5622</v>
      </c>
      <c r="B132" s="114" t="str">
        <f>'A) Base RI'!B134</f>
        <v>Bremblens</v>
      </c>
      <c r="C132" s="14">
        <f>'B) D RI'!Y134</f>
        <v>58060.600000000006</v>
      </c>
      <c r="D132" s="19">
        <f>'B) D RI'!Z134</f>
        <v>28375.7</v>
      </c>
      <c r="E132" s="14">
        <f t="shared" si="3"/>
        <v>86436.3</v>
      </c>
      <c r="F132" s="19">
        <f>'B) D RI'!U134</f>
        <v>28126.288636363635</v>
      </c>
      <c r="G132" s="347">
        <f t="shared" si="4"/>
        <v>3.0731498605276029</v>
      </c>
      <c r="H132" s="74">
        <f t="shared" si="5"/>
        <v>37543.01</v>
      </c>
    </row>
    <row r="133" spans="1:8" x14ac:dyDescent="0.25">
      <c r="A133" s="61">
        <f>'A) Base RI'!A135</f>
        <v>5623</v>
      </c>
      <c r="B133" s="114" t="str">
        <f>'A) Base RI'!B135</f>
        <v>Buchillon</v>
      </c>
      <c r="C133" s="14">
        <f>'B) D RI'!Y135</f>
        <v>613434.25</v>
      </c>
      <c r="D133" s="19">
        <f>'B) D RI'!Z135</f>
        <v>398.45</v>
      </c>
      <c r="E133" s="14">
        <f t="shared" si="3"/>
        <v>613832.69999999995</v>
      </c>
      <c r="F133" s="19">
        <f>'B) D RI'!U135</f>
        <v>86045.549622641513</v>
      </c>
      <c r="G133" s="347">
        <f t="shared" si="4"/>
        <v>7.1338111348234063</v>
      </c>
      <c r="H133" s="74">
        <f t="shared" si="5"/>
        <v>306836.65999999997</v>
      </c>
    </row>
    <row r="134" spans="1:8" x14ac:dyDescent="0.25">
      <c r="A134" s="61">
        <f>'A) Base RI'!A136</f>
        <v>5624</v>
      </c>
      <c r="B134" s="114" t="str">
        <f>'A) Base RI'!B136</f>
        <v>Bussigny</v>
      </c>
      <c r="C134" s="14">
        <f>'B) D RI'!Y136</f>
        <v>4508643.8999999994</v>
      </c>
      <c r="D134" s="19">
        <f>'B) D RI'!Z136</f>
        <v>1218010.7</v>
      </c>
      <c r="E134" s="14">
        <f t="shared" ref="E134:E197" si="6">C134+D134</f>
        <v>5726654.5999999996</v>
      </c>
      <c r="F134" s="19">
        <f>'B) D RI'!U136</f>
        <v>312174.83774193545</v>
      </c>
      <c r="G134" s="347">
        <f t="shared" ref="G134:G197" si="7">E134/F134</f>
        <v>18.344382402575427</v>
      </c>
      <c r="H134" s="74">
        <f t="shared" ref="H134:H197" si="8">(C134*$C$4)+(D134*$D$4)</f>
        <v>2619725.1599999997</v>
      </c>
    </row>
    <row r="135" spans="1:8" x14ac:dyDescent="0.25">
      <c r="A135" s="61">
        <f>'A) Base RI'!A137</f>
        <v>5625</v>
      </c>
      <c r="B135" s="114" t="str">
        <f>'A) Base RI'!B137</f>
        <v>Bussy-Chardonney</v>
      </c>
      <c r="C135" s="14">
        <f>'B) D RI'!Y137</f>
        <v>103215.7</v>
      </c>
      <c r="D135" s="19">
        <f>'B) D RI'!Z137</f>
        <v>0</v>
      </c>
      <c r="E135" s="14">
        <f t="shared" si="6"/>
        <v>103215.7</v>
      </c>
      <c r="F135" s="19">
        <f>'B) D RI'!U137</f>
        <v>16172.617200854704</v>
      </c>
      <c r="G135" s="347">
        <f t="shared" si="7"/>
        <v>6.3821271917908975</v>
      </c>
      <c r="H135" s="74">
        <f t="shared" si="8"/>
        <v>51607.85</v>
      </c>
    </row>
    <row r="136" spans="1:8" x14ac:dyDescent="0.25">
      <c r="A136" s="61">
        <f>'A) Base RI'!A138</f>
        <v>5627</v>
      </c>
      <c r="B136" s="114" t="str">
        <f>'A) Base RI'!B138</f>
        <v>Chavannes-près-Renens</v>
      </c>
      <c r="C136" s="14">
        <f>'B) D RI'!Y138</f>
        <v>385686.9</v>
      </c>
      <c r="D136" s="19">
        <f>'B) D RI'!Z138</f>
        <v>422979.5</v>
      </c>
      <c r="E136" s="14">
        <f t="shared" si="6"/>
        <v>808666.4</v>
      </c>
      <c r="F136" s="19">
        <f>'B) D RI'!U138</f>
        <v>162511.92244725736</v>
      </c>
      <c r="G136" s="347">
        <f t="shared" si="7"/>
        <v>4.9760435285137294</v>
      </c>
      <c r="H136" s="74">
        <f t="shared" si="8"/>
        <v>319737.3</v>
      </c>
    </row>
    <row r="137" spans="1:8" x14ac:dyDescent="0.25">
      <c r="A137" s="61">
        <f>'A) Base RI'!A139</f>
        <v>5628</v>
      </c>
      <c r="B137" s="114" t="str">
        <f>'A) Base RI'!B139</f>
        <v>Chigny</v>
      </c>
      <c r="C137" s="14">
        <f>'B) D RI'!Y139</f>
        <v>0</v>
      </c>
      <c r="D137" s="19">
        <f>'B) D RI'!Z139</f>
        <v>4636.45</v>
      </c>
      <c r="E137" s="14">
        <f t="shared" si="6"/>
        <v>4636.45</v>
      </c>
      <c r="F137" s="19">
        <f>'B) D RI'!U139</f>
        <v>19064.278346774194</v>
      </c>
      <c r="G137" s="347">
        <f t="shared" si="7"/>
        <v>0.24320091826526016</v>
      </c>
      <c r="H137" s="74">
        <f t="shared" si="8"/>
        <v>1390.9349999999999</v>
      </c>
    </row>
    <row r="138" spans="1:8" x14ac:dyDescent="0.25">
      <c r="A138" s="61">
        <f>'A) Base RI'!A140</f>
        <v>5629</v>
      </c>
      <c r="B138" s="114" t="str">
        <f>'A) Base RI'!B140</f>
        <v>Clarmont</v>
      </c>
      <c r="C138" s="14">
        <f>'B) D RI'!Y140</f>
        <v>21236</v>
      </c>
      <c r="D138" s="19">
        <f>'B) D RI'!Z140</f>
        <v>0</v>
      </c>
      <c r="E138" s="14">
        <f t="shared" si="6"/>
        <v>21236</v>
      </c>
      <c r="F138" s="19">
        <f>'B) D RI'!U140</f>
        <v>7581.8990666666659</v>
      </c>
      <c r="G138" s="347">
        <f t="shared" si="7"/>
        <v>2.8008813904372212</v>
      </c>
      <c r="H138" s="74">
        <f t="shared" si="8"/>
        <v>10618</v>
      </c>
    </row>
    <row r="139" spans="1:8" x14ac:dyDescent="0.25">
      <c r="A139" s="61">
        <f>'A) Base RI'!A141</f>
        <v>5631</v>
      </c>
      <c r="B139" s="114" t="str">
        <f>'A) Base RI'!B141</f>
        <v>Denens</v>
      </c>
      <c r="C139" s="14">
        <f>'B) D RI'!Y141</f>
        <v>548150.44999999995</v>
      </c>
      <c r="D139" s="19">
        <f>'B) D RI'!Z141</f>
        <v>0</v>
      </c>
      <c r="E139" s="14">
        <f t="shared" si="6"/>
        <v>548150.44999999995</v>
      </c>
      <c r="F139" s="19">
        <f>'B) D RI'!U141</f>
        <v>34218.35955882354</v>
      </c>
      <c r="G139" s="347">
        <f t="shared" si="7"/>
        <v>16.019191365900941</v>
      </c>
      <c r="H139" s="74">
        <f t="shared" si="8"/>
        <v>274075.22499999998</v>
      </c>
    </row>
    <row r="140" spans="1:8" x14ac:dyDescent="0.25">
      <c r="A140" s="61">
        <f>'A) Base RI'!A142</f>
        <v>5632</v>
      </c>
      <c r="B140" s="114" t="str">
        <f>'A) Base RI'!B142</f>
        <v>Denges</v>
      </c>
      <c r="C140" s="14">
        <f>'B) D RI'!Y142</f>
        <v>251539.20000000001</v>
      </c>
      <c r="D140" s="19">
        <f>'B) D RI'!Z142</f>
        <v>63740.2</v>
      </c>
      <c r="E140" s="14">
        <f t="shared" si="6"/>
        <v>315279.40000000002</v>
      </c>
      <c r="F140" s="19">
        <f>'B) D RI'!U142</f>
        <v>70599.599193548376</v>
      </c>
      <c r="G140" s="347">
        <f t="shared" si="7"/>
        <v>4.4657392336699173</v>
      </c>
      <c r="H140" s="74">
        <f t="shared" si="8"/>
        <v>144891.66</v>
      </c>
    </row>
    <row r="141" spans="1:8" x14ac:dyDescent="0.25">
      <c r="A141" s="61">
        <f>'A) Base RI'!A143</f>
        <v>5633</v>
      </c>
      <c r="B141" s="114" t="str">
        <f>'A) Base RI'!B143</f>
        <v>Echandens</v>
      </c>
      <c r="C141" s="14">
        <f>'B) D RI'!Y143</f>
        <v>583151.19999999995</v>
      </c>
      <c r="D141" s="19">
        <f>'B) D RI'!Z143</f>
        <v>151361.35</v>
      </c>
      <c r="E141" s="14">
        <f t="shared" si="6"/>
        <v>734512.54999999993</v>
      </c>
      <c r="F141" s="19">
        <f>'B) D RI'!U143</f>
        <v>123013.45645161292</v>
      </c>
      <c r="G141" s="347">
        <f t="shared" si="7"/>
        <v>5.9709935090631232</v>
      </c>
      <c r="H141" s="74">
        <f t="shared" si="8"/>
        <v>336984.005</v>
      </c>
    </row>
    <row r="142" spans="1:8" x14ac:dyDescent="0.25">
      <c r="A142" s="61">
        <f>'A) Base RI'!A144</f>
        <v>5634</v>
      </c>
      <c r="B142" s="114" t="str">
        <f>'A) Base RI'!B144</f>
        <v>Echichens</v>
      </c>
      <c r="C142" s="14">
        <f>'B) D RI'!Y144</f>
        <v>497110.5</v>
      </c>
      <c r="D142" s="19">
        <f>'B) D RI'!Z144</f>
        <v>12832.1</v>
      </c>
      <c r="E142" s="14">
        <f t="shared" si="6"/>
        <v>509942.6</v>
      </c>
      <c r="F142" s="19">
        <f>'B) D RI'!U144</f>
        <v>121660.2017647059</v>
      </c>
      <c r="G142" s="347">
        <f t="shared" si="7"/>
        <v>4.1915317630842228</v>
      </c>
      <c r="H142" s="74">
        <f t="shared" si="8"/>
        <v>252404.88</v>
      </c>
    </row>
    <row r="143" spans="1:8" x14ac:dyDescent="0.25">
      <c r="A143" s="61">
        <f>'A) Base RI'!A145</f>
        <v>5635</v>
      </c>
      <c r="B143" s="114" t="str">
        <f>'A) Base RI'!B145</f>
        <v>Ecublens</v>
      </c>
      <c r="C143" s="14">
        <f>'B) D RI'!Y145</f>
        <v>936681.14999999991</v>
      </c>
      <c r="D143" s="19">
        <f>'B) D RI'!Z145</f>
        <v>1941766.45</v>
      </c>
      <c r="E143" s="14">
        <f t="shared" si="6"/>
        <v>2878447.5999999996</v>
      </c>
      <c r="F143" s="19">
        <f>'B) D RI'!U145</f>
        <v>470087.75038200343</v>
      </c>
      <c r="G143" s="347">
        <f t="shared" si="7"/>
        <v>6.1232133738028933</v>
      </c>
      <c r="H143" s="74">
        <f t="shared" si="8"/>
        <v>1050870.5099999998</v>
      </c>
    </row>
    <row r="144" spans="1:8" x14ac:dyDescent="0.25">
      <c r="A144" s="61">
        <f>'A) Base RI'!A146</f>
        <v>5636</v>
      </c>
      <c r="B144" s="114" t="str">
        <f>'A) Base RI'!B146</f>
        <v>Etoy</v>
      </c>
      <c r="C144" s="14">
        <f>'B) D RI'!Y146</f>
        <v>567404.85</v>
      </c>
      <c r="D144" s="19">
        <f>'B) D RI'!Z146</f>
        <v>581441.30000000005</v>
      </c>
      <c r="E144" s="14">
        <f t="shared" si="6"/>
        <v>1148846.1499999999</v>
      </c>
      <c r="F144" s="19">
        <f>'B) D RI'!U146</f>
        <v>158779.04229508198</v>
      </c>
      <c r="G144" s="347">
        <f t="shared" si="7"/>
        <v>7.2355024529303655</v>
      </c>
      <c r="H144" s="74">
        <f t="shared" si="8"/>
        <v>458134.815</v>
      </c>
    </row>
    <row r="145" spans="1:8" x14ac:dyDescent="0.25">
      <c r="A145" s="61">
        <f>'A) Base RI'!A147</f>
        <v>5637</v>
      </c>
      <c r="B145" s="114" t="str">
        <f>'A) Base RI'!B147</f>
        <v>Lavigny</v>
      </c>
      <c r="C145" s="14">
        <f>'B) D RI'!Y147</f>
        <v>242389</v>
      </c>
      <c r="D145" s="19">
        <f>'B) D RI'!Z147</f>
        <v>254087.65</v>
      </c>
      <c r="E145" s="14">
        <f t="shared" si="6"/>
        <v>496476.65</v>
      </c>
      <c r="F145" s="19">
        <f>'B) D RI'!U147</f>
        <v>31075.388277404931</v>
      </c>
      <c r="G145" s="347">
        <f t="shared" si="7"/>
        <v>15.976522821469963</v>
      </c>
      <c r="H145" s="74">
        <f t="shared" si="8"/>
        <v>197420.79499999998</v>
      </c>
    </row>
    <row r="146" spans="1:8" x14ac:dyDescent="0.25">
      <c r="A146" s="61">
        <f>'A) Base RI'!A148</f>
        <v>5638</v>
      </c>
      <c r="B146" s="114" t="str">
        <f>'A) Base RI'!B148</f>
        <v>Lonay</v>
      </c>
      <c r="C146" s="14">
        <f>'B) D RI'!Y148</f>
        <v>1784079.2</v>
      </c>
      <c r="D146" s="19">
        <f>'B) D RI'!Z148</f>
        <v>129820.9</v>
      </c>
      <c r="E146" s="14">
        <f t="shared" si="6"/>
        <v>1913900.0999999999</v>
      </c>
      <c r="F146" s="19">
        <f>'B) D RI'!U148</f>
        <v>152475.57054545457</v>
      </c>
      <c r="G146" s="347">
        <f t="shared" si="7"/>
        <v>12.552175362606341</v>
      </c>
      <c r="H146" s="74">
        <f t="shared" si="8"/>
        <v>930985.87</v>
      </c>
    </row>
    <row r="147" spans="1:8" x14ac:dyDescent="0.25">
      <c r="A147" s="61">
        <f>'A) Base RI'!A149</f>
        <v>5639</v>
      </c>
      <c r="B147" s="114" t="str">
        <f>'A) Base RI'!B149</f>
        <v>Lully</v>
      </c>
      <c r="C147" s="14">
        <f>'B) D RI'!Y149</f>
        <v>274858.75</v>
      </c>
      <c r="D147" s="19">
        <f>'B) D RI'!Z149</f>
        <v>0</v>
      </c>
      <c r="E147" s="14">
        <f t="shared" si="6"/>
        <v>274858.75</v>
      </c>
      <c r="F147" s="19">
        <f>'B) D RI'!U149</f>
        <v>42318.428360655736</v>
      </c>
      <c r="G147" s="347">
        <f t="shared" si="7"/>
        <v>6.4950131809606972</v>
      </c>
      <c r="H147" s="74">
        <f t="shared" si="8"/>
        <v>137429.375</v>
      </c>
    </row>
    <row r="148" spans="1:8" x14ac:dyDescent="0.25">
      <c r="A148" s="61">
        <f>'A) Base RI'!A150</f>
        <v>5640</v>
      </c>
      <c r="B148" s="114" t="str">
        <f>'A) Base RI'!B150</f>
        <v>Lussy-sur-Morges</v>
      </c>
      <c r="C148" s="14">
        <f>'B) D RI'!Y150</f>
        <v>267844.09999999998</v>
      </c>
      <c r="D148" s="19">
        <f>'B) D RI'!Z150</f>
        <v>18171.5</v>
      </c>
      <c r="E148" s="14">
        <f t="shared" si="6"/>
        <v>286015.59999999998</v>
      </c>
      <c r="F148" s="19">
        <f>'B) D RI'!U150</f>
        <v>45310.844393939391</v>
      </c>
      <c r="G148" s="347">
        <f t="shared" si="7"/>
        <v>6.3122990495020739</v>
      </c>
      <c r="H148" s="74">
        <f t="shared" si="8"/>
        <v>139373.5</v>
      </c>
    </row>
    <row r="149" spans="1:8" x14ac:dyDescent="0.25">
      <c r="A149" s="61">
        <f>'A) Base RI'!A151</f>
        <v>5642</v>
      </c>
      <c r="B149" s="114" t="str">
        <f>'A) Base RI'!B151</f>
        <v>Morges</v>
      </c>
      <c r="C149" s="14">
        <f>'B) D RI'!Y151</f>
        <v>4195705.75</v>
      </c>
      <c r="D149" s="19">
        <f>'B) D RI'!Z151</f>
        <v>1193384.05</v>
      </c>
      <c r="E149" s="14">
        <f t="shared" si="6"/>
        <v>5389089.7999999998</v>
      </c>
      <c r="F149" s="19">
        <f>'B) D RI'!U151</f>
        <v>715380.13065693423</v>
      </c>
      <c r="G149" s="347">
        <f t="shared" si="7"/>
        <v>7.5331835049027625</v>
      </c>
      <c r="H149" s="74">
        <f t="shared" si="8"/>
        <v>2455868.09</v>
      </c>
    </row>
    <row r="150" spans="1:8" x14ac:dyDescent="0.25">
      <c r="A150" s="61">
        <f>'A) Base RI'!A152</f>
        <v>5643</v>
      </c>
      <c r="B150" s="114" t="str">
        <f>'A) Base RI'!B152</f>
        <v>Préverenges</v>
      </c>
      <c r="C150" s="14">
        <f>'B) D RI'!Y152</f>
        <v>822280.2</v>
      </c>
      <c r="D150" s="19">
        <f>'B) D RI'!Z152</f>
        <v>160776.25</v>
      </c>
      <c r="E150" s="14">
        <f t="shared" si="6"/>
        <v>983056.45</v>
      </c>
      <c r="F150" s="19">
        <f>'B) D RI'!U152</f>
        <v>249793.53640625</v>
      </c>
      <c r="G150" s="347">
        <f t="shared" si="7"/>
        <v>3.9354759300145097</v>
      </c>
      <c r="H150" s="74">
        <f t="shared" si="8"/>
        <v>459372.97499999998</v>
      </c>
    </row>
    <row r="151" spans="1:8" x14ac:dyDescent="0.25">
      <c r="A151" s="61">
        <f>'A) Base RI'!A153</f>
        <v>5644</v>
      </c>
      <c r="B151" s="114" t="str">
        <f>'A) Base RI'!B153</f>
        <v>Reverolle</v>
      </c>
      <c r="C151" s="14">
        <f>'B) D RI'!Y153</f>
        <v>97652.6</v>
      </c>
      <c r="D151" s="19">
        <f>'B) D RI'!Z153</f>
        <v>7214.6</v>
      </c>
      <c r="E151" s="14">
        <f t="shared" si="6"/>
        <v>104867.20000000001</v>
      </c>
      <c r="F151" s="19">
        <f>'B) D RI'!U153</f>
        <v>15594.857631578949</v>
      </c>
      <c r="G151" s="347">
        <f t="shared" si="7"/>
        <v>6.724473058840128</v>
      </c>
      <c r="H151" s="74">
        <f t="shared" si="8"/>
        <v>50990.68</v>
      </c>
    </row>
    <row r="152" spans="1:8" x14ac:dyDescent="0.25">
      <c r="A152" s="61">
        <f>'A) Base RI'!A154</f>
        <v>5645</v>
      </c>
      <c r="B152" s="114" t="str">
        <f>'A) Base RI'!B154</f>
        <v>Romanel-sur-Morges</v>
      </c>
      <c r="C152" s="14">
        <f>'B) D RI'!Y154</f>
        <v>42298.25</v>
      </c>
      <c r="D152" s="19">
        <f>'B) D RI'!Z154</f>
        <v>51663.6</v>
      </c>
      <c r="E152" s="14">
        <f t="shared" si="6"/>
        <v>93961.85</v>
      </c>
      <c r="F152" s="19">
        <f>'B) D RI'!U154</f>
        <v>25378.60526785714</v>
      </c>
      <c r="G152" s="347">
        <f t="shared" si="7"/>
        <v>3.7024040134705851</v>
      </c>
      <c r="H152" s="74">
        <f t="shared" si="8"/>
        <v>36648.205000000002</v>
      </c>
    </row>
    <row r="153" spans="1:8" x14ac:dyDescent="0.25">
      <c r="A153" s="61">
        <f>'A) Base RI'!A155</f>
        <v>5646</v>
      </c>
      <c r="B153" s="114" t="str">
        <f>'A) Base RI'!B155</f>
        <v>Saint-Prex</v>
      </c>
      <c r="C153" s="14">
        <f>'B) D RI'!Y155</f>
        <v>2938287.1999999997</v>
      </c>
      <c r="D153" s="19">
        <f>'B) D RI'!Z155</f>
        <v>493653.25</v>
      </c>
      <c r="E153" s="14">
        <f t="shared" si="6"/>
        <v>3431940.4499999997</v>
      </c>
      <c r="F153" s="19">
        <f>'B) D RI'!U155</f>
        <v>307317.64145454549</v>
      </c>
      <c r="G153" s="347">
        <f t="shared" si="7"/>
        <v>11.16740462329628</v>
      </c>
      <c r="H153" s="74">
        <f t="shared" si="8"/>
        <v>1617239.575</v>
      </c>
    </row>
    <row r="154" spans="1:8" x14ac:dyDescent="0.25">
      <c r="A154" s="61">
        <f>'A) Base RI'!A156</f>
        <v>5648</v>
      </c>
      <c r="B154" s="114" t="str">
        <f>'A) Base RI'!B156</f>
        <v>Saint-Sulpice</v>
      </c>
      <c r="C154" s="14">
        <f>'B) D RI'!Y156</f>
        <v>2581252.23</v>
      </c>
      <c r="D154" s="19">
        <f>'B) D RI'!Z156</f>
        <v>71491.8</v>
      </c>
      <c r="E154" s="14">
        <f t="shared" si="6"/>
        <v>2652744.0299999998</v>
      </c>
      <c r="F154" s="19">
        <f>'B) D RI'!U156</f>
        <v>307335.61263636366</v>
      </c>
      <c r="G154" s="347">
        <f t="shared" si="7"/>
        <v>8.6314241530437261</v>
      </c>
      <c r="H154" s="74">
        <f t="shared" si="8"/>
        <v>1312073.655</v>
      </c>
    </row>
    <row r="155" spans="1:8" x14ac:dyDescent="0.25">
      <c r="A155" s="61">
        <f>'A) Base RI'!A157</f>
        <v>5649</v>
      </c>
      <c r="B155" s="114" t="str">
        <f>'A) Base RI'!B157</f>
        <v>Tolochenaz</v>
      </c>
      <c r="C155" s="14">
        <f>'B) D RI'!Y157</f>
        <v>388528.75</v>
      </c>
      <c r="D155" s="19">
        <f>'B) D RI'!Z157</f>
        <v>438479.5</v>
      </c>
      <c r="E155" s="14">
        <f t="shared" si="6"/>
        <v>827008.25</v>
      </c>
      <c r="F155" s="19">
        <f>'B) D RI'!U157</f>
        <v>109360.12415384616</v>
      </c>
      <c r="G155" s="347">
        <f t="shared" si="7"/>
        <v>7.5622468097839519</v>
      </c>
      <c r="H155" s="74">
        <f t="shared" si="8"/>
        <v>325808.22499999998</v>
      </c>
    </row>
    <row r="156" spans="1:8" x14ac:dyDescent="0.25">
      <c r="A156" s="61">
        <f>'A) Base RI'!A158</f>
        <v>5650</v>
      </c>
      <c r="B156" s="114" t="str">
        <f>'A) Base RI'!B158</f>
        <v>Vaux-sur-Morges</v>
      </c>
      <c r="C156" s="14">
        <f>'B) D RI'!Y158</f>
        <v>71154.3</v>
      </c>
      <c r="D156" s="19">
        <f>'B) D RI'!Z158</f>
        <v>0</v>
      </c>
      <c r="E156" s="14">
        <f t="shared" si="6"/>
        <v>71154.3</v>
      </c>
      <c r="F156" s="19">
        <f>'B) D RI'!U158</f>
        <v>185061.46846153846</v>
      </c>
      <c r="G156" s="347">
        <f t="shared" si="7"/>
        <v>0.38449008641033283</v>
      </c>
      <c r="H156" s="74">
        <f t="shared" si="8"/>
        <v>35577.15</v>
      </c>
    </row>
    <row r="157" spans="1:8" x14ac:dyDescent="0.25">
      <c r="A157" s="61">
        <f>'A) Base RI'!A159</f>
        <v>5651</v>
      </c>
      <c r="B157" s="114" t="str">
        <f>'A) Base RI'!B159</f>
        <v>Villars-Sainte-Croix</v>
      </c>
      <c r="C157" s="14">
        <f>'B) D RI'!Y159</f>
        <v>449627.65</v>
      </c>
      <c r="D157" s="19">
        <f>'B) D RI'!Z159</f>
        <v>128413.05</v>
      </c>
      <c r="E157" s="14">
        <f t="shared" si="6"/>
        <v>578040.70000000007</v>
      </c>
      <c r="F157" s="19">
        <f>'B) D RI'!U159</f>
        <v>37823.297796610175</v>
      </c>
      <c r="G157" s="347">
        <f t="shared" si="7"/>
        <v>15.282662635826684</v>
      </c>
      <c r="H157" s="74">
        <f t="shared" si="8"/>
        <v>263337.74</v>
      </c>
    </row>
    <row r="158" spans="1:8" x14ac:dyDescent="0.25">
      <c r="A158" s="61">
        <f>'A) Base RI'!A160</f>
        <v>5652</v>
      </c>
      <c r="B158" s="114" t="str">
        <f>'A) Base RI'!B160</f>
        <v>Villars-sous-Yens</v>
      </c>
      <c r="C158" s="14">
        <f>'B) D RI'!Y160</f>
        <v>55316.85</v>
      </c>
      <c r="D158" s="19">
        <f>'B) D RI'!Z160</f>
        <v>2164.85</v>
      </c>
      <c r="E158" s="14">
        <f t="shared" si="6"/>
        <v>57481.7</v>
      </c>
      <c r="F158" s="19">
        <f>'B) D RI'!U160</f>
        <v>23640.281403508772</v>
      </c>
      <c r="G158" s="347">
        <f t="shared" si="7"/>
        <v>2.4315150492019257</v>
      </c>
      <c r="H158" s="74">
        <f t="shared" si="8"/>
        <v>28307.879999999997</v>
      </c>
    </row>
    <row r="159" spans="1:8" x14ac:dyDescent="0.25">
      <c r="A159" s="61">
        <f>'A) Base RI'!A161</f>
        <v>5653</v>
      </c>
      <c r="B159" s="114" t="str">
        <f>'A) Base RI'!B161</f>
        <v>Vufflens-le-Château</v>
      </c>
      <c r="C159" s="14">
        <f>'B) D RI'!Y161</f>
        <v>165635.29999999999</v>
      </c>
      <c r="D159" s="19">
        <f>'B) D RI'!Z161</f>
        <v>1822.2</v>
      </c>
      <c r="E159" s="14">
        <f t="shared" si="6"/>
        <v>167457.5</v>
      </c>
      <c r="F159" s="19">
        <f>'B) D RI'!U161</f>
        <v>59809.956818181818</v>
      </c>
      <c r="G159" s="347">
        <f t="shared" si="7"/>
        <v>2.7998264655007086</v>
      </c>
      <c r="H159" s="74">
        <f t="shared" si="8"/>
        <v>83364.31</v>
      </c>
    </row>
    <row r="160" spans="1:8" x14ac:dyDescent="0.25">
      <c r="A160" s="61">
        <f>'A) Base RI'!A162</f>
        <v>5654</v>
      </c>
      <c r="B160" s="114" t="str">
        <f>'A) Base RI'!B162</f>
        <v>Vullierens</v>
      </c>
      <c r="C160" s="14">
        <f>'B) D RI'!Y162</f>
        <v>135068.20000000001</v>
      </c>
      <c r="D160" s="19">
        <f>'B) D RI'!Z162</f>
        <v>0</v>
      </c>
      <c r="E160" s="14">
        <f t="shared" si="6"/>
        <v>135068.20000000001</v>
      </c>
      <c r="F160" s="19">
        <f>'B) D RI'!U162</f>
        <v>16948.890394736845</v>
      </c>
      <c r="G160" s="347">
        <f t="shared" si="7"/>
        <v>7.9691470564906632</v>
      </c>
      <c r="H160" s="74">
        <f t="shared" si="8"/>
        <v>67534.100000000006</v>
      </c>
    </row>
    <row r="161" spans="1:8" x14ac:dyDescent="0.25">
      <c r="A161" s="61">
        <f>'A) Base RI'!A163</f>
        <v>5655</v>
      </c>
      <c r="B161" s="114" t="str">
        <f>'A) Base RI'!B163</f>
        <v>Yens</v>
      </c>
      <c r="C161" s="14">
        <f>'B) D RI'!Y163</f>
        <v>801378.35000000009</v>
      </c>
      <c r="D161" s="19">
        <f>'B) D RI'!Z163</f>
        <v>51970.45</v>
      </c>
      <c r="E161" s="14">
        <f t="shared" si="6"/>
        <v>853348.8</v>
      </c>
      <c r="F161" s="19">
        <f>'B) D RI'!U163</f>
        <v>68107.282191780832</v>
      </c>
      <c r="G161" s="347">
        <f t="shared" si="7"/>
        <v>12.529479558398558</v>
      </c>
      <c r="H161" s="74">
        <f t="shared" si="8"/>
        <v>416280.31000000006</v>
      </c>
    </row>
    <row r="162" spans="1:8" x14ac:dyDescent="0.25">
      <c r="A162" s="61">
        <f>'A) Base RI'!A164</f>
        <v>5661</v>
      </c>
      <c r="B162" s="114" t="str">
        <f>'A) Base RI'!B164</f>
        <v>Boulens</v>
      </c>
      <c r="C162" s="14">
        <f>'B) D RI'!Y164</f>
        <v>29541</v>
      </c>
      <c r="D162" s="19">
        <f>'B) D RI'!Z164</f>
        <v>13789.55</v>
      </c>
      <c r="E162" s="14">
        <f t="shared" si="6"/>
        <v>43330.55</v>
      </c>
      <c r="F162" s="19">
        <f>'B) D RI'!U164</f>
        <v>7277.4751898734185</v>
      </c>
      <c r="G162" s="347">
        <f t="shared" si="7"/>
        <v>5.9540635824213197</v>
      </c>
      <c r="H162" s="74">
        <f t="shared" si="8"/>
        <v>18907.364999999998</v>
      </c>
    </row>
    <row r="163" spans="1:8" x14ac:dyDescent="0.25">
      <c r="A163" s="61">
        <f>'A) Base RI'!A165</f>
        <v>5663</v>
      </c>
      <c r="B163" s="114" t="str">
        <f>'A) Base RI'!B165</f>
        <v>Bussy-sur-Moudon</v>
      </c>
      <c r="C163" s="14">
        <f>'B) D RI'!Y165</f>
        <v>61527.3</v>
      </c>
      <c r="D163" s="19">
        <f>'B) D RI'!Z165</f>
        <v>0</v>
      </c>
      <c r="E163" s="14">
        <f t="shared" si="6"/>
        <v>61527.3</v>
      </c>
      <c r="F163" s="19">
        <f>'B) D RI'!U165</f>
        <v>4999.1039999999994</v>
      </c>
      <c r="G163" s="347">
        <f t="shared" si="7"/>
        <v>12.307665533663634</v>
      </c>
      <c r="H163" s="74">
        <f t="shared" si="8"/>
        <v>30763.65</v>
      </c>
    </row>
    <row r="164" spans="1:8" x14ac:dyDescent="0.25">
      <c r="A164" s="61">
        <f>'A) Base RI'!A166</f>
        <v>5665</v>
      </c>
      <c r="B164" s="114" t="str">
        <f>'A) Base RI'!B166</f>
        <v>Chavannes-sur-Moudon</v>
      </c>
      <c r="C164" s="14">
        <f>'B) D RI'!Y166</f>
        <v>0</v>
      </c>
      <c r="D164" s="19">
        <f>'B) D RI'!Z166</f>
        <v>0</v>
      </c>
      <c r="E164" s="14">
        <f t="shared" si="6"/>
        <v>0</v>
      </c>
      <c r="F164" s="19">
        <f>'B) D RI'!U166</f>
        <v>4834.5158333333329</v>
      </c>
      <c r="G164" s="347">
        <f t="shared" si="7"/>
        <v>0</v>
      </c>
      <c r="H164" s="74">
        <f t="shared" si="8"/>
        <v>0</v>
      </c>
    </row>
    <row r="165" spans="1:8" x14ac:dyDescent="0.25">
      <c r="A165" s="61">
        <f>'A) Base RI'!A167</f>
        <v>5669</v>
      </c>
      <c r="B165" s="114" t="str">
        <f>'A) Base RI'!B167</f>
        <v>Curtilles</v>
      </c>
      <c r="C165" s="14">
        <f>'B) D RI'!Y167</f>
        <v>86095.05</v>
      </c>
      <c r="D165" s="19">
        <f>'B) D RI'!Z167</f>
        <v>0</v>
      </c>
      <c r="E165" s="14">
        <f t="shared" si="6"/>
        <v>86095.05</v>
      </c>
      <c r="F165" s="19">
        <f>'B) D RI'!U167</f>
        <v>8707.7998611111107</v>
      </c>
      <c r="G165" s="347">
        <f t="shared" si="7"/>
        <v>9.8871186032305438</v>
      </c>
      <c r="H165" s="74">
        <f t="shared" si="8"/>
        <v>43047.525000000001</v>
      </c>
    </row>
    <row r="166" spans="1:8" x14ac:dyDescent="0.25">
      <c r="A166" s="61">
        <f>'A) Base RI'!A168</f>
        <v>5671</v>
      </c>
      <c r="B166" s="114" t="str">
        <f>'A) Base RI'!B168</f>
        <v>Dompierre</v>
      </c>
      <c r="C166" s="14">
        <f>'B) D RI'!Y168</f>
        <v>61708.299999999996</v>
      </c>
      <c r="D166" s="19">
        <f>'B) D RI'!Z168</f>
        <v>0</v>
      </c>
      <c r="E166" s="14">
        <f t="shared" si="6"/>
        <v>61708.299999999996</v>
      </c>
      <c r="F166" s="19">
        <f>'B) D RI'!U168</f>
        <v>6226.6947500000006</v>
      </c>
      <c r="G166" s="347">
        <f t="shared" si="7"/>
        <v>9.9102818553936647</v>
      </c>
      <c r="H166" s="74">
        <f t="shared" si="8"/>
        <v>30854.149999999998</v>
      </c>
    </row>
    <row r="167" spans="1:8" x14ac:dyDescent="0.25">
      <c r="A167" s="61">
        <f>'A) Base RI'!A169</f>
        <v>5673</v>
      </c>
      <c r="B167" s="114" t="str">
        <f>'A) Base RI'!B169</f>
        <v>Hermenches</v>
      </c>
      <c r="C167" s="14">
        <f>'B) D RI'!Y169</f>
        <v>56615.4</v>
      </c>
      <c r="D167" s="19">
        <f>'B) D RI'!Z169</f>
        <v>7878.25</v>
      </c>
      <c r="E167" s="14">
        <f t="shared" si="6"/>
        <v>64493.65</v>
      </c>
      <c r="F167" s="19">
        <f>'B) D RI'!U169</f>
        <v>8854.2944888888887</v>
      </c>
      <c r="G167" s="347">
        <f t="shared" si="7"/>
        <v>7.2838835528829593</v>
      </c>
      <c r="H167" s="74">
        <f t="shared" si="8"/>
        <v>30671.174999999999</v>
      </c>
    </row>
    <row r="168" spans="1:8" x14ac:dyDescent="0.25">
      <c r="A168" s="61">
        <f>'A) Base RI'!A170</f>
        <v>5674</v>
      </c>
      <c r="B168" s="114" t="str">
        <f>'A) Base RI'!B170</f>
        <v>Lovatens</v>
      </c>
      <c r="C168" s="14">
        <f>'B) D RI'!Y170</f>
        <v>2197</v>
      </c>
      <c r="D168" s="19">
        <f>'B) D RI'!Z170</f>
        <v>0</v>
      </c>
      <c r="E168" s="14">
        <f t="shared" si="6"/>
        <v>2197</v>
      </c>
      <c r="F168" s="19">
        <f>'B) D RI'!U170</f>
        <v>3347.4317333333333</v>
      </c>
      <c r="G168" s="347">
        <f t="shared" si="7"/>
        <v>0.65632406424379952</v>
      </c>
      <c r="H168" s="74">
        <f t="shared" si="8"/>
        <v>1098.5</v>
      </c>
    </row>
    <row r="169" spans="1:8" x14ac:dyDescent="0.25">
      <c r="A169" s="61">
        <f>'A) Base RI'!A171</f>
        <v>5675</v>
      </c>
      <c r="B169" s="114" t="str">
        <f>'A) Base RI'!B171</f>
        <v>Lucens</v>
      </c>
      <c r="C169" s="14">
        <f>'B) D RI'!Y171</f>
        <v>897717.24999999988</v>
      </c>
      <c r="D169" s="19">
        <f>'B) D RI'!Z171</f>
        <v>35023.699999999997</v>
      </c>
      <c r="E169" s="14">
        <f t="shared" si="6"/>
        <v>932740.94999999984</v>
      </c>
      <c r="F169" s="19">
        <f>'B) D RI'!U171</f>
        <v>91702.321238938035</v>
      </c>
      <c r="G169" s="347">
        <f t="shared" si="7"/>
        <v>10.171399561082708</v>
      </c>
      <c r="H169" s="74">
        <f t="shared" si="8"/>
        <v>459365.73499999993</v>
      </c>
    </row>
    <row r="170" spans="1:8" x14ac:dyDescent="0.25">
      <c r="A170" s="61">
        <f>'A) Base RI'!A172</f>
        <v>5678</v>
      </c>
      <c r="B170" s="114" t="str">
        <f>'A) Base RI'!B172</f>
        <v>Moudon</v>
      </c>
      <c r="C170" s="14">
        <f>'B) D RI'!Y172</f>
        <v>718129.5</v>
      </c>
      <c r="D170" s="19">
        <f>'B) D RI'!Z172</f>
        <v>114233.35</v>
      </c>
      <c r="E170" s="14">
        <f t="shared" si="6"/>
        <v>832362.85</v>
      </c>
      <c r="F170" s="19">
        <f>'B) D RI'!U172</f>
        <v>122060.45639999998</v>
      </c>
      <c r="G170" s="347">
        <f t="shared" si="7"/>
        <v>6.8192670628093781</v>
      </c>
      <c r="H170" s="74">
        <f t="shared" si="8"/>
        <v>393334.755</v>
      </c>
    </row>
    <row r="171" spans="1:8" x14ac:dyDescent="0.25">
      <c r="A171" s="61">
        <f>'A) Base RI'!A173</f>
        <v>5680</v>
      </c>
      <c r="B171" s="114" t="str">
        <f>'A) Base RI'!B173</f>
        <v>Ogens</v>
      </c>
      <c r="C171" s="14">
        <f>'B) D RI'!Y173</f>
        <v>13301.599999999999</v>
      </c>
      <c r="D171" s="19">
        <f>'B) D RI'!Z173</f>
        <v>0</v>
      </c>
      <c r="E171" s="14">
        <f t="shared" si="6"/>
        <v>13301.599999999999</v>
      </c>
      <c r="F171" s="19">
        <f>'B) D RI'!U173</f>
        <v>8163.3689316239324</v>
      </c>
      <c r="G171" s="347">
        <f t="shared" si="7"/>
        <v>1.6294253158731027</v>
      </c>
      <c r="H171" s="74">
        <f t="shared" si="8"/>
        <v>6650.7999999999993</v>
      </c>
    </row>
    <row r="172" spans="1:8" x14ac:dyDescent="0.25">
      <c r="A172" s="61">
        <f>'A) Base RI'!A174</f>
        <v>5683</v>
      </c>
      <c r="B172" s="114" t="str">
        <f>'A) Base RI'!B174</f>
        <v>Prévonloup</v>
      </c>
      <c r="C172" s="14">
        <f>'B) D RI'!Y174</f>
        <v>15317.1</v>
      </c>
      <c r="D172" s="19">
        <f>'B) D RI'!Z174</f>
        <v>0</v>
      </c>
      <c r="E172" s="14">
        <f t="shared" si="6"/>
        <v>15317.1</v>
      </c>
      <c r="F172" s="19">
        <f>'B) D RI'!U174</f>
        <v>3618.5018918918922</v>
      </c>
      <c r="G172" s="347">
        <f t="shared" si="7"/>
        <v>4.2329948850715207</v>
      </c>
      <c r="H172" s="74">
        <f t="shared" si="8"/>
        <v>7658.55</v>
      </c>
    </row>
    <row r="173" spans="1:8" x14ac:dyDescent="0.25">
      <c r="A173" s="61">
        <f>'A) Base RI'!A175</f>
        <v>5684</v>
      </c>
      <c r="B173" s="114" t="str">
        <f>'A) Base RI'!B175</f>
        <v>Rossenges</v>
      </c>
      <c r="C173" s="14">
        <f>'B) D RI'!Y175</f>
        <v>0</v>
      </c>
      <c r="D173" s="19">
        <f>'B) D RI'!Z175</f>
        <v>0</v>
      </c>
      <c r="E173" s="14">
        <f t="shared" si="6"/>
        <v>0</v>
      </c>
      <c r="F173" s="19">
        <f>'B) D RI'!U175</f>
        <v>2611.7396666666664</v>
      </c>
      <c r="G173" s="347">
        <f t="shared" si="7"/>
        <v>0</v>
      </c>
      <c r="H173" s="74">
        <f t="shared" si="8"/>
        <v>0</v>
      </c>
    </row>
    <row r="174" spans="1:8" x14ac:dyDescent="0.25">
      <c r="A174" s="61">
        <f>'A) Base RI'!A176</f>
        <v>5688</v>
      </c>
      <c r="B174" s="114" t="str">
        <f>'A) Base RI'!B176</f>
        <v>Syens</v>
      </c>
      <c r="C174" s="14">
        <f>'B) D RI'!Y176</f>
        <v>28273.25</v>
      </c>
      <c r="D174" s="19">
        <f>'B) D RI'!Z176</f>
        <v>0</v>
      </c>
      <c r="E174" s="14">
        <f t="shared" si="6"/>
        <v>28273.25</v>
      </c>
      <c r="F174" s="19">
        <f>'B) D RI'!U176</f>
        <v>5385.636772486775</v>
      </c>
      <c r="G174" s="347">
        <f t="shared" si="7"/>
        <v>5.2497506227002848</v>
      </c>
      <c r="H174" s="74">
        <f t="shared" si="8"/>
        <v>14136.625</v>
      </c>
    </row>
    <row r="175" spans="1:8" x14ac:dyDescent="0.25">
      <c r="A175" s="61">
        <f>'A) Base RI'!A177</f>
        <v>5690</v>
      </c>
      <c r="B175" s="114" t="str">
        <f>'A) Base RI'!B177</f>
        <v>Villars-le-Comte</v>
      </c>
      <c r="C175" s="14">
        <f>'B) D RI'!Y177</f>
        <v>13423.25</v>
      </c>
      <c r="D175" s="19">
        <f>'B) D RI'!Z177</f>
        <v>0</v>
      </c>
      <c r="E175" s="14">
        <f t="shared" si="6"/>
        <v>13423.25</v>
      </c>
      <c r="F175" s="19">
        <f>'B) D RI'!U177</f>
        <v>3375.6488157894737</v>
      </c>
      <c r="G175" s="347">
        <f t="shared" si="7"/>
        <v>3.9764948110755003</v>
      </c>
      <c r="H175" s="74">
        <f t="shared" si="8"/>
        <v>6711.625</v>
      </c>
    </row>
    <row r="176" spans="1:8" x14ac:dyDescent="0.25">
      <c r="A176" s="61">
        <f>'A) Base RI'!A178</f>
        <v>5692</v>
      </c>
      <c r="B176" s="114" t="str">
        <f>'A) Base RI'!B178</f>
        <v>Vucherens</v>
      </c>
      <c r="C176" s="14">
        <f>'B) D RI'!Y178</f>
        <v>77355.850000000006</v>
      </c>
      <c r="D176" s="19">
        <f>'B) D RI'!Z178</f>
        <v>6328.2</v>
      </c>
      <c r="E176" s="14">
        <f t="shared" si="6"/>
        <v>83684.05</v>
      </c>
      <c r="F176" s="19">
        <f>'B) D RI'!U178</f>
        <v>15125.888354430383</v>
      </c>
      <c r="G176" s="347">
        <f t="shared" si="7"/>
        <v>5.5325048049484575</v>
      </c>
      <c r="H176" s="74">
        <f t="shared" si="8"/>
        <v>40576.385000000002</v>
      </c>
    </row>
    <row r="177" spans="1:8" x14ac:dyDescent="0.25">
      <c r="A177" s="61">
        <f>'A) Base RI'!A179</f>
        <v>5693</v>
      </c>
      <c r="B177" s="114" t="str">
        <f>'A) Base RI'!B179</f>
        <v>Montanaire</v>
      </c>
      <c r="C177" s="14">
        <f>'B) D RI'!Y179</f>
        <v>379462.35</v>
      </c>
      <c r="D177" s="19">
        <f>'B) D RI'!Z179</f>
        <v>7935.7</v>
      </c>
      <c r="E177" s="14">
        <f t="shared" si="6"/>
        <v>387398.05</v>
      </c>
      <c r="F177" s="19">
        <f>'B) D RI'!U179</f>
        <v>62987.795555555575</v>
      </c>
      <c r="G177" s="347">
        <f t="shared" si="7"/>
        <v>6.1503668541362559</v>
      </c>
      <c r="H177" s="74">
        <f t="shared" si="8"/>
        <v>192111.88499999998</v>
      </c>
    </row>
    <row r="178" spans="1:8" x14ac:dyDescent="0.25">
      <c r="A178" s="61">
        <f>'A) Base RI'!A180</f>
        <v>5701</v>
      </c>
      <c r="B178" s="114" t="str">
        <f>'A) Base RI'!B180</f>
        <v>Arnex-sur-Nyon</v>
      </c>
      <c r="C178" s="14">
        <f>'B) D RI'!Y180</f>
        <v>47592.800000000003</v>
      </c>
      <c r="D178" s="19">
        <f>'B) D RI'!Z180</f>
        <v>0</v>
      </c>
      <c r="E178" s="14">
        <f t="shared" si="6"/>
        <v>47592.800000000003</v>
      </c>
      <c r="F178" s="19">
        <f>'B) D RI'!U180</f>
        <v>14386.456307692306</v>
      </c>
      <c r="G178" s="347">
        <f t="shared" si="7"/>
        <v>3.3081669997185181</v>
      </c>
      <c r="H178" s="74">
        <f t="shared" si="8"/>
        <v>23796.400000000001</v>
      </c>
    </row>
    <row r="179" spans="1:8" x14ac:dyDescent="0.25">
      <c r="A179" s="61">
        <f>'A) Base RI'!A181</f>
        <v>5702</v>
      </c>
      <c r="B179" s="114" t="str">
        <f>'A) Base RI'!B181</f>
        <v>Arzier-Le Muids</v>
      </c>
      <c r="C179" s="14">
        <f>'B) D RI'!Y181</f>
        <v>837291.3</v>
      </c>
      <c r="D179" s="19">
        <f>'B) D RI'!Z181</f>
        <v>70134.7</v>
      </c>
      <c r="E179" s="14">
        <f t="shared" si="6"/>
        <v>907426</v>
      </c>
      <c r="F179" s="19">
        <f>'B) D RI'!U181</f>
        <v>137336.67807291666</v>
      </c>
      <c r="G179" s="347">
        <f t="shared" si="7"/>
        <v>6.6073099534140249</v>
      </c>
      <c r="H179" s="74">
        <f t="shared" si="8"/>
        <v>439686.06</v>
      </c>
    </row>
    <row r="180" spans="1:8" x14ac:dyDescent="0.25">
      <c r="A180" s="61">
        <f>'A) Base RI'!A182</f>
        <v>5703</v>
      </c>
      <c r="B180" s="114" t="str">
        <f>'A) Base RI'!B182</f>
        <v>Bassins</v>
      </c>
      <c r="C180" s="14">
        <f>'B) D RI'!Y182</f>
        <v>210354.7</v>
      </c>
      <c r="D180" s="19">
        <f>'B) D RI'!Z182</f>
        <v>36530.300000000003</v>
      </c>
      <c r="E180" s="14">
        <f t="shared" si="6"/>
        <v>246885</v>
      </c>
      <c r="F180" s="19">
        <f>'B) D RI'!U182</f>
        <v>51617.647746478862</v>
      </c>
      <c r="G180" s="347">
        <f t="shared" si="7"/>
        <v>4.7829572012382426</v>
      </c>
      <c r="H180" s="74">
        <f t="shared" si="8"/>
        <v>116136.44</v>
      </c>
    </row>
    <row r="181" spans="1:8" x14ac:dyDescent="0.25">
      <c r="A181" s="61">
        <f>'A) Base RI'!A183</f>
        <v>5704</v>
      </c>
      <c r="B181" s="114" t="str">
        <f>'A) Base RI'!B183</f>
        <v>Begnins</v>
      </c>
      <c r="C181" s="14">
        <f>'B) D RI'!Y183</f>
        <v>1160915.0500000003</v>
      </c>
      <c r="D181" s="19">
        <f>'B) D RI'!Z183</f>
        <v>56321.9</v>
      </c>
      <c r="E181" s="14">
        <f t="shared" si="6"/>
        <v>1217236.9500000002</v>
      </c>
      <c r="F181" s="19">
        <f>'B) D RI'!U183</f>
        <v>109192.54039800997</v>
      </c>
      <c r="G181" s="347">
        <f t="shared" si="7"/>
        <v>11.147620025719123</v>
      </c>
      <c r="H181" s="74">
        <f t="shared" si="8"/>
        <v>597354.09500000009</v>
      </c>
    </row>
    <row r="182" spans="1:8" x14ac:dyDescent="0.25">
      <c r="A182" s="61">
        <f>'A) Base RI'!A184</f>
        <v>5705</v>
      </c>
      <c r="B182" s="114" t="str">
        <f>'A) Base RI'!B184</f>
        <v>Bogis-Bossey</v>
      </c>
      <c r="C182" s="14">
        <f>'B) D RI'!Y184</f>
        <v>341150.7</v>
      </c>
      <c r="D182" s="19">
        <f>'B) D RI'!Z184</f>
        <v>33949.199999999997</v>
      </c>
      <c r="E182" s="14">
        <f t="shared" si="6"/>
        <v>375099.9</v>
      </c>
      <c r="F182" s="19">
        <f>'B) D RI'!U184</f>
        <v>49393.857499999991</v>
      </c>
      <c r="G182" s="347">
        <f t="shared" si="7"/>
        <v>7.5940596459792618</v>
      </c>
      <c r="H182" s="74">
        <f t="shared" si="8"/>
        <v>180760.11000000002</v>
      </c>
    </row>
    <row r="183" spans="1:8" x14ac:dyDescent="0.25">
      <c r="A183" s="61">
        <f>'A) Base RI'!A185</f>
        <v>5706</v>
      </c>
      <c r="B183" s="114" t="str">
        <f>'A) Base RI'!B185</f>
        <v>Borex</v>
      </c>
      <c r="C183" s="14">
        <f>'B) D RI'!Y185</f>
        <v>755375.9</v>
      </c>
      <c r="D183" s="19">
        <f>'B) D RI'!Z185</f>
        <v>3897.65</v>
      </c>
      <c r="E183" s="14">
        <f t="shared" si="6"/>
        <v>759273.55</v>
      </c>
      <c r="F183" s="19">
        <f>'B) D RI'!U185</f>
        <v>61064.931696969696</v>
      </c>
      <c r="G183" s="347">
        <f t="shared" si="7"/>
        <v>12.433872091560506</v>
      </c>
      <c r="H183" s="74">
        <f t="shared" si="8"/>
        <v>378857.245</v>
      </c>
    </row>
    <row r="184" spans="1:8" x14ac:dyDescent="0.25">
      <c r="A184" s="61">
        <f>'A) Base RI'!A186</f>
        <v>5707</v>
      </c>
      <c r="B184" s="114" t="str">
        <f>'A) Base RI'!B186</f>
        <v>Chavannes-de-Bogis</v>
      </c>
      <c r="C184" s="14">
        <f>'B) D RI'!Y186</f>
        <v>108981.6</v>
      </c>
      <c r="D184" s="19">
        <f>'B) D RI'!Z186</f>
        <v>442946.25</v>
      </c>
      <c r="E184" s="14">
        <f t="shared" si="6"/>
        <v>551927.85</v>
      </c>
      <c r="F184" s="19">
        <f>'B) D RI'!U186</f>
        <v>90099.169661016946</v>
      </c>
      <c r="G184" s="347">
        <f t="shared" si="7"/>
        <v>6.1257817588834191</v>
      </c>
      <c r="H184" s="74">
        <f t="shared" si="8"/>
        <v>187374.67499999999</v>
      </c>
    </row>
    <row r="185" spans="1:8" x14ac:dyDescent="0.25">
      <c r="A185" s="61">
        <f>'A) Base RI'!A187</f>
        <v>5708</v>
      </c>
      <c r="B185" s="114" t="str">
        <f>'A) Base RI'!B187</f>
        <v>Chavannes-des-Bois</v>
      </c>
      <c r="C185" s="14">
        <f>'B) D RI'!Y187</f>
        <v>434075.45</v>
      </c>
      <c r="D185" s="19">
        <f>'B) D RI'!Z187</f>
        <v>1204.9000000000001</v>
      </c>
      <c r="E185" s="14">
        <f t="shared" si="6"/>
        <v>435280.35000000003</v>
      </c>
      <c r="F185" s="19">
        <f>'B) D RI'!U187</f>
        <v>61956.418196721308</v>
      </c>
      <c r="G185" s="347">
        <f t="shared" si="7"/>
        <v>7.0255893201882156</v>
      </c>
      <c r="H185" s="74">
        <f t="shared" si="8"/>
        <v>217399.19500000001</v>
      </c>
    </row>
    <row r="186" spans="1:8" x14ac:dyDescent="0.25">
      <c r="A186" s="61">
        <f>'A) Base RI'!A188</f>
        <v>5709</v>
      </c>
      <c r="B186" s="114" t="str">
        <f>'A) Base RI'!B188</f>
        <v>Chéserex</v>
      </c>
      <c r="C186" s="14">
        <f>'B) D RI'!Y188</f>
        <v>131631.79999999999</v>
      </c>
      <c r="D186" s="19">
        <f>'B) D RI'!Z188</f>
        <v>21812.15</v>
      </c>
      <c r="E186" s="14">
        <f t="shared" si="6"/>
        <v>153443.94999999998</v>
      </c>
      <c r="F186" s="19">
        <f>'B) D RI'!U188</f>
        <v>115595.36230769231</v>
      </c>
      <c r="G186" s="347">
        <f t="shared" si="7"/>
        <v>1.3274230638385138</v>
      </c>
      <c r="H186" s="74">
        <f t="shared" si="8"/>
        <v>72359.544999999998</v>
      </c>
    </row>
    <row r="187" spans="1:8" x14ac:dyDescent="0.25">
      <c r="A187" s="61">
        <f>'A) Base RI'!A189</f>
        <v>5710</v>
      </c>
      <c r="B187" s="114" t="str">
        <f>'A) Base RI'!B189</f>
        <v>Coinsins</v>
      </c>
      <c r="C187" s="14">
        <f>'B) D RI'!Y189</f>
        <v>243952.35</v>
      </c>
      <c r="D187" s="19">
        <f>'B) D RI'!Z189</f>
        <v>36713.75</v>
      </c>
      <c r="E187" s="14">
        <f t="shared" si="6"/>
        <v>280666.09999999998</v>
      </c>
      <c r="F187" s="19">
        <f>'B) D RI'!U189</f>
        <v>112738.70512195122</v>
      </c>
      <c r="G187" s="347">
        <f t="shared" si="7"/>
        <v>2.4895274404331595</v>
      </c>
      <c r="H187" s="74">
        <f t="shared" si="8"/>
        <v>132990.29999999999</v>
      </c>
    </row>
    <row r="188" spans="1:8" x14ac:dyDescent="0.25">
      <c r="A188" s="61">
        <f>'A) Base RI'!A190</f>
        <v>5711</v>
      </c>
      <c r="B188" s="114" t="str">
        <f>'A) Base RI'!B190</f>
        <v>Commugny</v>
      </c>
      <c r="C188" s="14">
        <f>'B) D RI'!Y190</f>
        <v>948502.5</v>
      </c>
      <c r="D188" s="19">
        <f>'B) D RI'!Z190</f>
        <v>28572</v>
      </c>
      <c r="E188" s="14">
        <f t="shared" si="6"/>
        <v>977074.5</v>
      </c>
      <c r="F188" s="19">
        <f>'B) D RI'!U190</f>
        <v>236913.245596817</v>
      </c>
      <c r="G188" s="347">
        <f t="shared" si="7"/>
        <v>4.1241868834248381</v>
      </c>
      <c r="H188" s="74">
        <f t="shared" si="8"/>
        <v>482822.85</v>
      </c>
    </row>
    <row r="189" spans="1:8" x14ac:dyDescent="0.25">
      <c r="A189" s="61">
        <f>'A) Base RI'!A191</f>
        <v>5712</v>
      </c>
      <c r="B189" s="114" t="str">
        <f>'A) Base RI'!B191</f>
        <v>Coppet</v>
      </c>
      <c r="C189" s="14">
        <f>'B) D RI'!Y191</f>
        <v>2322163.6</v>
      </c>
      <c r="D189" s="19">
        <f>'B) D RI'!Z191</f>
        <v>128277.75</v>
      </c>
      <c r="E189" s="14">
        <f t="shared" si="6"/>
        <v>2450441.35</v>
      </c>
      <c r="F189" s="19">
        <f>'B) D RI'!U191</f>
        <v>309642.37182389939</v>
      </c>
      <c r="G189" s="347">
        <f t="shared" si="7"/>
        <v>7.9137791626064065</v>
      </c>
      <c r="H189" s="74">
        <f t="shared" si="8"/>
        <v>1199565.125</v>
      </c>
    </row>
    <row r="190" spans="1:8" x14ac:dyDescent="0.25">
      <c r="A190" s="61">
        <f>'A) Base RI'!A192</f>
        <v>5713</v>
      </c>
      <c r="B190" s="114" t="str">
        <f>'A) Base RI'!B192</f>
        <v>Crans-près-Céligny</v>
      </c>
      <c r="C190" s="14">
        <f>'B) D RI'!Y192</f>
        <v>1278889.8</v>
      </c>
      <c r="D190" s="19">
        <f>'B) D RI'!Z192</f>
        <v>26999.9</v>
      </c>
      <c r="E190" s="14">
        <f t="shared" si="6"/>
        <v>1305889.7</v>
      </c>
      <c r="F190" s="19">
        <f>'B) D RI'!U192</f>
        <v>259331.62150943396</v>
      </c>
      <c r="G190" s="347">
        <f t="shared" si="7"/>
        <v>5.0355976351788412</v>
      </c>
      <c r="H190" s="74">
        <f t="shared" si="8"/>
        <v>647544.87</v>
      </c>
    </row>
    <row r="191" spans="1:8" x14ac:dyDescent="0.25">
      <c r="A191" s="61">
        <f>'A) Base RI'!A193</f>
        <v>5714</v>
      </c>
      <c r="B191" s="114" t="str">
        <f>'A) Base RI'!B193</f>
        <v>Crassier</v>
      </c>
      <c r="C191" s="14">
        <f>'B) D RI'!Y193</f>
        <v>289040.5</v>
      </c>
      <c r="D191" s="19">
        <f>'B) D RI'!Z193</f>
        <v>96901.1</v>
      </c>
      <c r="E191" s="14">
        <f t="shared" si="6"/>
        <v>385941.6</v>
      </c>
      <c r="F191" s="19">
        <f>'B) D RI'!U193</f>
        <v>74990.560937499991</v>
      </c>
      <c r="G191" s="347">
        <f t="shared" si="7"/>
        <v>5.1465357129633755</v>
      </c>
      <c r="H191" s="74">
        <f t="shared" si="8"/>
        <v>173590.58000000002</v>
      </c>
    </row>
    <row r="192" spans="1:8" x14ac:dyDescent="0.25">
      <c r="A192" s="61">
        <f>'A) Base RI'!A194</f>
        <v>5715</v>
      </c>
      <c r="B192" s="114" t="str">
        <f>'A) Base RI'!B194</f>
        <v>Duillier</v>
      </c>
      <c r="C192" s="14">
        <f>'B) D RI'!Y194</f>
        <v>582671.30000000005</v>
      </c>
      <c r="D192" s="19">
        <f>'B) D RI'!Z194</f>
        <v>53425.599999999999</v>
      </c>
      <c r="E192" s="14">
        <f t="shared" si="6"/>
        <v>636096.9</v>
      </c>
      <c r="F192" s="19">
        <f>'B) D RI'!U194</f>
        <v>58313.27166666666</v>
      </c>
      <c r="G192" s="347">
        <f t="shared" si="7"/>
        <v>10.908269795529396</v>
      </c>
      <c r="H192" s="74">
        <f t="shared" si="8"/>
        <v>307363.33</v>
      </c>
    </row>
    <row r="193" spans="1:8" x14ac:dyDescent="0.25">
      <c r="A193" s="61">
        <f>'A) Base RI'!A195</f>
        <v>5716</v>
      </c>
      <c r="B193" s="114" t="str">
        <f>'A) Base RI'!B195</f>
        <v>Eysins</v>
      </c>
      <c r="C193" s="14">
        <f>'B) D RI'!Y195</f>
        <v>381699.30000000005</v>
      </c>
      <c r="D193" s="19">
        <f>'B) D RI'!Z195</f>
        <v>624361.69999999995</v>
      </c>
      <c r="E193" s="14">
        <f t="shared" si="6"/>
        <v>1006061</v>
      </c>
      <c r="F193" s="19">
        <f>'B) D RI'!U195</f>
        <v>124360.51655737706</v>
      </c>
      <c r="G193" s="347">
        <f t="shared" si="7"/>
        <v>8.0898747275291889</v>
      </c>
      <c r="H193" s="74">
        <f t="shared" si="8"/>
        <v>378158.16000000003</v>
      </c>
    </row>
    <row r="194" spans="1:8" x14ac:dyDescent="0.25">
      <c r="A194" s="61">
        <f>'A) Base RI'!A196</f>
        <v>5717</v>
      </c>
      <c r="B194" s="114" t="str">
        <f>'A) Base RI'!B196</f>
        <v>Founex</v>
      </c>
      <c r="C194" s="14">
        <f>'B) D RI'!Y196</f>
        <v>2267924.2999999998</v>
      </c>
      <c r="D194" s="19">
        <f>'B) D RI'!Z196</f>
        <v>194155.35</v>
      </c>
      <c r="E194" s="14">
        <f t="shared" si="6"/>
        <v>2462079.65</v>
      </c>
      <c r="F194" s="19">
        <f>'B) D RI'!U196</f>
        <v>345595.68736842106</v>
      </c>
      <c r="G194" s="347">
        <f t="shared" si="7"/>
        <v>7.1241619614752558</v>
      </c>
      <c r="H194" s="74">
        <f t="shared" si="8"/>
        <v>1192208.7549999999</v>
      </c>
    </row>
    <row r="195" spans="1:8" x14ac:dyDescent="0.25">
      <c r="A195" s="61">
        <f>'A) Base RI'!A197</f>
        <v>5718</v>
      </c>
      <c r="B195" s="114" t="str">
        <f>'A) Base RI'!B197</f>
        <v>Genolier</v>
      </c>
      <c r="C195" s="14">
        <f>'B) D RI'!Y197</f>
        <v>848843.4</v>
      </c>
      <c r="D195" s="19">
        <f>'B) D RI'!Z197</f>
        <v>484928.65</v>
      </c>
      <c r="E195" s="14">
        <f t="shared" si="6"/>
        <v>1333772.05</v>
      </c>
      <c r="F195" s="19">
        <f>'B) D RI'!U197</f>
        <v>147563.83054545455</v>
      </c>
      <c r="G195" s="347">
        <f t="shared" si="7"/>
        <v>9.0386109188806536</v>
      </c>
      <c r="H195" s="74">
        <f t="shared" si="8"/>
        <v>569900.29500000004</v>
      </c>
    </row>
    <row r="196" spans="1:8" x14ac:dyDescent="0.25">
      <c r="A196" s="61">
        <f>'A) Base RI'!A198</f>
        <v>5719</v>
      </c>
      <c r="B196" s="114" t="str">
        <f>'A) Base RI'!B198</f>
        <v>Gingins</v>
      </c>
      <c r="C196" s="14">
        <f>'B) D RI'!Y198</f>
        <v>636320.65</v>
      </c>
      <c r="D196" s="19">
        <f>'B) D RI'!Z198</f>
        <v>74054.5</v>
      </c>
      <c r="E196" s="14">
        <f t="shared" si="6"/>
        <v>710375.15</v>
      </c>
      <c r="F196" s="19">
        <f>'B) D RI'!U198</f>
        <v>96514.726140350875</v>
      </c>
      <c r="G196" s="347">
        <f t="shared" si="7"/>
        <v>7.3602773214833421</v>
      </c>
      <c r="H196" s="74">
        <f t="shared" si="8"/>
        <v>340376.67499999999</v>
      </c>
    </row>
    <row r="197" spans="1:8" x14ac:dyDescent="0.25">
      <c r="A197" s="61">
        <f>'A) Base RI'!A199</f>
        <v>5720</v>
      </c>
      <c r="B197" s="114" t="str">
        <f>'A) Base RI'!B199</f>
        <v>Givrins</v>
      </c>
      <c r="C197" s="14">
        <f>'B) D RI'!Y199</f>
        <v>799043.5</v>
      </c>
      <c r="D197" s="19">
        <f>'B) D RI'!Z199</f>
        <v>28321.7</v>
      </c>
      <c r="E197" s="14">
        <f t="shared" si="6"/>
        <v>827365.2</v>
      </c>
      <c r="F197" s="19">
        <f>'B) D RI'!U199</f>
        <v>81037.865428051009</v>
      </c>
      <c r="G197" s="347">
        <f t="shared" si="7"/>
        <v>10.209612452521609</v>
      </c>
      <c r="H197" s="74">
        <f t="shared" si="8"/>
        <v>408018.26</v>
      </c>
    </row>
    <row r="198" spans="1:8" x14ac:dyDescent="0.25">
      <c r="A198" s="61">
        <f>'A) Base RI'!A200</f>
        <v>5721</v>
      </c>
      <c r="B198" s="114" t="str">
        <f>'A) Base RI'!B200</f>
        <v>Gland</v>
      </c>
      <c r="C198" s="14">
        <f>'B) D RI'!Y200</f>
        <v>3613678.9</v>
      </c>
      <c r="D198" s="19">
        <f>'B) D RI'!Z200</f>
        <v>2016933</v>
      </c>
      <c r="E198" s="14">
        <f t="shared" ref="E198:E261" si="9">C198+D198</f>
        <v>5630611.9000000004</v>
      </c>
      <c r="F198" s="19">
        <f>'B) D RI'!U200</f>
        <v>556574.85335272714</v>
      </c>
      <c r="G198" s="347">
        <f t="shared" ref="G198:G261" si="10">E198/F198</f>
        <v>10.116540239074764</v>
      </c>
      <c r="H198" s="74">
        <f t="shared" ref="H198:H261" si="11">(C198*$C$4)+(D198*$D$4)</f>
        <v>2411919.35</v>
      </c>
    </row>
    <row r="199" spans="1:8" x14ac:dyDescent="0.25">
      <c r="A199" s="61">
        <f>'A) Base RI'!A201</f>
        <v>5722</v>
      </c>
      <c r="B199" s="114" t="str">
        <f>'A) Base RI'!B201</f>
        <v>Grens</v>
      </c>
      <c r="C199" s="14">
        <f>'B) D RI'!Y201</f>
        <v>32272.699999999997</v>
      </c>
      <c r="D199" s="19">
        <f>'B) D RI'!Z201</f>
        <v>15153.55</v>
      </c>
      <c r="E199" s="14">
        <f t="shared" si="9"/>
        <v>47426.25</v>
      </c>
      <c r="F199" s="19">
        <f>'B) D RI'!U201</f>
        <v>22888.286666666663</v>
      </c>
      <c r="G199" s="347">
        <f t="shared" si="10"/>
        <v>2.0720751487733322</v>
      </c>
      <c r="H199" s="74">
        <f t="shared" si="11"/>
        <v>20682.414999999997</v>
      </c>
    </row>
    <row r="200" spans="1:8" x14ac:dyDescent="0.25">
      <c r="A200" s="61">
        <f>'A) Base RI'!A202</f>
        <v>5723</v>
      </c>
      <c r="B200" s="114" t="str">
        <f>'A) Base RI'!B202</f>
        <v>Mies</v>
      </c>
      <c r="C200" s="14">
        <f>'B) D RI'!Y202</f>
        <v>954569.10000000009</v>
      </c>
      <c r="D200" s="19">
        <f>'B) D RI'!Z202</f>
        <v>218003.45</v>
      </c>
      <c r="E200" s="14">
        <f t="shared" si="9"/>
        <v>1172572.55</v>
      </c>
      <c r="F200" s="19">
        <f>'B) D RI'!U202</f>
        <v>265838.70510204078</v>
      </c>
      <c r="G200" s="347">
        <f t="shared" si="10"/>
        <v>4.4108420914475728</v>
      </c>
      <c r="H200" s="74">
        <f t="shared" si="11"/>
        <v>542685.58500000008</v>
      </c>
    </row>
    <row r="201" spans="1:8" x14ac:dyDescent="0.25">
      <c r="A201" s="61">
        <f>'A) Base RI'!A203</f>
        <v>5724</v>
      </c>
      <c r="B201" s="114" t="str">
        <f>'A) Base RI'!B203</f>
        <v>Nyon</v>
      </c>
      <c r="C201" s="14">
        <f>'B) D RI'!Y203</f>
        <v>5470718.9000000004</v>
      </c>
      <c r="D201" s="19">
        <f>'B) D RI'!Z203</f>
        <v>4891000</v>
      </c>
      <c r="E201" s="14">
        <f t="shared" si="9"/>
        <v>10361718.9</v>
      </c>
      <c r="F201" s="19">
        <f>'B) D RI'!U203</f>
        <v>1373447.3453593946</v>
      </c>
      <c r="G201" s="347">
        <f t="shared" si="10"/>
        <v>7.5443146291775856</v>
      </c>
      <c r="H201" s="74">
        <f t="shared" si="11"/>
        <v>4202659.45</v>
      </c>
    </row>
    <row r="202" spans="1:8" x14ac:dyDescent="0.25">
      <c r="A202" s="61">
        <f>'A) Base RI'!A204</f>
        <v>5725</v>
      </c>
      <c r="B202" s="114" t="str">
        <f>'A) Base RI'!B204</f>
        <v>Prangins</v>
      </c>
      <c r="C202" s="14">
        <f>'B) D RI'!Y204</f>
        <v>1775302.35</v>
      </c>
      <c r="D202" s="19">
        <f>'B) D RI'!Z204</f>
        <v>996592</v>
      </c>
      <c r="E202" s="14">
        <f t="shared" si="9"/>
        <v>2771894.35</v>
      </c>
      <c r="F202" s="19">
        <f>'B) D RI'!U204</f>
        <v>279071.20818877552</v>
      </c>
      <c r="G202" s="347">
        <f t="shared" si="10"/>
        <v>9.9325701421874157</v>
      </c>
      <c r="H202" s="74">
        <f t="shared" si="11"/>
        <v>1186628.7749999999</v>
      </c>
    </row>
    <row r="203" spans="1:8" x14ac:dyDescent="0.25">
      <c r="A203" s="61">
        <f>'A) Base RI'!A205</f>
        <v>5726</v>
      </c>
      <c r="B203" s="114" t="str">
        <f>'A) Base RI'!B205</f>
        <v>La Rippe</v>
      </c>
      <c r="C203" s="14">
        <f>'B) D RI'!Y205</f>
        <v>385695.85</v>
      </c>
      <c r="D203" s="19">
        <f>'B) D RI'!Z205</f>
        <v>22371.45</v>
      </c>
      <c r="E203" s="14">
        <f t="shared" si="9"/>
        <v>408067.3</v>
      </c>
      <c r="F203" s="19">
        <f>'B) D RI'!U205</f>
        <v>60430.074769230778</v>
      </c>
      <c r="G203" s="347">
        <f t="shared" si="10"/>
        <v>6.7527187672416362</v>
      </c>
      <c r="H203" s="74">
        <f t="shared" si="11"/>
        <v>199559.36</v>
      </c>
    </row>
    <row r="204" spans="1:8" x14ac:dyDescent="0.25">
      <c r="A204" s="61">
        <f>'A) Base RI'!A206</f>
        <v>5727</v>
      </c>
      <c r="B204" s="114" t="str">
        <f>'A) Base RI'!B206</f>
        <v>Saint-Cergue</v>
      </c>
      <c r="C204" s="14">
        <f>'B) D RI'!Y206</f>
        <v>611478.94999999995</v>
      </c>
      <c r="D204" s="19">
        <f>'B) D RI'!Z206</f>
        <v>157271.15</v>
      </c>
      <c r="E204" s="14">
        <f t="shared" si="9"/>
        <v>768750.1</v>
      </c>
      <c r="F204" s="19">
        <f>'B) D RI'!U206</f>
        <v>92384.571565656559</v>
      </c>
      <c r="G204" s="347">
        <f t="shared" si="10"/>
        <v>8.3211957036966808</v>
      </c>
      <c r="H204" s="74">
        <f t="shared" si="11"/>
        <v>352920.81999999995</v>
      </c>
    </row>
    <row r="205" spans="1:8" x14ac:dyDescent="0.25">
      <c r="A205" s="61">
        <f>'A) Base RI'!A207</f>
        <v>5728</v>
      </c>
      <c r="B205" s="114" t="str">
        <f>'A) Base RI'!B207</f>
        <v>Signy-Avenex</v>
      </c>
      <c r="C205" s="14">
        <f>'B) D RI'!Y207</f>
        <v>197771.2</v>
      </c>
      <c r="D205" s="19">
        <f>'B) D RI'!Z207</f>
        <v>181412</v>
      </c>
      <c r="E205" s="14">
        <f t="shared" si="9"/>
        <v>379183.2</v>
      </c>
      <c r="F205" s="19">
        <f>'B) D RI'!U207</f>
        <v>33632.696071428574</v>
      </c>
      <c r="G205" s="347">
        <f t="shared" si="10"/>
        <v>11.274243349230668</v>
      </c>
      <c r="H205" s="74">
        <f t="shared" si="11"/>
        <v>153309.20000000001</v>
      </c>
    </row>
    <row r="206" spans="1:8" x14ac:dyDescent="0.25">
      <c r="A206" s="61">
        <f>'A) Base RI'!A208</f>
        <v>5729</v>
      </c>
      <c r="B206" s="114" t="str">
        <f>'A) Base RI'!B208</f>
        <v>Tannay</v>
      </c>
      <c r="C206" s="14">
        <f>'B) D RI'!Y208</f>
        <v>549622.30000000005</v>
      </c>
      <c r="D206" s="19">
        <f>'B) D RI'!Z208</f>
        <v>25348.799999999999</v>
      </c>
      <c r="E206" s="14">
        <f t="shared" si="9"/>
        <v>574971.10000000009</v>
      </c>
      <c r="F206" s="19">
        <f>'B) D RI'!U208</f>
        <v>138438.0717486339</v>
      </c>
      <c r="G206" s="347">
        <f t="shared" si="10"/>
        <v>4.1532729597967251</v>
      </c>
      <c r="H206" s="74">
        <f t="shared" si="11"/>
        <v>282415.79000000004</v>
      </c>
    </row>
    <row r="207" spans="1:8" x14ac:dyDescent="0.25">
      <c r="A207" s="61">
        <f>'A) Base RI'!A209</f>
        <v>5730</v>
      </c>
      <c r="B207" s="114" t="str">
        <f>'A) Base RI'!B209</f>
        <v>Trélex</v>
      </c>
      <c r="C207" s="14">
        <f>'B) D RI'!Y209</f>
        <v>332630.95</v>
      </c>
      <c r="D207" s="19">
        <f>'B) D RI'!Z209</f>
        <v>10359.65</v>
      </c>
      <c r="E207" s="14">
        <f t="shared" si="9"/>
        <v>342990.60000000003</v>
      </c>
      <c r="F207" s="19">
        <f>'B) D RI'!U209</f>
        <v>149022.17830188677</v>
      </c>
      <c r="G207" s="347">
        <f t="shared" si="10"/>
        <v>2.3016077466346996</v>
      </c>
      <c r="H207" s="74">
        <f t="shared" si="11"/>
        <v>169423.37</v>
      </c>
    </row>
    <row r="208" spans="1:8" x14ac:dyDescent="0.25">
      <c r="A208" s="61">
        <f>'A) Base RI'!A210</f>
        <v>5731</v>
      </c>
      <c r="B208" s="114" t="str">
        <f>'A) Base RI'!B210</f>
        <v>Le Vaud</v>
      </c>
      <c r="C208" s="14">
        <f>'B) D RI'!Y210</f>
        <v>289354</v>
      </c>
      <c r="D208" s="19">
        <f>'B) D RI'!Z210</f>
        <v>21792.5</v>
      </c>
      <c r="E208" s="14">
        <f t="shared" si="9"/>
        <v>311146.5</v>
      </c>
      <c r="F208" s="19">
        <f>'B) D RI'!U210</f>
        <v>46449.882799999999</v>
      </c>
      <c r="G208" s="347">
        <f t="shared" si="10"/>
        <v>6.698542197398182</v>
      </c>
      <c r="H208" s="74">
        <f t="shared" si="11"/>
        <v>151214.75</v>
      </c>
    </row>
    <row r="209" spans="1:8" x14ac:dyDescent="0.25">
      <c r="A209" s="61">
        <f>'A) Base RI'!A211</f>
        <v>5732</v>
      </c>
      <c r="B209" s="114" t="str">
        <f>'A) Base RI'!B211</f>
        <v>Vich</v>
      </c>
      <c r="C209" s="14">
        <f>'B) D RI'!Y211</f>
        <v>653016.44999999995</v>
      </c>
      <c r="D209" s="19">
        <f>'B) D RI'!Z211</f>
        <v>130426.75</v>
      </c>
      <c r="E209" s="14">
        <f t="shared" si="9"/>
        <v>783443.2</v>
      </c>
      <c r="F209" s="19">
        <f>'B) D RI'!U211</f>
        <v>57292.894852941186</v>
      </c>
      <c r="G209" s="347">
        <f t="shared" si="10"/>
        <v>13.674351802451838</v>
      </c>
      <c r="H209" s="74">
        <f t="shared" si="11"/>
        <v>365636.25</v>
      </c>
    </row>
    <row r="210" spans="1:8" x14ac:dyDescent="0.25">
      <c r="A210" s="61">
        <f>'A) Base RI'!A212</f>
        <v>5741</v>
      </c>
      <c r="B210" s="114" t="str">
        <f>'A) Base RI'!B212</f>
        <v>L'Abergement</v>
      </c>
      <c r="C210" s="14">
        <f>'B) D RI'!Y212</f>
        <v>23863.85</v>
      </c>
      <c r="D210" s="19">
        <f>'B) D RI'!Z212</f>
        <v>14134.65</v>
      </c>
      <c r="E210" s="14">
        <f t="shared" si="9"/>
        <v>37998.5</v>
      </c>
      <c r="F210" s="19">
        <f>'B) D RI'!U212</f>
        <v>6994.8889917695487</v>
      </c>
      <c r="G210" s="347">
        <f t="shared" si="10"/>
        <v>5.4323235214612371</v>
      </c>
      <c r="H210" s="74">
        <f t="shared" si="11"/>
        <v>16172.32</v>
      </c>
    </row>
    <row r="211" spans="1:8" x14ac:dyDescent="0.25">
      <c r="A211" s="61">
        <f>'A) Base RI'!A213</f>
        <v>5742</v>
      </c>
      <c r="B211" s="114" t="str">
        <f>'A) Base RI'!B213</f>
        <v>Agiez</v>
      </c>
      <c r="C211" s="14">
        <f>'B) D RI'!Y213</f>
        <v>7786.9</v>
      </c>
      <c r="D211" s="19">
        <f>'B) D RI'!Z213</f>
        <v>0</v>
      </c>
      <c r="E211" s="14">
        <f t="shared" si="9"/>
        <v>7786.9</v>
      </c>
      <c r="F211" s="19">
        <f>'B) D RI'!U213</f>
        <v>9274.0430263157905</v>
      </c>
      <c r="G211" s="347">
        <f t="shared" si="10"/>
        <v>0.83964458412626386</v>
      </c>
      <c r="H211" s="74">
        <f t="shared" si="11"/>
        <v>3893.45</v>
      </c>
    </row>
    <row r="212" spans="1:8" x14ac:dyDescent="0.25">
      <c r="A212" s="61">
        <f>'A) Base RI'!A214</f>
        <v>5743</v>
      </c>
      <c r="B212" s="114" t="str">
        <f>'A) Base RI'!B214</f>
        <v>Arnex-sur-Orbe</v>
      </c>
      <c r="C212" s="14">
        <f>'B) D RI'!Y214</f>
        <v>65197</v>
      </c>
      <c r="D212" s="19">
        <f>'B) D RI'!Z214</f>
        <v>31541.45</v>
      </c>
      <c r="E212" s="14">
        <f t="shared" si="9"/>
        <v>96738.45</v>
      </c>
      <c r="F212" s="19">
        <f>'B) D RI'!U214</f>
        <v>17348.834349315071</v>
      </c>
      <c r="G212" s="347">
        <f t="shared" si="10"/>
        <v>5.5760777959021333</v>
      </c>
      <c r="H212" s="74">
        <f t="shared" si="11"/>
        <v>42060.934999999998</v>
      </c>
    </row>
    <row r="213" spans="1:8" x14ac:dyDescent="0.25">
      <c r="A213" s="61">
        <f>'A) Base RI'!A215</f>
        <v>5744</v>
      </c>
      <c r="B213" s="114" t="str">
        <f>'A) Base RI'!B215</f>
        <v>Ballaigues</v>
      </c>
      <c r="C213" s="14">
        <f>'B) D RI'!Y215</f>
        <v>92206.5</v>
      </c>
      <c r="D213" s="19">
        <f>'B) D RI'!Z215</f>
        <v>755922.85</v>
      </c>
      <c r="E213" s="14">
        <f t="shared" si="9"/>
        <v>848129.35</v>
      </c>
      <c r="F213" s="19">
        <f>'B) D RI'!U215</f>
        <v>53212.458333333336</v>
      </c>
      <c r="G213" s="347">
        <f t="shared" si="10"/>
        <v>15.938548538523637</v>
      </c>
      <c r="H213" s="74">
        <f t="shared" si="11"/>
        <v>272880.10499999998</v>
      </c>
    </row>
    <row r="214" spans="1:8" x14ac:dyDescent="0.25">
      <c r="A214" s="61">
        <f>'A) Base RI'!A216</f>
        <v>5745</v>
      </c>
      <c r="B214" s="114" t="str">
        <f>'A) Base RI'!B216</f>
        <v>Baulmes</v>
      </c>
      <c r="C214" s="14">
        <f>'B) D RI'!Y216</f>
        <v>75015.75</v>
      </c>
      <c r="D214" s="19">
        <f>'B) D RI'!Z216</f>
        <v>184046.05</v>
      </c>
      <c r="E214" s="14">
        <f t="shared" si="9"/>
        <v>259061.8</v>
      </c>
      <c r="F214" s="19">
        <f>'B) D RI'!U216</f>
        <v>27522.151666666668</v>
      </c>
      <c r="G214" s="347">
        <f t="shared" si="10"/>
        <v>9.4128469001121573</v>
      </c>
      <c r="H214" s="74">
        <f t="shared" si="11"/>
        <v>92721.69</v>
      </c>
    </row>
    <row r="215" spans="1:8" x14ac:dyDescent="0.25">
      <c r="A215" s="61">
        <f>'A) Base RI'!A217</f>
        <v>5746</v>
      </c>
      <c r="B215" s="114" t="str">
        <f>'A) Base RI'!B217</f>
        <v>Bavois</v>
      </c>
      <c r="C215" s="14">
        <f>'B) D RI'!Y217</f>
        <v>123893.5</v>
      </c>
      <c r="D215" s="19">
        <f>'B) D RI'!Z217</f>
        <v>19841.95</v>
      </c>
      <c r="E215" s="14">
        <f t="shared" si="9"/>
        <v>143735.45000000001</v>
      </c>
      <c r="F215" s="19">
        <f>'B) D RI'!U217</f>
        <v>23930.083584474884</v>
      </c>
      <c r="G215" s="347">
        <f t="shared" si="10"/>
        <v>6.0064750502272055</v>
      </c>
      <c r="H215" s="74">
        <f t="shared" si="11"/>
        <v>67899.335000000006</v>
      </c>
    </row>
    <row r="216" spans="1:8" x14ac:dyDescent="0.25">
      <c r="A216" s="61">
        <f>'A) Base RI'!A218</f>
        <v>5747</v>
      </c>
      <c r="B216" s="114" t="str">
        <f>'A) Base RI'!B218</f>
        <v>Bofflens</v>
      </c>
      <c r="C216" s="14">
        <f>'B) D RI'!Y218</f>
        <v>13729.099999999999</v>
      </c>
      <c r="D216" s="19">
        <f>'B) D RI'!Z218</f>
        <v>0</v>
      </c>
      <c r="E216" s="14">
        <f t="shared" si="9"/>
        <v>13729.099999999999</v>
      </c>
      <c r="F216" s="19">
        <f>'B) D RI'!U218</f>
        <v>5183.441884057971</v>
      </c>
      <c r="G216" s="347">
        <f t="shared" si="10"/>
        <v>2.648645496002334</v>
      </c>
      <c r="H216" s="74">
        <f t="shared" si="11"/>
        <v>6864.5499999999993</v>
      </c>
    </row>
    <row r="217" spans="1:8" x14ac:dyDescent="0.25">
      <c r="A217" s="61">
        <f>'A) Base RI'!A219</f>
        <v>5748</v>
      </c>
      <c r="B217" s="114" t="str">
        <f>'A) Base RI'!B219</f>
        <v>Bretonnières</v>
      </c>
      <c r="C217" s="14">
        <f>'B) D RI'!Y219</f>
        <v>49222.7</v>
      </c>
      <c r="D217" s="19">
        <f>'B) D RI'!Z219</f>
        <v>4800.1499999999996</v>
      </c>
      <c r="E217" s="14">
        <f t="shared" si="9"/>
        <v>54022.85</v>
      </c>
      <c r="F217" s="19">
        <f>'B) D RI'!U219</f>
        <v>6140.8540277777784</v>
      </c>
      <c r="G217" s="347">
        <f t="shared" si="10"/>
        <v>8.7972861357118948</v>
      </c>
      <c r="H217" s="74">
        <f t="shared" si="11"/>
        <v>26051.394999999997</v>
      </c>
    </row>
    <row r="218" spans="1:8" x14ac:dyDescent="0.25">
      <c r="A218" s="61">
        <f>'A) Base RI'!A220</f>
        <v>5749</v>
      </c>
      <c r="B218" s="114" t="str">
        <f>'A) Base RI'!B220</f>
        <v>Chavornay</v>
      </c>
      <c r="C218" s="14">
        <f>'B) D RI'!Y220</f>
        <v>340458.5</v>
      </c>
      <c r="D218" s="19">
        <f>'B) D RI'!Z220</f>
        <v>539006.69999999995</v>
      </c>
      <c r="E218" s="14">
        <f t="shared" si="9"/>
        <v>879465.2</v>
      </c>
      <c r="F218" s="19">
        <f>'B) D RI'!U220</f>
        <v>124346.92667771333</v>
      </c>
      <c r="G218" s="347">
        <f t="shared" si="10"/>
        <v>7.0726733944895024</v>
      </c>
      <c r="H218" s="74">
        <f t="shared" si="11"/>
        <v>331931.26</v>
      </c>
    </row>
    <row r="219" spans="1:8" x14ac:dyDescent="0.25">
      <c r="A219" s="61">
        <f>'A) Base RI'!A221</f>
        <v>5750</v>
      </c>
      <c r="B219" s="114" t="str">
        <f>'A) Base RI'!B221</f>
        <v>Les Clées</v>
      </c>
      <c r="C219" s="14">
        <f>'B) D RI'!Y221</f>
        <v>6010.7</v>
      </c>
      <c r="D219" s="19">
        <f>'B) D RI'!Z221</f>
        <v>9325.7999999999993</v>
      </c>
      <c r="E219" s="14">
        <f t="shared" si="9"/>
        <v>15336.5</v>
      </c>
      <c r="F219" s="19">
        <f>'B) D RI'!U221</f>
        <v>4366.1146666666664</v>
      </c>
      <c r="G219" s="347">
        <f t="shared" si="10"/>
        <v>3.5126196105400807</v>
      </c>
      <c r="H219" s="74">
        <f t="shared" si="11"/>
        <v>5803.09</v>
      </c>
    </row>
    <row r="220" spans="1:8" x14ac:dyDescent="0.25">
      <c r="A220" s="61">
        <f>'A) Base RI'!A222</f>
        <v>5752</v>
      </c>
      <c r="B220" s="114" t="str">
        <f>'A) Base RI'!B222</f>
        <v>Croy</v>
      </c>
      <c r="C220" s="14">
        <f>'B) D RI'!Y222</f>
        <v>71443.75</v>
      </c>
      <c r="D220" s="19">
        <f>'B) D RI'!Z222</f>
        <v>24819.55</v>
      </c>
      <c r="E220" s="14">
        <f t="shared" si="9"/>
        <v>96263.3</v>
      </c>
      <c r="F220" s="19">
        <f>'B) D RI'!U222</f>
        <v>12886.326312741312</v>
      </c>
      <c r="G220" s="347">
        <f t="shared" si="10"/>
        <v>7.4701895376357177</v>
      </c>
      <c r="H220" s="74">
        <f t="shared" si="11"/>
        <v>43167.74</v>
      </c>
    </row>
    <row r="221" spans="1:8" x14ac:dyDescent="0.25">
      <c r="A221" s="61">
        <f>'A) Base RI'!A223</f>
        <v>5754</v>
      </c>
      <c r="B221" s="114" t="str">
        <f>'A) Base RI'!B223</f>
        <v>Juriens</v>
      </c>
      <c r="C221" s="14">
        <f>'B) D RI'!Y223</f>
        <v>33412.85</v>
      </c>
      <c r="D221" s="19">
        <f>'B) D RI'!Z223</f>
        <v>7180.45</v>
      </c>
      <c r="E221" s="14">
        <f t="shared" si="9"/>
        <v>40593.299999999996</v>
      </c>
      <c r="F221" s="19">
        <f>'B) D RI'!U223</f>
        <v>6475.8115189873415</v>
      </c>
      <c r="G221" s="347">
        <f t="shared" si="10"/>
        <v>6.2684498894044083</v>
      </c>
      <c r="H221" s="74">
        <f t="shared" si="11"/>
        <v>18860.559999999998</v>
      </c>
    </row>
    <row r="222" spans="1:8" x14ac:dyDescent="0.25">
      <c r="A222" s="61">
        <f>'A) Base RI'!A224</f>
        <v>5755</v>
      </c>
      <c r="B222" s="114" t="str">
        <f>'A) Base RI'!B224</f>
        <v>Lignerolle</v>
      </c>
      <c r="C222" s="14">
        <f>'B) D RI'!Y224</f>
        <v>72499.649999999994</v>
      </c>
      <c r="D222" s="19">
        <f>'B) D RI'!Z224</f>
        <v>18380.650000000001</v>
      </c>
      <c r="E222" s="14">
        <f t="shared" si="9"/>
        <v>90880.299999999988</v>
      </c>
      <c r="F222" s="19">
        <f>'B) D RI'!U224</f>
        <v>8871.4906525573169</v>
      </c>
      <c r="G222" s="347">
        <f t="shared" si="10"/>
        <v>10.244084512877508</v>
      </c>
      <c r="H222" s="74">
        <f t="shared" si="11"/>
        <v>41764.019999999997</v>
      </c>
    </row>
    <row r="223" spans="1:8" x14ac:dyDescent="0.25">
      <c r="A223" s="61">
        <f>'A) Base RI'!A225</f>
        <v>5756</v>
      </c>
      <c r="B223" s="114" t="str">
        <f>'A) Base RI'!B225</f>
        <v>Montcherand</v>
      </c>
      <c r="C223" s="14">
        <f>'B) D RI'!Y225</f>
        <v>54942.45</v>
      </c>
      <c r="D223" s="19">
        <f>'B) D RI'!Z225</f>
        <v>20611.55</v>
      </c>
      <c r="E223" s="14">
        <f t="shared" si="9"/>
        <v>75554</v>
      </c>
      <c r="F223" s="19">
        <f>'B) D RI'!U225</f>
        <v>14808.245169082125</v>
      </c>
      <c r="G223" s="347">
        <f t="shared" si="10"/>
        <v>5.102157557314615</v>
      </c>
      <c r="H223" s="74">
        <f t="shared" si="11"/>
        <v>33654.689999999995</v>
      </c>
    </row>
    <row r="224" spans="1:8" x14ac:dyDescent="0.25">
      <c r="A224" s="61">
        <f>'A) Base RI'!A226</f>
        <v>5757</v>
      </c>
      <c r="B224" s="114" t="str">
        <f>'A) Base RI'!B226</f>
        <v>Orbe</v>
      </c>
      <c r="C224" s="14">
        <f>'B) D RI'!Y226</f>
        <v>772316.85</v>
      </c>
      <c r="D224" s="19">
        <f>'B) D RI'!Z226</f>
        <v>2824411.25</v>
      </c>
      <c r="E224" s="14">
        <f t="shared" si="9"/>
        <v>3596728.1</v>
      </c>
      <c r="F224" s="19">
        <f>'B) D RI'!U226</f>
        <v>210430.38166666671</v>
      </c>
      <c r="G224" s="347">
        <f t="shared" si="10"/>
        <v>17.0922471912702</v>
      </c>
      <c r="H224" s="74">
        <f t="shared" si="11"/>
        <v>1233481.8</v>
      </c>
    </row>
    <row r="225" spans="1:8" x14ac:dyDescent="0.25">
      <c r="A225" s="61">
        <f>'A) Base RI'!A227</f>
        <v>5758</v>
      </c>
      <c r="B225" s="114" t="str">
        <f>'A) Base RI'!B227</f>
        <v>La Praz</v>
      </c>
      <c r="C225" s="14">
        <f>'B) D RI'!Y227</f>
        <v>12651.35</v>
      </c>
      <c r="D225" s="19">
        <f>'B) D RI'!Z227</f>
        <v>0</v>
      </c>
      <c r="E225" s="14">
        <f t="shared" si="9"/>
        <v>12651.35</v>
      </c>
      <c r="F225" s="19">
        <f>'B) D RI'!U227</f>
        <v>3864.2083668005353</v>
      </c>
      <c r="G225" s="347">
        <f t="shared" si="10"/>
        <v>3.2739823526843073</v>
      </c>
      <c r="H225" s="74">
        <f t="shared" si="11"/>
        <v>6325.6750000000002</v>
      </c>
    </row>
    <row r="226" spans="1:8" x14ac:dyDescent="0.25">
      <c r="A226" s="61">
        <f>'A) Base RI'!A228</f>
        <v>5759</v>
      </c>
      <c r="B226" s="114" t="str">
        <f>'A) Base RI'!B228</f>
        <v>Premier</v>
      </c>
      <c r="C226" s="14">
        <f>'B) D RI'!Y228</f>
        <v>19229.650000000001</v>
      </c>
      <c r="D226" s="19">
        <f>'B) D RI'!Z228</f>
        <v>2753.1</v>
      </c>
      <c r="E226" s="14">
        <f t="shared" si="9"/>
        <v>21982.75</v>
      </c>
      <c r="F226" s="19">
        <f>'B) D RI'!U228</f>
        <v>4558.7250617283944</v>
      </c>
      <c r="G226" s="347">
        <f t="shared" si="10"/>
        <v>4.8221267355100075</v>
      </c>
      <c r="H226" s="74">
        <f t="shared" si="11"/>
        <v>10440.755000000001</v>
      </c>
    </row>
    <row r="227" spans="1:8" x14ac:dyDescent="0.25">
      <c r="A227" s="61">
        <f>'A) Base RI'!A229</f>
        <v>5760</v>
      </c>
      <c r="B227" s="114" t="str">
        <f>'A) Base RI'!B229</f>
        <v>Rances</v>
      </c>
      <c r="C227" s="14">
        <f>'B) D RI'!Y229</f>
        <v>45669.05</v>
      </c>
      <c r="D227" s="19">
        <f>'B) D RI'!Z229</f>
        <v>7957.9</v>
      </c>
      <c r="E227" s="14">
        <f t="shared" si="9"/>
        <v>53626.950000000004</v>
      </c>
      <c r="F227" s="19">
        <f>'B) D RI'!U229</f>
        <v>11470.274871794873</v>
      </c>
      <c r="G227" s="347">
        <f t="shared" si="10"/>
        <v>4.6752977238468256</v>
      </c>
      <c r="H227" s="74">
        <f t="shared" si="11"/>
        <v>25221.895</v>
      </c>
    </row>
    <row r="228" spans="1:8" x14ac:dyDescent="0.25">
      <c r="A228" s="61">
        <f>'A) Base RI'!A230</f>
        <v>5761</v>
      </c>
      <c r="B228" s="114" t="str">
        <f>'A) Base RI'!B230</f>
        <v>Romainmôtier-Envy</v>
      </c>
      <c r="C228" s="14">
        <f>'B) D RI'!Y230</f>
        <v>56429.2</v>
      </c>
      <c r="D228" s="19">
        <f>'B) D RI'!Z230</f>
        <v>48393.15</v>
      </c>
      <c r="E228" s="14">
        <f t="shared" si="9"/>
        <v>104822.35</v>
      </c>
      <c r="F228" s="19">
        <f>'B) D RI'!U230</f>
        <v>11347.35572368421</v>
      </c>
      <c r="G228" s="347">
        <f t="shared" si="10"/>
        <v>9.237601477603695</v>
      </c>
      <c r="H228" s="74">
        <f t="shared" si="11"/>
        <v>42732.544999999998</v>
      </c>
    </row>
    <row r="229" spans="1:8" x14ac:dyDescent="0.25">
      <c r="A229" s="61">
        <f>'A) Base RI'!A231</f>
        <v>5762</v>
      </c>
      <c r="B229" s="114" t="str">
        <f>'A) Base RI'!B231</f>
        <v>Sergey</v>
      </c>
      <c r="C229" s="14">
        <f>'B) D RI'!Y231</f>
        <v>0</v>
      </c>
      <c r="D229" s="19">
        <f>'B) D RI'!Z231</f>
        <v>4150.2</v>
      </c>
      <c r="E229" s="14">
        <f t="shared" si="9"/>
        <v>4150.2</v>
      </c>
      <c r="F229" s="19">
        <f>'B) D RI'!U231</f>
        <v>3104.8092592592593</v>
      </c>
      <c r="G229" s="347">
        <f t="shared" si="10"/>
        <v>1.3367004712521851</v>
      </c>
      <c r="H229" s="74">
        <f t="shared" si="11"/>
        <v>1245.06</v>
      </c>
    </row>
    <row r="230" spans="1:8" x14ac:dyDescent="0.25">
      <c r="A230" s="61">
        <f>'A) Base RI'!A232</f>
        <v>5763</v>
      </c>
      <c r="B230" s="114" t="str">
        <f>'A) Base RI'!B232</f>
        <v>Valeyres-sous-Rances</v>
      </c>
      <c r="C230" s="14">
        <f>'B) D RI'!Y232</f>
        <v>66565.149999999994</v>
      </c>
      <c r="D230" s="19">
        <f>'B) D RI'!Z232</f>
        <v>80286.55</v>
      </c>
      <c r="E230" s="14">
        <f t="shared" si="9"/>
        <v>146851.70000000001</v>
      </c>
      <c r="F230" s="19">
        <f>'B) D RI'!U232</f>
        <v>16129.151764705883</v>
      </c>
      <c r="G230" s="347">
        <f t="shared" si="10"/>
        <v>9.1047379392475989</v>
      </c>
      <c r="H230" s="74">
        <f t="shared" si="11"/>
        <v>57368.539999999994</v>
      </c>
    </row>
    <row r="231" spans="1:8" x14ac:dyDescent="0.25">
      <c r="A231" s="61">
        <f>'A) Base RI'!A233</f>
        <v>5764</v>
      </c>
      <c r="B231" s="114" t="str">
        <f>'A) Base RI'!B233</f>
        <v>Vallorbe</v>
      </c>
      <c r="C231" s="14">
        <f>'B) D RI'!Y233</f>
        <v>323613.5</v>
      </c>
      <c r="D231" s="19">
        <f>'B) D RI'!Z233</f>
        <v>2510152.4500000002</v>
      </c>
      <c r="E231" s="14">
        <f t="shared" si="9"/>
        <v>2833765.95</v>
      </c>
      <c r="F231" s="19">
        <f>'B) D RI'!U233</f>
        <v>84393.993513513502</v>
      </c>
      <c r="G231" s="347">
        <f t="shared" si="10"/>
        <v>33.577815576961008</v>
      </c>
      <c r="H231" s="74">
        <f t="shared" si="11"/>
        <v>914852.48499999999</v>
      </c>
    </row>
    <row r="232" spans="1:8" x14ac:dyDescent="0.25">
      <c r="A232" s="61">
        <f>'A) Base RI'!A234</f>
        <v>5765</v>
      </c>
      <c r="B232" s="114" t="str">
        <f>'A) Base RI'!B234</f>
        <v>Vaulion</v>
      </c>
      <c r="C232" s="14">
        <f>'B) D RI'!Y234</f>
        <v>86051.549999999988</v>
      </c>
      <c r="D232" s="19">
        <f>'B) D RI'!Z234</f>
        <v>48456.65</v>
      </c>
      <c r="E232" s="14">
        <f t="shared" si="9"/>
        <v>134508.19999999998</v>
      </c>
      <c r="F232" s="19">
        <f>'B) D RI'!U234</f>
        <v>9305.5603703703709</v>
      </c>
      <c r="G232" s="347">
        <f t="shared" si="10"/>
        <v>14.454605058313797</v>
      </c>
      <c r="H232" s="74">
        <f t="shared" si="11"/>
        <v>57562.77</v>
      </c>
    </row>
    <row r="233" spans="1:8" x14ac:dyDescent="0.25">
      <c r="A233" s="61">
        <f>'A) Base RI'!A235</f>
        <v>5766</v>
      </c>
      <c r="B233" s="114" t="str">
        <f>'A) Base RI'!B235</f>
        <v>Vuiteboeuf</v>
      </c>
      <c r="C233" s="14">
        <f>'B) D RI'!Y235</f>
        <v>65007.15</v>
      </c>
      <c r="D233" s="19">
        <f>'B) D RI'!Z235</f>
        <v>24719.4</v>
      </c>
      <c r="E233" s="14">
        <f t="shared" si="9"/>
        <v>89726.55</v>
      </c>
      <c r="F233" s="19">
        <f>'B) D RI'!U235</f>
        <v>11614.965899814471</v>
      </c>
      <c r="G233" s="347">
        <f t="shared" si="10"/>
        <v>7.7250807943769537</v>
      </c>
      <c r="H233" s="74">
        <f t="shared" si="11"/>
        <v>39919.395000000004</v>
      </c>
    </row>
    <row r="234" spans="1:8" x14ac:dyDescent="0.25">
      <c r="A234" s="61">
        <f>'A) Base RI'!A236</f>
        <v>5785</v>
      </c>
      <c r="B234" s="114" t="str">
        <f>'A) Base RI'!B236</f>
        <v>Corcelles-le-Jorat</v>
      </c>
      <c r="C234" s="14">
        <f>'B) D RI'!Y236</f>
        <v>38949.35</v>
      </c>
      <c r="D234" s="19">
        <f>'B) D RI'!Z236</f>
        <v>2882.75</v>
      </c>
      <c r="E234" s="14">
        <f t="shared" si="9"/>
        <v>41832.1</v>
      </c>
      <c r="F234" s="19">
        <f>'B) D RI'!U236</f>
        <v>12293.058354430379</v>
      </c>
      <c r="G234" s="347">
        <f t="shared" si="10"/>
        <v>3.402904207716857</v>
      </c>
      <c r="H234" s="74">
        <f t="shared" si="11"/>
        <v>20339.5</v>
      </c>
    </row>
    <row r="235" spans="1:8" x14ac:dyDescent="0.25">
      <c r="A235" s="61">
        <f>'A) Base RI'!A237</f>
        <v>5788</v>
      </c>
      <c r="B235" s="114" t="str">
        <f>'A) Base RI'!B237</f>
        <v>Essertes</v>
      </c>
      <c r="C235" s="14">
        <f>'B) D RI'!Y237</f>
        <v>43436.95</v>
      </c>
      <c r="D235" s="19">
        <f>'B) D RI'!Z237</f>
        <v>0</v>
      </c>
      <c r="E235" s="14">
        <f t="shared" si="9"/>
        <v>43436.95</v>
      </c>
      <c r="F235" s="19">
        <f>'B) D RI'!U237</f>
        <v>10412.319857142857</v>
      </c>
      <c r="G235" s="347">
        <f t="shared" si="10"/>
        <v>4.1716880191883678</v>
      </c>
      <c r="H235" s="74">
        <f t="shared" si="11"/>
        <v>21718.474999999999</v>
      </c>
    </row>
    <row r="236" spans="1:8" x14ac:dyDescent="0.25">
      <c r="A236" s="61">
        <f>'A) Base RI'!A238</f>
        <v>5790</v>
      </c>
      <c r="B236" s="114" t="str">
        <f>'A) Base RI'!B238</f>
        <v>Maracon</v>
      </c>
      <c r="C236" s="14">
        <f>'B) D RI'!Y238</f>
        <v>215312.75</v>
      </c>
      <c r="D236" s="19">
        <f>'B) D RI'!Z238</f>
        <v>0</v>
      </c>
      <c r="E236" s="14">
        <f t="shared" si="9"/>
        <v>215312.75</v>
      </c>
      <c r="F236" s="19">
        <f>'B) D RI'!U238</f>
        <v>12107.709078947366</v>
      </c>
      <c r="G236" s="347">
        <f t="shared" si="10"/>
        <v>17.783112279628632</v>
      </c>
      <c r="H236" s="74">
        <f t="shared" si="11"/>
        <v>107656.375</v>
      </c>
    </row>
    <row r="237" spans="1:8" x14ac:dyDescent="0.25">
      <c r="A237" s="61">
        <f>'A) Base RI'!A239</f>
        <v>5792</v>
      </c>
      <c r="B237" s="114" t="str">
        <f>'A) Base RI'!B239</f>
        <v>Montpreveyres</v>
      </c>
      <c r="C237" s="14">
        <f>'B) D RI'!Y239</f>
        <v>56701.85</v>
      </c>
      <c r="D237" s="19">
        <f>'B) D RI'!Z239</f>
        <v>2352.5500000000002</v>
      </c>
      <c r="E237" s="14">
        <f t="shared" si="9"/>
        <v>59054.400000000001</v>
      </c>
      <c r="F237" s="19">
        <f>'B) D RI'!U239</f>
        <v>19088.494155844161</v>
      </c>
      <c r="G237" s="347">
        <f t="shared" si="10"/>
        <v>3.0937170589708263</v>
      </c>
      <c r="H237" s="74">
        <f t="shared" si="11"/>
        <v>29056.69</v>
      </c>
    </row>
    <row r="238" spans="1:8" x14ac:dyDescent="0.25">
      <c r="A238" s="61">
        <f>'A) Base RI'!A240</f>
        <v>5798</v>
      </c>
      <c r="B238" s="114" t="str">
        <f>'A) Base RI'!B240</f>
        <v>Ropraz</v>
      </c>
      <c r="C238" s="14">
        <f>'B) D RI'!Y240</f>
        <v>86734.55</v>
      </c>
      <c r="D238" s="19">
        <f>'B) D RI'!Z240</f>
        <v>0</v>
      </c>
      <c r="E238" s="14">
        <f t="shared" si="9"/>
        <v>86734.55</v>
      </c>
      <c r="F238" s="19">
        <f>'B) D RI'!U240</f>
        <v>9558.3067096774193</v>
      </c>
      <c r="G238" s="347">
        <f t="shared" si="10"/>
        <v>9.0742589283292823</v>
      </c>
      <c r="H238" s="74">
        <f t="shared" si="11"/>
        <v>43367.275000000001</v>
      </c>
    </row>
    <row r="239" spans="1:8" x14ac:dyDescent="0.25">
      <c r="A239" s="61">
        <f>'A) Base RI'!A241</f>
        <v>5799</v>
      </c>
      <c r="B239" s="114" t="str">
        <f>'A) Base RI'!B241</f>
        <v>Servion</v>
      </c>
      <c r="C239" s="14">
        <f>'B) D RI'!Y241</f>
        <v>480607.54999999993</v>
      </c>
      <c r="D239" s="19">
        <f>'B) D RI'!Z241</f>
        <v>12106.1</v>
      </c>
      <c r="E239" s="14">
        <f t="shared" si="9"/>
        <v>492713.64999999991</v>
      </c>
      <c r="F239" s="19">
        <f>'B) D RI'!U241</f>
        <v>51366.477681159435</v>
      </c>
      <c r="G239" s="347">
        <f t="shared" si="10"/>
        <v>9.5921245186083866</v>
      </c>
      <c r="H239" s="74">
        <f t="shared" si="11"/>
        <v>243935.60499999995</v>
      </c>
    </row>
    <row r="240" spans="1:8" x14ac:dyDescent="0.25">
      <c r="A240" s="61">
        <f>'A) Base RI'!A242</f>
        <v>5803</v>
      </c>
      <c r="B240" s="114" t="str">
        <f>'A) Base RI'!B242</f>
        <v>Vulliens</v>
      </c>
      <c r="C240" s="14">
        <f>'B) D RI'!Y242</f>
        <v>173093.5</v>
      </c>
      <c r="D240" s="19">
        <f>'B) D RI'!Z242</f>
        <v>0</v>
      </c>
      <c r="E240" s="14">
        <f t="shared" si="9"/>
        <v>173093.5</v>
      </c>
      <c r="F240" s="19">
        <f>'B) D RI'!U242</f>
        <v>12589.149382716048</v>
      </c>
      <c r="G240" s="347">
        <f t="shared" si="10"/>
        <v>13.749419816849922</v>
      </c>
      <c r="H240" s="74">
        <f t="shared" si="11"/>
        <v>86546.75</v>
      </c>
    </row>
    <row r="241" spans="1:8" x14ac:dyDescent="0.25">
      <c r="A241" s="61">
        <f>'A) Base RI'!A243</f>
        <v>5804</v>
      </c>
      <c r="B241" s="114" t="str">
        <f>'A) Base RI'!B243</f>
        <v>Jorat-Menthue</v>
      </c>
      <c r="C241" s="14">
        <f>'B) D RI'!Y243</f>
        <v>226479.9</v>
      </c>
      <c r="D241" s="19">
        <f>'B) D RI'!Z243</f>
        <v>11176.1</v>
      </c>
      <c r="E241" s="14">
        <f t="shared" si="9"/>
        <v>237656</v>
      </c>
      <c r="F241" s="19">
        <f>'B) D RI'!U243</f>
        <v>41163.666944444441</v>
      </c>
      <c r="G241" s="347">
        <f t="shared" si="10"/>
        <v>5.7734409405446492</v>
      </c>
      <c r="H241" s="74">
        <f t="shared" si="11"/>
        <v>116592.78</v>
      </c>
    </row>
    <row r="242" spans="1:8" x14ac:dyDescent="0.25">
      <c r="A242" s="61">
        <f>'A) Base RI'!A244</f>
        <v>5805</v>
      </c>
      <c r="B242" s="114" t="str">
        <f>'A) Base RI'!B244</f>
        <v>Oron</v>
      </c>
      <c r="C242" s="14">
        <f>'B) D RI'!Y244</f>
        <v>884123.5</v>
      </c>
      <c r="D242" s="19">
        <f>'B) D RI'!Z244</f>
        <v>64015.55</v>
      </c>
      <c r="E242" s="14">
        <f t="shared" si="9"/>
        <v>948139.05</v>
      </c>
      <c r="F242" s="19">
        <f>'B) D RI'!U244</f>
        <v>146504.50986824767</v>
      </c>
      <c r="G242" s="347">
        <f t="shared" si="10"/>
        <v>6.4717396812744319</v>
      </c>
      <c r="H242" s="74">
        <f t="shared" si="11"/>
        <v>461266.41499999998</v>
      </c>
    </row>
    <row r="243" spans="1:8" x14ac:dyDescent="0.25">
      <c r="A243" s="61">
        <f>'A) Base RI'!A245</f>
        <v>5806</v>
      </c>
      <c r="B243" s="114" t="str">
        <f>'A) Base RI'!B245</f>
        <v>Jorat-Mézières</v>
      </c>
      <c r="C243" s="14">
        <f>'B) D RI'!Y245</f>
        <v>428425.85</v>
      </c>
      <c r="D243" s="19">
        <f>'B) D RI'!Z245</f>
        <v>16699.75</v>
      </c>
      <c r="E243" s="14">
        <f t="shared" si="9"/>
        <v>445125.6</v>
      </c>
      <c r="F243" s="19">
        <f>'B) D RI'!U245</f>
        <v>83059.358118759847</v>
      </c>
      <c r="G243" s="347">
        <f t="shared" si="10"/>
        <v>5.3591264137094701</v>
      </c>
      <c r="H243" s="74">
        <f t="shared" si="11"/>
        <v>219222.84999999998</v>
      </c>
    </row>
    <row r="244" spans="1:8" x14ac:dyDescent="0.25">
      <c r="A244" s="61">
        <f>'A) Base RI'!A246</f>
        <v>5812</v>
      </c>
      <c r="B244" s="114" t="str">
        <f>'A) Base RI'!B246</f>
        <v>Champtauroz</v>
      </c>
      <c r="C244" s="14">
        <f>'B) D RI'!Y246</f>
        <v>35076.6</v>
      </c>
      <c r="D244" s="19">
        <f>'B) D RI'!Z246</f>
        <v>0</v>
      </c>
      <c r="E244" s="14">
        <f t="shared" si="9"/>
        <v>35076.6</v>
      </c>
      <c r="F244" s="19">
        <f>'B) D RI'!U246</f>
        <v>2420.1879870129869</v>
      </c>
      <c r="G244" s="347">
        <f t="shared" si="10"/>
        <v>14.493336959040024</v>
      </c>
      <c r="H244" s="74">
        <f t="shared" si="11"/>
        <v>17538.3</v>
      </c>
    </row>
    <row r="245" spans="1:8" x14ac:dyDescent="0.25">
      <c r="A245" s="61">
        <f>'A) Base RI'!A247</f>
        <v>5813</v>
      </c>
      <c r="B245" s="114" t="str">
        <f>'A) Base RI'!B247</f>
        <v>Chevroux</v>
      </c>
      <c r="C245" s="14">
        <f>'B) D RI'!Y247</f>
        <v>66435.199999999997</v>
      </c>
      <c r="D245" s="19">
        <f>'B) D RI'!Z247</f>
        <v>0</v>
      </c>
      <c r="E245" s="14">
        <f t="shared" si="9"/>
        <v>66435.199999999997</v>
      </c>
      <c r="F245" s="19">
        <f>'B) D RI'!U247</f>
        <v>11590.298571428571</v>
      </c>
      <c r="G245" s="347">
        <f t="shared" si="10"/>
        <v>5.7319662293920937</v>
      </c>
      <c r="H245" s="74">
        <f t="shared" si="11"/>
        <v>33217.599999999999</v>
      </c>
    </row>
    <row r="246" spans="1:8" x14ac:dyDescent="0.25">
      <c r="A246" s="61">
        <f>'A) Base RI'!A248</f>
        <v>5816</v>
      </c>
      <c r="B246" s="114" t="str">
        <f>'A) Base RI'!B248</f>
        <v>Corcelles-près-Payerne</v>
      </c>
      <c r="C246" s="14">
        <f>'B) D RI'!Y248</f>
        <v>476464.1</v>
      </c>
      <c r="D246" s="19">
        <f>'B) D RI'!Z248</f>
        <v>7755.25</v>
      </c>
      <c r="E246" s="14">
        <f t="shared" si="9"/>
        <v>484219.35</v>
      </c>
      <c r="F246" s="19">
        <f>'B) D RI'!U248</f>
        <v>52953.608154761903</v>
      </c>
      <c r="G246" s="347">
        <f t="shared" si="10"/>
        <v>9.144218248260314</v>
      </c>
      <c r="H246" s="74">
        <f t="shared" si="11"/>
        <v>240558.625</v>
      </c>
    </row>
    <row r="247" spans="1:8" x14ac:dyDescent="0.25">
      <c r="A247" s="61">
        <f>'A) Base RI'!A249</f>
        <v>5817</v>
      </c>
      <c r="B247" s="114" t="str">
        <f>'A) Base RI'!B249</f>
        <v>Grandcour</v>
      </c>
      <c r="C247" s="14">
        <f>'B) D RI'!Y249</f>
        <v>80139.05</v>
      </c>
      <c r="D247" s="19">
        <f>'B) D RI'!Z249</f>
        <v>0</v>
      </c>
      <c r="E247" s="14">
        <f t="shared" si="9"/>
        <v>80139.05</v>
      </c>
      <c r="F247" s="19">
        <f>'B) D RI'!U249</f>
        <v>20895.78968553459</v>
      </c>
      <c r="G247" s="347">
        <f t="shared" si="10"/>
        <v>3.8351769043443911</v>
      </c>
      <c r="H247" s="74">
        <f t="shared" si="11"/>
        <v>40069.525000000001</v>
      </c>
    </row>
    <row r="248" spans="1:8" x14ac:dyDescent="0.25">
      <c r="A248" s="61">
        <f>'A) Base RI'!A250</f>
        <v>5819</v>
      </c>
      <c r="B248" s="114" t="str">
        <f>'A) Base RI'!B250</f>
        <v>Henniez</v>
      </c>
      <c r="C248" s="14">
        <f>'B) D RI'!Y250</f>
        <v>37104.65</v>
      </c>
      <c r="D248" s="19">
        <f>'B) D RI'!Z250</f>
        <v>21737.15</v>
      </c>
      <c r="E248" s="14">
        <f t="shared" si="9"/>
        <v>58841.8</v>
      </c>
      <c r="F248" s="19">
        <f>'B) D RI'!U250</f>
        <v>13106.979402985076</v>
      </c>
      <c r="G248" s="347">
        <f t="shared" si="10"/>
        <v>4.4893486279988322</v>
      </c>
      <c r="H248" s="74">
        <f t="shared" si="11"/>
        <v>25073.47</v>
      </c>
    </row>
    <row r="249" spans="1:8" x14ac:dyDescent="0.25">
      <c r="A249" s="61">
        <f>'A) Base RI'!A251</f>
        <v>5821</v>
      </c>
      <c r="B249" s="114" t="str">
        <f>'A) Base RI'!B251</f>
        <v>Missy</v>
      </c>
      <c r="C249" s="14">
        <f>'B) D RI'!Y251</f>
        <v>97142.299999999988</v>
      </c>
      <c r="D249" s="19">
        <f>'B) D RI'!Z251</f>
        <v>0</v>
      </c>
      <c r="E249" s="14">
        <f t="shared" si="9"/>
        <v>97142.299999999988</v>
      </c>
      <c r="F249" s="19">
        <f>'B) D RI'!U251</f>
        <v>7313.8070833333331</v>
      </c>
      <c r="G249" s="347">
        <f t="shared" si="10"/>
        <v>13.282042976135831</v>
      </c>
      <c r="H249" s="74">
        <f t="shared" si="11"/>
        <v>48571.149999999994</v>
      </c>
    </row>
    <row r="250" spans="1:8" x14ac:dyDescent="0.25">
      <c r="A250" s="61">
        <f>'A) Base RI'!A252</f>
        <v>5822</v>
      </c>
      <c r="B250" s="114" t="str">
        <f>'A) Base RI'!B252</f>
        <v>Payerne</v>
      </c>
      <c r="C250" s="14">
        <f>'B) D RI'!Y252</f>
        <v>1340977.8999999999</v>
      </c>
      <c r="D250" s="19">
        <f>'B) D RI'!Z252</f>
        <v>48080.9</v>
      </c>
      <c r="E250" s="14">
        <f t="shared" si="9"/>
        <v>1389058.7999999998</v>
      </c>
      <c r="F250" s="19">
        <f>'B) D RI'!U252</f>
        <v>224445.50853333328</v>
      </c>
      <c r="G250" s="347">
        <f t="shared" si="10"/>
        <v>6.1888465003241766</v>
      </c>
      <c r="H250" s="74">
        <f t="shared" si="11"/>
        <v>684913.22</v>
      </c>
    </row>
    <row r="251" spans="1:8" x14ac:dyDescent="0.25">
      <c r="A251" s="61">
        <f>'A) Base RI'!A253</f>
        <v>5827</v>
      </c>
      <c r="B251" s="114" t="str">
        <f>'A) Base RI'!B253</f>
        <v>Trey</v>
      </c>
      <c r="C251" s="14">
        <f>'B) D RI'!Y253</f>
        <v>45689.8</v>
      </c>
      <c r="D251" s="19">
        <f>'B) D RI'!Z253</f>
        <v>10533.4</v>
      </c>
      <c r="E251" s="14">
        <f t="shared" si="9"/>
        <v>56223.200000000004</v>
      </c>
      <c r="F251" s="19">
        <f>'B) D RI'!U253</f>
        <v>6544.3336250000011</v>
      </c>
      <c r="G251" s="347">
        <f t="shared" si="10"/>
        <v>8.5911268009353652</v>
      </c>
      <c r="H251" s="74">
        <f t="shared" si="11"/>
        <v>26004.920000000002</v>
      </c>
    </row>
    <row r="252" spans="1:8" x14ac:dyDescent="0.25">
      <c r="A252" s="61">
        <f>'A) Base RI'!A254</f>
        <v>5828</v>
      </c>
      <c r="B252" s="114" t="str">
        <f>'A) Base RI'!B254</f>
        <v>Treytorrens (Payerne)</v>
      </c>
      <c r="C252" s="14">
        <f>'B) D RI'!Y254</f>
        <v>16298.25</v>
      </c>
      <c r="D252" s="19">
        <f>'B) D RI'!Z254</f>
        <v>0</v>
      </c>
      <c r="E252" s="14">
        <f t="shared" si="9"/>
        <v>16298.25</v>
      </c>
      <c r="F252" s="19">
        <f>'B) D RI'!U254</f>
        <v>2136.5168650793653</v>
      </c>
      <c r="G252" s="347">
        <f t="shared" si="10"/>
        <v>7.6284209436346142</v>
      </c>
      <c r="H252" s="74">
        <f t="shared" si="11"/>
        <v>8149.125</v>
      </c>
    </row>
    <row r="253" spans="1:8" x14ac:dyDescent="0.25">
      <c r="A253" s="61">
        <f>'A) Base RI'!A255</f>
        <v>5830</v>
      </c>
      <c r="B253" s="114" t="str">
        <f>'A) Base RI'!B255</f>
        <v>Villarzel</v>
      </c>
      <c r="C253" s="14">
        <f>'B) D RI'!Y255</f>
        <v>31459.05</v>
      </c>
      <c r="D253" s="19">
        <f>'B) D RI'!Z255</f>
        <v>0</v>
      </c>
      <c r="E253" s="14">
        <f t="shared" si="9"/>
        <v>31459.05</v>
      </c>
      <c r="F253" s="19">
        <f>'B) D RI'!U255</f>
        <v>10236.981518987341</v>
      </c>
      <c r="G253" s="347">
        <f t="shared" si="10"/>
        <v>3.0730787138425919</v>
      </c>
      <c r="H253" s="74">
        <f t="shared" si="11"/>
        <v>15729.525</v>
      </c>
    </row>
    <row r="254" spans="1:8" x14ac:dyDescent="0.25">
      <c r="A254" s="61">
        <f>'A) Base RI'!A256</f>
        <v>5831</v>
      </c>
      <c r="B254" s="114" t="str">
        <f>'A) Base RI'!B256</f>
        <v>Valbroye</v>
      </c>
      <c r="C254" s="14">
        <f>'B) D RI'!Y256</f>
        <v>209490.15000000002</v>
      </c>
      <c r="D254" s="19">
        <f>'B) D RI'!Z256</f>
        <v>15624.5</v>
      </c>
      <c r="E254" s="14">
        <f t="shared" si="9"/>
        <v>225114.65000000002</v>
      </c>
      <c r="F254" s="19">
        <f>'B) D RI'!U256</f>
        <v>78037.716438356161</v>
      </c>
      <c r="G254" s="347">
        <f t="shared" si="10"/>
        <v>2.8846903814493778</v>
      </c>
      <c r="H254" s="74">
        <f t="shared" si="11"/>
        <v>109432.42500000002</v>
      </c>
    </row>
    <row r="255" spans="1:8" x14ac:dyDescent="0.25">
      <c r="A255" s="61">
        <f>'A) Base RI'!A257</f>
        <v>5841</v>
      </c>
      <c r="B255" s="114" t="str">
        <f>'A) Base RI'!B257</f>
        <v>Château-d'Oex</v>
      </c>
      <c r="C255" s="14">
        <f>'B) D RI'!Y257</f>
        <v>1187069.2999999998</v>
      </c>
      <c r="D255" s="19">
        <f>'B) D RI'!Z257</f>
        <v>6542.25</v>
      </c>
      <c r="E255" s="14">
        <f t="shared" si="9"/>
        <v>1193611.5499999998</v>
      </c>
      <c r="F255" s="19">
        <f>'B) D RI'!U257</f>
        <v>107525.73574297188</v>
      </c>
      <c r="G255" s="347">
        <f t="shared" si="10"/>
        <v>11.100705721774304</v>
      </c>
      <c r="H255" s="74">
        <f t="shared" si="11"/>
        <v>595497.32499999995</v>
      </c>
    </row>
    <row r="256" spans="1:8" x14ac:dyDescent="0.25">
      <c r="A256" s="61">
        <f>'A) Base RI'!A258</f>
        <v>5842</v>
      </c>
      <c r="B256" s="114" t="str">
        <f>'A) Base RI'!B258</f>
        <v>Rossinière</v>
      </c>
      <c r="C256" s="14">
        <f>'B) D RI'!Y258</f>
        <v>66096.350000000006</v>
      </c>
      <c r="D256" s="19">
        <f>'B) D RI'!Z258</f>
        <v>0</v>
      </c>
      <c r="E256" s="14">
        <f t="shared" si="9"/>
        <v>66096.350000000006</v>
      </c>
      <c r="F256" s="19">
        <f>'B) D RI'!U258</f>
        <v>16554.125349794238</v>
      </c>
      <c r="G256" s="347">
        <f t="shared" si="10"/>
        <v>3.9927419059214482</v>
      </c>
      <c r="H256" s="74">
        <f t="shared" si="11"/>
        <v>33048.175000000003</v>
      </c>
    </row>
    <row r="257" spans="1:8" x14ac:dyDescent="0.25">
      <c r="A257" s="61">
        <f>'A) Base RI'!A259</f>
        <v>5843</v>
      </c>
      <c r="B257" s="114" t="str">
        <f>'A) Base RI'!B259</f>
        <v>Rougemont</v>
      </c>
      <c r="C257" s="14">
        <f>'B) D RI'!Y259</f>
        <v>2124883.8499999996</v>
      </c>
      <c r="D257" s="19">
        <f>'B) D RI'!Z259</f>
        <v>0</v>
      </c>
      <c r="E257" s="14">
        <f t="shared" si="9"/>
        <v>2124883.8499999996</v>
      </c>
      <c r="F257" s="19">
        <f>'B) D RI'!U259</f>
        <v>92297.453816425128</v>
      </c>
      <c r="G257" s="347">
        <f t="shared" si="10"/>
        <v>23.022128586843618</v>
      </c>
      <c r="H257" s="74">
        <f t="shared" si="11"/>
        <v>1062441.9249999998</v>
      </c>
    </row>
    <row r="258" spans="1:8" x14ac:dyDescent="0.25">
      <c r="A258" s="61">
        <f>'A) Base RI'!A260</f>
        <v>5851</v>
      </c>
      <c r="B258" s="114" t="str">
        <f>'A) Base RI'!B260</f>
        <v>Allaman</v>
      </c>
      <c r="C258" s="14">
        <f>'B) D RI'!Y260</f>
        <v>-502829.19999999995</v>
      </c>
      <c r="D258" s="19">
        <f>'B) D RI'!Z260</f>
        <v>37241.65</v>
      </c>
      <c r="E258" s="14">
        <f t="shared" si="9"/>
        <v>-465587.54999999993</v>
      </c>
      <c r="F258" s="19">
        <f>'B) D RI'!U260</f>
        <v>26311.895293255133</v>
      </c>
      <c r="G258" s="347">
        <f t="shared" si="10"/>
        <v>-17.69494537777938</v>
      </c>
      <c r="H258" s="74">
        <f t="shared" si="11"/>
        <v>-240242.10499999998</v>
      </c>
    </row>
    <row r="259" spans="1:8" x14ac:dyDescent="0.25">
      <c r="A259" s="61">
        <f>'A) Base RI'!A261</f>
        <v>5852</v>
      </c>
      <c r="B259" s="114" t="str">
        <f>'A) Base RI'!B261</f>
        <v>Bursinel</v>
      </c>
      <c r="C259" s="14">
        <f>'B) D RI'!Y261</f>
        <v>236014.65</v>
      </c>
      <c r="D259" s="19">
        <f>'B) D RI'!Z261</f>
        <v>8016.75</v>
      </c>
      <c r="E259" s="14">
        <f t="shared" si="9"/>
        <v>244031.4</v>
      </c>
      <c r="F259" s="19">
        <f>'B) D RI'!U261</f>
        <v>31632.546141732284</v>
      </c>
      <c r="G259" s="347">
        <f t="shared" si="10"/>
        <v>7.7145671077692191</v>
      </c>
      <c r="H259" s="74">
        <f t="shared" si="11"/>
        <v>120412.34999999999</v>
      </c>
    </row>
    <row r="260" spans="1:8" x14ac:dyDescent="0.25">
      <c r="A260" s="61">
        <f>'A) Base RI'!A262</f>
        <v>5853</v>
      </c>
      <c r="B260" s="114" t="str">
        <f>'A) Base RI'!B262</f>
        <v>Bursins</v>
      </c>
      <c r="C260" s="14">
        <f>'B) D RI'!Y262</f>
        <v>266325.5</v>
      </c>
      <c r="D260" s="19">
        <f>'B) D RI'!Z262</f>
        <v>55087.7</v>
      </c>
      <c r="E260" s="14">
        <f t="shared" si="9"/>
        <v>321413.2</v>
      </c>
      <c r="F260" s="19">
        <f>'B) D RI'!U262</f>
        <v>37118.734366197183</v>
      </c>
      <c r="G260" s="347">
        <f t="shared" si="10"/>
        <v>8.6590560127691347</v>
      </c>
      <c r="H260" s="74">
        <f t="shared" si="11"/>
        <v>149689.06</v>
      </c>
    </row>
    <row r="261" spans="1:8" x14ac:dyDescent="0.25">
      <c r="A261" s="61">
        <f>'A) Base RI'!A263</f>
        <v>5854</v>
      </c>
      <c r="B261" s="114" t="str">
        <f>'A) Base RI'!B263</f>
        <v>Burtigny</v>
      </c>
      <c r="C261" s="14">
        <f>'B) D RI'!Y263</f>
        <v>7705.75</v>
      </c>
      <c r="D261" s="19">
        <f>'B) D RI'!Z263</f>
        <v>24172.9</v>
      </c>
      <c r="E261" s="14">
        <f t="shared" si="9"/>
        <v>31878.65</v>
      </c>
      <c r="F261" s="19">
        <f>'B) D RI'!U263</f>
        <v>10244.164041666669</v>
      </c>
      <c r="G261" s="347">
        <f t="shared" si="10"/>
        <v>3.1118839829524561</v>
      </c>
      <c r="H261" s="74">
        <f t="shared" si="11"/>
        <v>11104.744999999999</v>
      </c>
    </row>
    <row r="262" spans="1:8" x14ac:dyDescent="0.25">
      <c r="A262" s="61">
        <f>'A) Base RI'!A264</f>
        <v>5855</v>
      </c>
      <c r="B262" s="114" t="str">
        <f>'A) Base RI'!B264</f>
        <v>Dully</v>
      </c>
      <c r="C262" s="14">
        <f>'B) D RI'!Y264</f>
        <v>914019.95</v>
      </c>
      <c r="D262" s="19">
        <f>'B) D RI'!Z264</f>
        <v>2150.65</v>
      </c>
      <c r="E262" s="14">
        <f t="shared" ref="E262:E313" si="12">C262+D262</f>
        <v>916170.6</v>
      </c>
      <c r="F262" s="19">
        <f>'B) D RI'!U264</f>
        <v>65353.176326530607</v>
      </c>
      <c r="G262" s="347">
        <f t="shared" ref="G262:G313" si="13">E262/F262</f>
        <v>14.018761619518617</v>
      </c>
      <c r="H262" s="74">
        <f t="shared" ref="H262:H313" si="14">(C262*$C$4)+(D262*$D$4)</f>
        <v>457655.17</v>
      </c>
    </row>
    <row r="263" spans="1:8" x14ac:dyDescent="0.25">
      <c r="A263" s="61">
        <f>'A) Base RI'!A265</f>
        <v>5856</v>
      </c>
      <c r="B263" s="114" t="str">
        <f>'A) Base RI'!B265</f>
        <v>Essertines-sur-Rolle</v>
      </c>
      <c r="C263" s="14">
        <f>'B) D RI'!Y265</f>
        <v>37881.599999999999</v>
      </c>
      <c r="D263" s="19">
        <f>'B) D RI'!Z265</f>
        <v>0</v>
      </c>
      <c r="E263" s="14">
        <f t="shared" si="12"/>
        <v>37881.599999999999</v>
      </c>
      <c r="F263" s="19">
        <f>'B) D RI'!U265</f>
        <v>28766.256402714938</v>
      </c>
      <c r="G263" s="347">
        <f t="shared" si="13"/>
        <v>1.3168762549312729</v>
      </c>
      <c r="H263" s="74">
        <f t="shared" si="14"/>
        <v>18940.8</v>
      </c>
    </row>
    <row r="264" spans="1:8" x14ac:dyDescent="0.25">
      <c r="A264" s="61">
        <f>'A) Base RI'!A266</f>
        <v>5857</v>
      </c>
      <c r="B264" s="114" t="str">
        <f>'A) Base RI'!B266</f>
        <v>Gilly</v>
      </c>
      <c r="C264" s="14">
        <f>'B) D RI'!Y266</f>
        <v>663517.69999999995</v>
      </c>
      <c r="D264" s="19">
        <f>'B) D RI'!Z266</f>
        <v>62919.5</v>
      </c>
      <c r="E264" s="14">
        <f t="shared" si="12"/>
        <v>726437.2</v>
      </c>
      <c r="F264" s="19">
        <f>'B) D RI'!U266</f>
        <v>55694.918787878785</v>
      </c>
      <c r="G264" s="347">
        <f t="shared" si="13"/>
        <v>13.043150359312468</v>
      </c>
      <c r="H264" s="74">
        <f t="shared" si="14"/>
        <v>350634.69999999995</v>
      </c>
    </row>
    <row r="265" spans="1:8" x14ac:dyDescent="0.25">
      <c r="A265" s="61">
        <f>'A) Base RI'!A267</f>
        <v>5858</v>
      </c>
      <c r="B265" s="114" t="str">
        <f>'A) Base RI'!B267</f>
        <v>Luins</v>
      </c>
      <c r="C265" s="14">
        <f>'B) D RI'!Y267</f>
        <v>52959.85</v>
      </c>
      <c r="D265" s="19">
        <f>'B) D RI'!Z267</f>
        <v>11284.05</v>
      </c>
      <c r="E265" s="14">
        <f t="shared" si="12"/>
        <v>64243.899999999994</v>
      </c>
      <c r="F265" s="19">
        <f>'B) D RI'!U267</f>
        <v>33594.571611111111</v>
      </c>
      <c r="G265" s="347">
        <f t="shared" si="13"/>
        <v>1.9123297877908312</v>
      </c>
      <c r="H265" s="74">
        <f t="shared" si="14"/>
        <v>29865.14</v>
      </c>
    </row>
    <row r="266" spans="1:8" x14ac:dyDescent="0.25">
      <c r="A266" s="61">
        <f>'A) Base RI'!A268</f>
        <v>5859</v>
      </c>
      <c r="B266" s="114" t="str">
        <f>'A) Base RI'!B268</f>
        <v>Mont-sur-Rolle</v>
      </c>
      <c r="C266" s="14">
        <f>'B) D RI'!Y268</f>
        <v>535832</v>
      </c>
      <c r="D266" s="19">
        <f>'B) D RI'!Z268</f>
        <v>60557.85</v>
      </c>
      <c r="E266" s="14">
        <f t="shared" si="12"/>
        <v>596389.85</v>
      </c>
      <c r="F266" s="19">
        <f>'B) D RI'!U268</f>
        <v>147627.58999999997</v>
      </c>
      <c r="G266" s="347">
        <f t="shared" si="13"/>
        <v>4.0398264985562662</v>
      </c>
      <c r="H266" s="74">
        <f t="shared" si="14"/>
        <v>286083.35499999998</v>
      </c>
    </row>
    <row r="267" spans="1:8" x14ac:dyDescent="0.25">
      <c r="A267" s="61">
        <f>'A) Base RI'!A269</f>
        <v>5860</v>
      </c>
      <c r="B267" s="114" t="str">
        <f>'A) Base RI'!B269</f>
        <v>Perroy</v>
      </c>
      <c r="C267" s="14">
        <f>'B) D RI'!Y269</f>
        <v>747321.65</v>
      </c>
      <c r="D267" s="19">
        <f>'B) D RI'!Z269</f>
        <v>18250.349999999999</v>
      </c>
      <c r="E267" s="14">
        <f t="shared" si="12"/>
        <v>765572</v>
      </c>
      <c r="F267" s="19">
        <f>'B) D RI'!U269</f>
        <v>88241.731705128201</v>
      </c>
      <c r="G267" s="347">
        <f t="shared" si="13"/>
        <v>8.6758496825318812</v>
      </c>
      <c r="H267" s="74">
        <f t="shared" si="14"/>
        <v>379135.93</v>
      </c>
    </row>
    <row r="268" spans="1:8" x14ac:dyDescent="0.25">
      <c r="A268" s="61">
        <f>'A) Base RI'!A270</f>
        <v>5861</v>
      </c>
      <c r="B268" s="114" t="str">
        <f>'A) Base RI'!B270</f>
        <v>Rolle</v>
      </c>
      <c r="C268" s="14">
        <f>'B) D RI'!Y270</f>
        <v>1804826.05</v>
      </c>
      <c r="D268" s="19">
        <f>'B) D RI'!Z270</f>
        <v>1381772.65</v>
      </c>
      <c r="E268" s="14">
        <f t="shared" si="12"/>
        <v>3186598.7</v>
      </c>
      <c r="F268" s="19">
        <f>'B) D RI'!U270</f>
        <v>549155.69747899158</v>
      </c>
      <c r="G268" s="347">
        <f t="shared" si="13"/>
        <v>5.802723552953589</v>
      </c>
      <c r="H268" s="74">
        <f t="shared" si="14"/>
        <v>1316944.82</v>
      </c>
    </row>
    <row r="269" spans="1:8" x14ac:dyDescent="0.25">
      <c r="A269" s="61">
        <f>'A) Base RI'!A271</f>
        <v>5862</v>
      </c>
      <c r="B269" s="114" t="str">
        <f>'A) Base RI'!B271</f>
        <v>Tartegnin</v>
      </c>
      <c r="C269" s="14">
        <f>'B) D RI'!Y271</f>
        <v>25643.55</v>
      </c>
      <c r="D269" s="19">
        <f>'B) D RI'!Z271</f>
        <v>6283.3</v>
      </c>
      <c r="E269" s="14">
        <f t="shared" si="12"/>
        <v>31926.85</v>
      </c>
      <c r="F269" s="19">
        <f>'B) D RI'!U271</f>
        <v>9990.8663492063497</v>
      </c>
      <c r="G269" s="347">
        <f t="shared" si="13"/>
        <v>3.195603752875364</v>
      </c>
      <c r="H269" s="74">
        <f t="shared" si="14"/>
        <v>14706.764999999999</v>
      </c>
    </row>
    <row r="270" spans="1:8" x14ac:dyDescent="0.25">
      <c r="A270" s="61">
        <f>'A) Base RI'!A272</f>
        <v>5863</v>
      </c>
      <c r="B270" s="114" t="str">
        <f>'A) Base RI'!B272</f>
        <v>Vinzel</v>
      </c>
      <c r="C270" s="14">
        <f>'B) D RI'!Y272</f>
        <v>42204.149999999994</v>
      </c>
      <c r="D270" s="19">
        <f>'B) D RI'!Z272</f>
        <v>20369.650000000001</v>
      </c>
      <c r="E270" s="14">
        <f t="shared" si="12"/>
        <v>62573.799999999996</v>
      </c>
      <c r="F270" s="19">
        <f>'B) D RI'!U272</f>
        <v>25660.793857142853</v>
      </c>
      <c r="G270" s="347">
        <f t="shared" si="13"/>
        <v>2.4384982143715774</v>
      </c>
      <c r="H270" s="74">
        <f t="shared" si="14"/>
        <v>27212.969999999998</v>
      </c>
    </row>
    <row r="271" spans="1:8" x14ac:dyDescent="0.25">
      <c r="A271" s="61">
        <f>'A) Base RI'!A273</f>
        <v>5871</v>
      </c>
      <c r="B271" s="114" t="str">
        <f>'A) Base RI'!B273</f>
        <v>L'Abbaye</v>
      </c>
      <c r="C271" s="14">
        <f>'B) D RI'!Y273</f>
        <v>206113.55</v>
      </c>
      <c r="D271" s="19">
        <f>'B) D RI'!Z273</f>
        <v>512529.65</v>
      </c>
      <c r="E271" s="14">
        <f t="shared" si="12"/>
        <v>718643.19999999995</v>
      </c>
      <c r="F271" s="19">
        <f>'B) D RI'!U273</f>
        <v>49270.614706263776</v>
      </c>
      <c r="G271" s="347">
        <f t="shared" si="13"/>
        <v>14.585634952685881</v>
      </c>
      <c r="H271" s="74">
        <f t="shared" si="14"/>
        <v>256815.66999999998</v>
      </c>
    </row>
    <row r="272" spans="1:8" x14ac:dyDescent="0.25">
      <c r="A272" s="61">
        <f>'A) Base RI'!A274</f>
        <v>5872</v>
      </c>
      <c r="B272" s="114" t="str">
        <f>'A) Base RI'!B274</f>
        <v>Le Chenit</v>
      </c>
      <c r="C272" s="14">
        <f>'B) D RI'!Y274</f>
        <v>559755.94999999995</v>
      </c>
      <c r="D272" s="19">
        <f>'B) D RI'!Z274</f>
        <v>4336543.1500000004</v>
      </c>
      <c r="E272" s="14">
        <f t="shared" si="12"/>
        <v>4896299.1000000006</v>
      </c>
      <c r="F272" s="19">
        <f>'B) D RI'!U274</f>
        <v>312565.48082674423</v>
      </c>
      <c r="G272" s="347">
        <f t="shared" si="13"/>
        <v>15.664874723367262</v>
      </c>
      <c r="H272" s="74">
        <f t="shared" si="14"/>
        <v>1580840.92</v>
      </c>
    </row>
    <row r="273" spans="1:8" x14ac:dyDescent="0.25">
      <c r="A273" s="61">
        <f>'A) Base RI'!A275</f>
        <v>5873</v>
      </c>
      <c r="B273" s="114" t="str">
        <f>'A) Base RI'!B275</f>
        <v>Le Lieu</v>
      </c>
      <c r="C273" s="14">
        <f>'B) D RI'!Y275</f>
        <v>223672.7</v>
      </c>
      <c r="D273" s="19">
        <f>'B) D RI'!Z275</f>
        <v>766492.05</v>
      </c>
      <c r="E273" s="14">
        <f t="shared" si="12"/>
        <v>990164.75</v>
      </c>
      <c r="F273" s="19">
        <f>'B) D RI'!U275</f>
        <v>35906.558461538458</v>
      </c>
      <c r="G273" s="347">
        <f t="shared" si="13"/>
        <v>27.576153004488621</v>
      </c>
      <c r="H273" s="74">
        <f t="shared" si="14"/>
        <v>341783.96500000003</v>
      </c>
    </row>
    <row r="274" spans="1:8" x14ac:dyDescent="0.25">
      <c r="A274" s="61">
        <f>'A) Base RI'!A276</f>
        <v>5881</v>
      </c>
      <c r="B274" s="114" t="str">
        <f>'A) Base RI'!B276</f>
        <v>Blonay</v>
      </c>
      <c r="C274" s="14">
        <f>'B) D RI'!Y276</f>
        <v>1890936.2000000002</v>
      </c>
      <c r="D274" s="19">
        <f>'B) D RI'!Z276</f>
        <v>84265.7</v>
      </c>
      <c r="E274" s="14">
        <f t="shared" si="12"/>
        <v>1975201.9000000001</v>
      </c>
      <c r="F274" s="19">
        <f>'B) D RI'!U276</f>
        <v>350302.66257142869</v>
      </c>
      <c r="G274" s="347">
        <f t="shared" si="13"/>
        <v>5.6385580557705444</v>
      </c>
      <c r="H274" s="74">
        <f t="shared" si="14"/>
        <v>970747.81</v>
      </c>
    </row>
    <row r="275" spans="1:8" x14ac:dyDescent="0.25">
      <c r="A275" s="61">
        <f>'A) Base RI'!A277</f>
        <v>5882</v>
      </c>
      <c r="B275" s="114" t="str">
        <f>'A) Base RI'!B277</f>
        <v>Chardonne</v>
      </c>
      <c r="C275" s="14">
        <f>'B) D RI'!Y277</f>
        <v>1453472.15</v>
      </c>
      <c r="D275" s="19">
        <f>'B) D RI'!Z277</f>
        <v>0</v>
      </c>
      <c r="E275" s="14">
        <f t="shared" si="12"/>
        <v>1453472.15</v>
      </c>
      <c r="F275" s="19">
        <f>'B) D RI'!U277</f>
        <v>162874.24803030302</v>
      </c>
      <c r="G275" s="347">
        <f t="shared" si="13"/>
        <v>8.923891699132076</v>
      </c>
      <c r="H275" s="74">
        <f t="shared" si="14"/>
        <v>726736.07499999995</v>
      </c>
    </row>
    <row r="276" spans="1:8" x14ac:dyDescent="0.25">
      <c r="A276" s="61">
        <f>'A) Base RI'!A278</f>
        <v>5883</v>
      </c>
      <c r="B276" s="114" t="str">
        <f>'A) Base RI'!B278</f>
        <v>Corseaux</v>
      </c>
      <c r="C276" s="14">
        <f>'B) D RI'!Y278</f>
        <v>1121981.75</v>
      </c>
      <c r="D276" s="19">
        <f>'B) D RI'!Z278</f>
        <v>4430.75</v>
      </c>
      <c r="E276" s="14">
        <f t="shared" si="12"/>
        <v>1126412.5</v>
      </c>
      <c r="F276" s="19">
        <f>'B) D RI'!U278</f>
        <v>144418.05406250001</v>
      </c>
      <c r="G276" s="347">
        <f t="shared" si="13"/>
        <v>7.79966540410883</v>
      </c>
      <c r="H276" s="74">
        <f t="shared" si="14"/>
        <v>562320.1</v>
      </c>
    </row>
    <row r="277" spans="1:8" x14ac:dyDescent="0.25">
      <c r="A277" s="61">
        <f>'A) Base RI'!A279</f>
        <v>5884</v>
      </c>
      <c r="B277" s="114" t="str">
        <f>'A) Base RI'!B279</f>
        <v>Corsier-sur-Vevey</v>
      </c>
      <c r="C277" s="14">
        <f>'B) D RI'!Y279</f>
        <v>519885.25</v>
      </c>
      <c r="D277" s="19">
        <f>'B) D RI'!Z279</f>
        <v>276074.8</v>
      </c>
      <c r="E277" s="14">
        <f t="shared" si="12"/>
        <v>795960.05</v>
      </c>
      <c r="F277" s="19">
        <f>'B) D RI'!U279</f>
        <v>132379.93277777778</v>
      </c>
      <c r="G277" s="347">
        <f t="shared" si="13"/>
        <v>6.0126941697134288</v>
      </c>
      <c r="H277" s="74">
        <f t="shared" si="14"/>
        <v>342765.065</v>
      </c>
    </row>
    <row r="278" spans="1:8" x14ac:dyDescent="0.25">
      <c r="A278" s="61">
        <f>'A) Base RI'!A280</f>
        <v>5885</v>
      </c>
      <c r="B278" s="114" t="str">
        <f>'A) Base RI'!B280</f>
        <v>Jongny</v>
      </c>
      <c r="C278" s="14">
        <f>'B) D RI'!Y280</f>
        <v>383141.35000000003</v>
      </c>
      <c r="D278" s="19">
        <f>'B) D RI'!Z280</f>
        <v>0</v>
      </c>
      <c r="E278" s="14">
        <f t="shared" si="12"/>
        <v>383141.35000000003</v>
      </c>
      <c r="F278" s="19">
        <f>'B) D RI'!U280</f>
        <v>138055.78997584543</v>
      </c>
      <c r="G278" s="347">
        <f t="shared" si="13"/>
        <v>2.7752646235774345</v>
      </c>
      <c r="H278" s="74">
        <f t="shared" si="14"/>
        <v>191570.67500000002</v>
      </c>
    </row>
    <row r="279" spans="1:8" x14ac:dyDescent="0.25">
      <c r="A279" s="61">
        <f>'A) Base RI'!A281</f>
        <v>5886</v>
      </c>
      <c r="B279" s="114" t="str">
        <f>'A) Base RI'!B281</f>
        <v>Montreux</v>
      </c>
      <c r="C279" s="14">
        <f>'B) D RI'!Y281</f>
        <v>13395550.949999999</v>
      </c>
      <c r="D279" s="19">
        <f>'B) D RI'!Z281</f>
        <v>803251.7</v>
      </c>
      <c r="E279" s="14">
        <f t="shared" si="12"/>
        <v>14198802.649999999</v>
      </c>
      <c r="F279" s="19">
        <f>'B) D RI'!U281</f>
        <v>1113145.3400000003</v>
      </c>
      <c r="G279" s="347">
        <f t="shared" si="13"/>
        <v>12.755569411987112</v>
      </c>
      <c r="H279" s="74">
        <f t="shared" si="14"/>
        <v>6938750.9849999994</v>
      </c>
    </row>
    <row r="280" spans="1:8" x14ac:dyDescent="0.25">
      <c r="A280" s="61">
        <f>'A) Base RI'!A282</f>
        <v>5888</v>
      </c>
      <c r="B280" s="114" t="str">
        <f>'A) Base RI'!B282</f>
        <v>Saint-Légier-La Chiésaz</v>
      </c>
      <c r="C280" s="14">
        <f>'B) D RI'!Y282</f>
        <v>1270407.8</v>
      </c>
      <c r="D280" s="19">
        <f>'B) D RI'!Z282</f>
        <v>140293.25</v>
      </c>
      <c r="E280" s="14">
        <f t="shared" si="12"/>
        <v>1410701.05</v>
      </c>
      <c r="F280" s="19">
        <f>'B) D RI'!U282</f>
        <v>313348.84833333333</v>
      </c>
      <c r="G280" s="347">
        <f t="shared" si="13"/>
        <v>4.5020144720599982</v>
      </c>
      <c r="H280" s="74">
        <f t="shared" si="14"/>
        <v>677291.875</v>
      </c>
    </row>
    <row r="281" spans="1:8" x14ac:dyDescent="0.25">
      <c r="A281" s="61">
        <f>'A) Base RI'!A283</f>
        <v>5889</v>
      </c>
      <c r="B281" s="114" t="str">
        <f>'A) Base RI'!B283</f>
        <v>La Tour-de-Peilz</v>
      </c>
      <c r="C281" s="14">
        <f>'B) D RI'!Y283</f>
        <v>2103417.0500000003</v>
      </c>
      <c r="D281" s="19">
        <f>'B) D RI'!Z283</f>
        <v>93323.5</v>
      </c>
      <c r="E281" s="14">
        <f t="shared" si="12"/>
        <v>2196740.5500000003</v>
      </c>
      <c r="F281" s="19">
        <f>'B) D RI'!U283</f>
        <v>590141.45856770838</v>
      </c>
      <c r="G281" s="347">
        <f t="shared" si="13"/>
        <v>3.72239658493331</v>
      </c>
      <c r="H281" s="74">
        <f t="shared" si="14"/>
        <v>1079705.5750000002</v>
      </c>
    </row>
    <row r="282" spans="1:8" x14ac:dyDescent="0.25">
      <c r="A282" s="61">
        <f>'A) Base RI'!A284</f>
        <v>5890</v>
      </c>
      <c r="B282" s="114" t="str">
        <f>'A) Base RI'!B284</f>
        <v>Vevey</v>
      </c>
      <c r="C282" s="14">
        <f>'B) D RI'!Y284</f>
        <v>4084666.3000000003</v>
      </c>
      <c r="D282" s="19">
        <f>'B) D RI'!Z284</f>
        <v>1004989.85</v>
      </c>
      <c r="E282" s="14">
        <f t="shared" si="12"/>
        <v>5089656.1500000004</v>
      </c>
      <c r="F282" s="19">
        <f>'B) D RI'!U284</f>
        <v>922155.6933561645</v>
      </c>
      <c r="G282" s="347">
        <f t="shared" si="13"/>
        <v>5.5193024200461354</v>
      </c>
      <c r="H282" s="74">
        <f t="shared" si="14"/>
        <v>2343830.105</v>
      </c>
    </row>
    <row r="283" spans="1:8" x14ac:dyDescent="0.25">
      <c r="A283" s="61">
        <f>'A) Base RI'!A285</f>
        <v>5891</v>
      </c>
      <c r="B283" s="114" t="str">
        <f>'A) Base RI'!B285</f>
        <v>Veytaux</v>
      </c>
      <c r="C283" s="14">
        <f>'B) D RI'!Y285</f>
        <v>225333.90000000002</v>
      </c>
      <c r="D283" s="19">
        <f>'B) D RI'!Z285</f>
        <v>0</v>
      </c>
      <c r="E283" s="14">
        <f t="shared" si="12"/>
        <v>225333.90000000002</v>
      </c>
      <c r="F283" s="19">
        <f>'B) D RI'!U285</f>
        <v>37259.444879227056</v>
      </c>
      <c r="G283" s="347">
        <f t="shared" si="13"/>
        <v>6.0476987977249372</v>
      </c>
      <c r="H283" s="74">
        <f t="shared" si="14"/>
        <v>112666.95000000001</v>
      </c>
    </row>
    <row r="284" spans="1:8" x14ac:dyDescent="0.25">
      <c r="A284" s="61">
        <f>'A) Base RI'!A286</f>
        <v>5902</v>
      </c>
      <c r="B284" s="114" t="str">
        <f>'A) Base RI'!B286</f>
        <v>Belmont-sur-Yverdon</v>
      </c>
      <c r="C284" s="14">
        <f>'B) D RI'!Y286</f>
        <v>108921.45000000001</v>
      </c>
      <c r="D284" s="19">
        <f>'B) D RI'!Z286</f>
        <v>7346.95</v>
      </c>
      <c r="E284" s="14">
        <f t="shared" si="12"/>
        <v>116268.40000000001</v>
      </c>
      <c r="F284" s="19">
        <f>'B) D RI'!U286</f>
        <v>8642.2247368421067</v>
      </c>
      <c r="G284" s="347">
        <f t="shared" si="13"/>
        <v>13.453526555997062</v>
      </c>
      <c r="H284" s="74">
        <f t="shared" si="14"/>
        <v>56664.810000000005</v>
      </c>
    </row>
    <row r="285" spans="1:8" x14ac:dyDescent="0.25">
      <c r="A285" s="61">
        <f>'A) Base RI'!A287</f>
        <v>5903</v>
      </c>
      <c r="B285" s="114" t="str">
        <f>'A) Base RI'!B287</f>
        <v>Bioley-Magnoux</v>
      </c>
      <c r="C285" s="14">
        <f>'B) D RI'!Y287</f>
        <v>89246.950000000012</v>
      </c>
      <c r="D285" s="19">
        <f>'B) D RI'!Z287</f>
        <v>2883.45</v>
      </c>
      <c r="E285" s="14">
        <f t="shared" si="12"/>
        <v>92130.400000000009</v>
      </c>
      <c r="F285" s="19">
        <f>'B) D RI'!U287</f>
        <v>6046.5271621621623</v>
      </c>
      <c r="G285" s="347">
        <f t="shared" si="13"/>
        <v>15.236911623672476</v>
      </c>
      <c r="H285" s="74">
        <f t="shared" si="14"/>
        <v>45488.510000000009</v>
      </c>
    </row>
    <row r="286" spans="1:8" x14ac:dyDescent="0.25">
      <c r="A286" s="61">
        <f>'A) Base RI'!A288</f>
        <v>5904</v>
      </c>
      <c r="B286" s="114" t="str">
        <f>'A) Base RI'!B288</f>
        <v>Chamblon</v>
      </c>
      <c r="C286" s="14">
        <f>'B) D RI'!Y288</f>
        <v>132352</v>
      </c>
      <c r="D286" s="19">
        <f>'B) D RI'!Z288</f>
        <v>31596.75</v>
      </c>
      <c r="E286" s="14">
        <f t="shared" si="12"/>
        <v>163948.75</v>
      </c>
      <c r="F286" s="19">
        <f>'B) D RI'!U288</f>
        <v>20170.434545454544</v>
      </c>
      <c r="G286" s="347">
        <f t="shared" si="13"/>
        <v>8.1281714397643583</v>
      </c>
      <c r="H286" s="74">
        <f t="shared" si="14"/>
        <v>75655.024999999994</v>
      </c>
    </row>
    <row r="287" spans="1:8" x14ac:dyDescent="0.25">
      <c r="A287" s="61">
        <f>'A) Base RI'!A289</f>
        <v>5905</v>
      </c>
      <c r="B287" s="114" t="str">
        <f>'A) Base RI'!B289</f>
        <v>Champvent</v>
      </c>
      <c r="C287" s="14">
        <f>'B) D RI'!Y289</f>
        <v>39001</v>
      </c>
      <c r="D287" s="19">
        <f>'B) D RI'!Z289</f>
        <v>94811.1</v>
      </c>
      <c r="E287" s="14">
        <f t="shared" si="12"/>
        <v>133812.1</v>
      </c>
      <c r="F287" s="19">
        <f>'B) D RI'!U289</f>
        <v>18220.765633802814</v>
      </c>
      <c r="G287" s="347">
        <f t="shared" si="13"/>
        <v>7.3439339866023179</v>
      </c>
      <c r="H287" s="74">
        <f t="shared" si="14"/>
        <v>47943.83</v>
      </c>
    </row>
    <row r="288" spans="1:8" x14ac:dyDescent="0.25">
      <c r="A288" s="61">
        <f>'A) Base RI'!A290</f>
        <v>5907</v>
      </c>
      <c r="B288" s="114" t="str">
        <f>'A) Base RI'!B290</f>
        <v>Chavannes-le-Chêne</v>
      </c>
      <c r="C288" s="14">
        <f>'B) D RI'!Y290</f>
        <v>37480.850000000006</v>
      </c>
      <c r="D288" s="19">
        <f>'B) D RI'!Z290</f>
        <v>4950.3500000000004</v>
      </c>
      <c r="E288" s="14">
        <f t="shared" si="12"/>
        <v>42431.200000000004</v>
      </c>
      <c r="F288" s="19">
        <f>'B) D RI'!U290</f>
        <v>6951.74782051282</v>
      </c>
      <c r="G288" s="347">
        <f t="shared" si="13"/>
        <v>6.1036736509337182</v>
      </c>
      <c r="H288" s="74">
        <f t="shared" si="14"/>
        <v>20225.530000000002</v>
      </c>
    </row>
    <row r="289" spans="1:8" x14ac:dyDescent="0.25">
      <c r="A289" s="61">
        <f>'A) Base RI'!A291</f>
        <v>5908</v>
      </c>
      <c r="B289" s="114" t="str">
        <f>'A) Base RI'!B291</f>
        <v>Chêne-Pâquier</v>
      </c>
      <c r="C289" s="14">
        <f>'B) D RI'!Y291</f>
        <v>13904</v>
      </c>
      <c r="D289" s="19">
        <f>'B) D RI'!Z291</f>
        <v>0</v>
      </c>
      <c r="E289" s="14">
        <f t="shared" si="12"/>
        <v>13904</v>
      </c>
      <c r="F289" s="19">
        <f>'B) D RI'!U291</f>
        <v>2899.0017721518989</v>
      </c>
      <c r="G289" s="347">
        <f t="shared" si="13"/>
        <v>4.7961336669619232</v>
      </c>
      <c r="H289" s="74">
        <f t="shared" si="14"/>
        <v>6952</v>
      </c>
    </row>
    <row r="290" spans="1:8" x14ac:dyDescent="0.25">
      <c r="A290" s="61">
        <f>'A) Base RI'!A292</f>
        <v>5909</v>
      </c>
      <c r="B290" s="114" t="str">
        <f>'A) Base RI'!B292</f>
        <v>Cheseaux-Noréaz</v>
      </c>
      <c r="C290" s="14">
        <f>'B) D RI'!Y292</f>
        <v>104242.5</v>
      </c>
      <c r="D290" s="19">
        <f>'B) D RI'!Z292</f>
        <v>8154.8</v>
      </c>
      <c r="E290" s="14">
        <f t="shared" si="12"/>
        <v>112397.3</v>
      </c>
      <c r="F290" s="19">
        <f>'B) D RI'!U292</f>
        <v>22661.846714285719</v>
      </c>
      <c r="G290" s="347">
        <f t="shared" si="13"/>
        <v>4.9597590795257771</v>
      </c>
      <c r="H290" s="74">
        <f t="shared" si="14"/>
        <v>54567.69</v>
      </c>
    </row>
    <row r="291" spans="1:8" x14ac:dyDescent="0.25">
      <c r="A291" s="61">
        <f>'A) Base RI'!A293</f>
        <v>5910</v>
      </c>
      <c r="B291" s="114" t="str">
        <f>'A) Base RI'!B293</f>
        <v>Cronay</v>
      </c>
      <c r="C291" s="14">
        <f>'B) D RI'!Y293</f>
        <v>103142.7</v>
      </c>
      <c r="D291" s="19">
        <f>'B) D RI'!Z293</f>
        <v>0</v>
      </c>
      <c r="E291" s="14">
        <f t="shared" si="12"/>
        <v>103142.7</v>
      </c>
      <c r="F291" s="19">
        <f>'B) D RI'!U293</f>
        <v>10409.753209876544</v>
      </c>
      <c r="G291" s="347">
        <f t="shared" si="13"/>
        <v>9.9082752415437163</v>
      </c>
      <c r="H291" s="74">
        <f t="shared" si="14"/>
        <v>51571.35</v>
      </c>
    </row>
    <row r="292" spans="1:8" x14ac:dyDescent="0.25">
      <c r="A292" s="61">
        <f>'A) Base RI'!A294</f>
        <v>5911</v>
      </c>
      <c r="B292" s="114" t="str">
        <f>'A) Base RI'!B294</f>
        <v>Cuarny</v>
      </c>
      <c r="C292" s="14">
        <f>'B) D RI'!Y294</f>
        <v>691.5</v>
      </c>
      <c r="D292" s="19">
        <f>'B) D RI'!Z294</f>
        <v>0</v>
      </c>
      <c r="E292" s="14">
        <f t="shared" si="12"/>
        <v>691.5</v>
      </c>
      <c r="F292" s="19">
        <f>'B) D RI'!U294</f>
        <v>6783.6280246913584</v>
      </c>
      <c r="G292" s="347">
        <f t="shared" si="13"/>
        <v>0.10193660346396453</v>
      </c>
      <c r="H292" s="74">
        <f t="shared" si="14"/>
        <v>345.75</v>
      </c>
    </row>
    <row r="293" spans="1:8" x14ac:dyDescent="0.25">
      <c r="A293" s="61">
        <f>'A) Base RI'!A295</f>
        <v>5912</v>
      </c>
      <c r="B293" s="114" t="str">
        <f>'A) Base RI'!B295</f>
        <v>Démoret</v>
      </c>
      <c r="C293" s="14">
        <f>'B) D RI'!Y295</f>
        <v>100384.8</v>
      </c>
      <c r="D293" s="19">
        <f>'B) D RI'!Z295</f>
        <v>0</v>
      </c>
      <c r="E293" s="14">
        <f t="shared" si="12"/>
        <v>100384.8</v>
      </c>
      <c r="F293" s="19">
        <f>'B) D RI'!U295</f>
        <v>3146.6025925925924</v>
      </c>
      <c r="G293" s="347">
        <f t="shared" si="13"/>
        <v>31.902598769960832</v>
      </c>
      <c r="H293" s="74">
        <f t="shared" si="14"/>
        <v>50192.4</v>
      </c>
    </row>
    <row r="294" spans="1:8" x14ac:dyDescent="0.25">
      <c r="A294" s="61">
        <f>'A) Base RI'!A296</f>
        <v>5913</v>
      </c>
      <c r="B294" s="114" t="str">
        <f>'A) Base RI'!B296</f>
        <v>Donneloye</v>
      </c>
      <c r="C294" s="14">
        <f>'B) D RI'!Y296</f>
        <v>120695.15</v>
      </c>
      <c r="D294" s="19">
        <f>'B) D RI'!Z296</f>
        <v>11064.15</v>
      </c>
      <c r="E294" s="14">
        <f t="shared" si="12"/>
        <v>131759.29999999999</v>
      </c>
      <c r="F294" s="19">
        <f>'B) D RI'!U296</f>
        <v>23116.238767123283</v>
      </c>
      <c r="G294" s="347">
        <f t="shared" si="13"/>
        <v>5.6998589315227459</v>
      </c>
      <c r="H294" s="74">
        <f t="shared" si="14"/>
        <v>63666.82</v>
      </c>
    </row>
    <row r="295" spans="1:8" x14ac:dyDescent="0.25">
      <c r="A295" s="61">
        <f>'A) Base RI'!A297</f>
        <v>5914</v>
      </c>
      <c r="B295" s="114" t="str">
        <f>'A) Base RI'!B297</f>
        <v>Ependes</v>
      </c>
      <c r="C295" s="14">
        <f>'B) D RI'!Y297</f>
        <v>16536.400000000001</v>
      </c>
      <c r="D295" s="19">
        <f>'B) D RI'!Z297</f>
        <v>0</v>
      </c>
      <c r="E295" s="14">
        <f t="shared" si="12"/>
        <v>16536.400000000001</v>
      </c>
      <c r="F295" s="19">
        <f>'B) D RI'!U297</f>
        <v>8750.2923999999985</v>
      </c>
      <c r="G295" s="347">
        <f t="shared" si="13"/>
        <v>1.8898111336256609</v>
      </c>
      <c r="H295" s="74">
        <f t="shared" si="14"/>
        <v>8268.2000000000007</v>
      </c>
    </row>
    <row r="296" spans="1:8" x14ac:dyDescent="0.25">
      <c r="A296" s="61">
        <f>'A) Base RI'!A298</f>
        <v>5919</v>
      </c>
      <c r="B296" s="114" t="str">
        <f>'A) Base RI'!B298</f>
        <v>Mathod</v>
      </c>
      <c r="C296" s="14">
        <f>'B) D RI'!Y298</f>
        <v>4545.3</v>
      </c>
      <c r="D296" s="19">
        <f>'B) D RI'!Z298</f>
        <v>13044.25</v>
      </c>
      <c r="E296" s="14">
        <f t="shared" si="12"/>
        <v>17589.55</v>
      </c>
      <c r="F296" s="19">
        <f>'B) D RI'!U298</f>
        <v>16260.723851351351</v>
      </c>
      <c r="G296" s="347">
        <f t="shared" si="13"/>
        <v>1.0817199874246812</v>
      </c>
      <c r="H296" s="74">
        <f t="shared" si="14"/>
        <v>6185.9249999999993</v>
      </c>
    </row>
    <row r="297" spans="1:8" x14ac:dyDescent="0.25">
      <c r="A297" s="61">
        <f>'A) Base RI'!A299</f>
        <v>5921</v>
      </c>
      <c r="B297" s="114" t="str">
        <f>'A) Base RI'!B299</f>
        <v>Molondin</v>
      </c>
      <c r="C297" s="14">
        <f>'B) D RI'!Y299</f>
        <v>61100.4</v>
      </c>
      <c r="D297" s="19">
        <f>'B) D RI'!Z299</f>
        <v>5539.15</v>
      </c>
      <c r="E297" s="14">
        <f t="shared" si="12"/>
        <v>66639.55</v>
      </c>
      <c r="F297" s="19">
        <f>'B) D RI'!U299</f>
        <v>4932.1140740740739</v>
      </c>
      <c r="G297" s="347">
        <f t="shared" si="13"/>
        <v>13.511356185027111</v>
      </c>
      <c r="H297" s="74">
        <f t="shared" si="14"/>
        <v>32211.945</v>
      </c>
    </row>
    <row r="298" spans="1:8" x14ac:dyDescent="0.25">
      <c r="A298" s="61">
        <f>'A) Base RI'!A300</f>
        <v>5922</v>
      </c>
      <c r="B298" s="114" t="str">
        <f>'A) Base RI'!B300</f>
        <v>Montagny-près-Yverdon</v>
      </c>
      <c r="C298" s="14">
        <f>'B) D RI'!Y300</f>
        <v>92903.65</v>
      </c>
      <c r="D298" s="19">
        <f>'B) D RI'!Z300</f>
        <v>175609.5</v>
      </c>
      <c r="E298" s="14">
        <f t="shared" si="12"/>
        <v>268513.15000000002</v>
      </c>
      <c r="F298" s="19">
        <f>'B) D RI'!U300</f>
        <v>54274.18045081968</v>
      </c>
      <c r="G298" s="347">
        <f t="shared" si="13"/>
        <v>4.9473460081688767</v>
      </c>
      <c r="H298" s="74">
        <f t="shared" si="14"/>
        <v>99134.674999999988</v>
      </c>
    </row>
    <row r="299" spans="1:8" x14ac:dyDescent="0.25">
      <c r="A299" s="61">
        <f>'A) Base RI'!A301</f>
        <v>5923</v>
      </c>
      <c r="B299" s="114" t="str">
        <f>'A) Base RI'!B301</f>
        <v>Oppens</v>
      </c>
      <c r="C299" s="14">
        <f>'B) D RI'!Y301</f>
        <v>45046.75</v>
      </c>
      <c r="D299" s="19">
        <f>'B) D RI'!Z301</f>
        <v>15199.8</v>
      </c>
      <c r="E299" s="14">
        <f t="shared" si="12"/>
        <v>60246.55</v>
      </c>
      <c r="F299" s="19">
        <f>'B) D RI'!U301</f>
        <v>4902.1274074074072</v>
      </c>
      <c r="G299" s="347">
        <f t="shared" si="13"/>
        <v>12.28987845337595</v>
      </c>
      <c r="H299" s="74">
        <f t="shared" si="14"/>
        <v>27083.314999999999</v>
      </c>
    </row>
    <row r="300" spans="1:8" x14ac:dyDescent="0.25">
      <c r="A300" s="61">
        <f>'A) Base RI'!A302</f>
        <v>5924</v>
      </c>
      <c r="B300" s="114" t="str">
        <f>'A) Base RI'!B302</f>
        <v>Orges</v>
      </c>
      <c r="C300" s="14">
        <f>'B) D RI'!Y302</f>
        <v>75789.450000000012</v>
      </c>
      <c r="D300" s="19">
        <f>'B) D RI'!Z302</f>
        <v>22835.85</v>
      </c>
      <c r="E300" s="14">
        <f t="shared" si="12"/>
        <v>98625.300000000017</v>
      </c>
      <c r="F300" s="19">
        <f>'B) D RI'!U302</f>
        <v>9002.8555405405405</v>
      </c>
      <c r="G300" s="347">
        <f t="shared" si="13"/>
        <v>10.954890873888049</v>
      </c>
      <c r="H300" s="74">
        <f t="shared" si="14"/>
        <v>44745.48</v>
      </c>
    </row>
    <row r="301" spans="1:8" x14ac:dyDescent="0.25">
      <c r="A301" s="61">
        <f>'A) Base RI'!A303</f>
        <v>5925</v>
      </c>
      <c r="B301" s="114" t="str">
        <f>'A) Base RI'!B303</f>
        <v>Orzens</v>
      </c>
      <c r="C301" s="14">
        <f>'B) D RI'!Y303</f>
        <v>5206.7</v>
      </c>
      <c r="D301" s="19">
        <f>'B) D RI'!Z303</f>
        <v>5230.1000000000004</v>
      </c>
      <c r="E301" s="14">
        <f t="shared" si="12"/>
        <v>10436.799999999999</v>
      </c>
      <c r="F301" s="19">
        <f>'B) D RI'!U303</f>
        <v>5053.7527848101263</v>
      </c>
      <c r="G301" s="347">
        <f t="shared" si="13"/>
        <v>2.0651583970172611</v>
      </c>
      <c r="H301" s="74">
        <f t="shared" si="14"/>
        <v>4172.38</v>
      </c>
    </row>
    <row r="302" spans="1:8" x14ac:dyDescent="0.25">
      <c r="A302" s="61">
        <f>'A) Base RI'!A304</f>
        <v>5926</v>
      </c>
      <c r="B302" s="114" t="str">
        <f>'A) Base RI'!B304</f>
        <v>Pomy</v>
      </c>
      <c r="C302" s="14">
        <f>'B) D RI'!Y304</f>
        <v>96860.3</v>
      </c>
      <c r="D302" s="19">
        <f>'B) D RI'!Z304</f>
        <v>7530.45</v>
      </c>
      <c r="E302" s="14">
        <f t="shared" si="12"/>
        <v>104390.75</v>
      </c>
      <c r="F302" s="19">
        <f>'B) D RI'!U304</f>
        <v>21029.126197183101</v>
      </c>
      <c r="G302" s="347">
        <f t="shared" si="13"/>
        <v>4.9641030740489533</v>
      </c>
      <c r="H302" s="74">
        <f t="shared" si="14"/>
        <v>50689.285000000003</v>
      </c>
    </row>
    <row r="303" spans="1:8" x14ac:dyDescent="0.25">
      <c r="A303" s="61">
        <f>'A) Base RI'!A305</f>
        <v>5928</v>
      </c>
      <c r="B303" s="114" t="str">
        <f>'A) Base RI'!B305</f>
        <v>Rovray</v>
      </c>
      <c r="C303" s="14">
        <f>'B) D RI'!Y305</f>
        <v>27518.1</v>
      </c>
      <c r="D303" s="19">
        <f>'B) D RI'!Z305</f>
        <v>0</v>
      </c>
      <c r="E303" s="14">
        <f t="shared" si="12"/>
        <v>27518.1</v>
      </c>
      <c r="F303" s="19">
        <f>'B) D RI'!U305</f>
        <v>4897.1457333333328</v>
      </c>
      <c r="G303" s="347">
        <f t="shared" si="13"/>
        <v>5.6192119856047853</v>
      </c>
      <c r="H303" s="74">
        <f t="shared" si="14"/>
        <v>13759.05</v>
      </c>
    </row>
    <row r="304" spans="1:8" x14ac:dyDescent="0.25">
      <c r="A304" s="61">
        <f>'A) Base RI'!A306</f>
        <v>5929</v>
      </c>
      <c r="B304" s="114" t="str">
        <f>'A) Base RI'!B306</f>
        <v>Suchy</v>
      </c>
      <c r="C304" s="14">
        <f>'B) D RI'!Y306</f>
        <v>31236.7</v>
      </c>
      <c r="D304" s="19">
        <f>'B) D RI'!Z306</f>
        <v>8492.6</v>
      </c>
      <c r="E304" s="14">
        <f t="shared" si="12"/>
        <v>39729.300000000003</v>
      </c>
      <c r="F304" s="19">
        <f>'B) D RI'!U306</f>
        <v>16083.913284313729</v>
      </c>
      <c r="G304" s="347">
        <f t="shared" si="13"/>
        <v>2.4701264734339916</v>
      </c>
      <c r="H304" s="74">
        <f t="shared" si="14"/>
        <v>18166.13</v>
      </c>
    </row>
    <row r="305" spans="1:8" x14ac:dyDescent="0.25">
      <c r="A305" s="61">
        <f>'A) Base RI'!A307</f>
        <v>5930</v>
      </c>
      <c r="B305" s="114" t="str">
        <f>'A) Base RI'!B307</f>
        <v>Suscévaz</v>
      </c>
      <c r="C305" s="14">
        <f>'B) D RI'!Y307</f>
        <v>4724.95</v>
      </c>
      <c r="D305" s="19">
        <f>'B) D RI'!Z307</f>
        <v>7873.25</v>
      </c>
      <c r="E305" s="14">
        <f t="shared" si="12"/>
        <v>12598.2</v>
      </c>
      <c r="F305" s="19">
        <f>'B) D RI'!U307</f>
        <v>5208.083787878787</v>
      </c>
      <c r="G305" s="347">
        <f t="shared" si="13"/>
        <v>2.4189702994642395</v>
      </c>
      <c r="H305" s="74">
        <f t="shared" si="14"/>
        <v>4724.45</v>
      </c>
    </row>
    <row r="306" spans="1:8" x14ac:dyDescent="0.25">
      <c r="A306" s="61">
        <f>'A) Base RI'!A308</f>
        <v>5931</v>
      </c>
      <c r="B306" s="114" t="str">
        <f>'A) Base RI'!B308</f>
        <v>Treycovagnes</v>
      </c>
      <c r="C306" s="14">
        <f>'B) D RI'!Y308</f>
        <v>75593</v>
      </c>
      <c r="D306" s="19">
        <f>'B) D RI'!Z308</f>
        <v>12599.25</v>
      </c>
      <c r="E306" s="14">
        <f t="shared" si="12"/>
        <v>88192.25</v>
      </c>
      <c r="F306" s="19">
        <f>'B) D RI'!U308</f>
        <v>13922.074155844155</v>
      </c>
      <c r="G306" s="347">
        <f t="shared" si="13"/>
        <v>6.3347062379335908</v>
      </c>
      <c r="H306" s="74">
        <f t="shared" si="14"/>
        <v>41576.275000000001</v>
      </c>
    </row>
    <row r="307" spans="1:8" x14ac:dyDescent="0.25">
      <c r="A307" s="61">
        <f>'A) Base RI'!A309</f>
        <v>5932</v>
      </c>
      <c r="B307" s="114" t="str">
        <f>'A) Base RI'!B309</f>
        <v>Ursins</v>
      </c>
      <c r="C307" s="14">
        <f>'B) D RI'!Y309</f>
        <v>561</v>
      </c>
      <c r="D307" s="19">
        <f>'B) D RI'!Z309</f>
        <v>0</v>
      </c>
      <c r="E307" s="14">
        <f t="shared" si="12"/>
        <v>561</v>
      </c>
      <c r="F307" s="19">
        <f>'B) D RI'!U309</f>
        <v>5429.3069230769233</v>
      </c>
      <c r="G307" s="347">
        <f t="shared" si="13"/>
        <v>0.10332810576898964</v>
      </c>
      <c r="H307" s="74">
        <f t="shared" si="14"/>
        <v>280.5</v>
      </c>
    </row>
    <row r="308" spans="1:8" x14ac:dyDescent="0.25">
      <c r="A308" s="61">
        <f>'A) Base RI'!A310</f>
        <v>5933</v>
      </c>
      <c r="B308" s="114" t="str">
        <f>'A) Base RI'!B310</f>
        <v>Valeyres-sous-Montagny</v>
      </c>
      <c r="C308" s="14">
        <f>'B) D RI'!Y310</f>
        <v>99163.6</v>
      </c>
      <c r="D308" s="19">
        <f>'B) D RI'!Z310</f>
        <v>8149.15</v>
      </c>
      <c r="E308" s="14">
        <f t="shared" si="12"/>
        <v>107312.75</v>
      </c>
      <c r="F308" s="19">
        <f>'B) D RI'!U310</f>
        <v>17165.971111111114</v>
      </c>
      <c r="G308" s="347">
        <f t="shared" si="13"/>
        <v>6.2514814516109185</v>
      </c>
      <c r="H308" s="74">
        <f t="shared" si="14"/>
        <v>52026.545000000006</v>
      </c>
    </row>
    <row r="309" spans="1:8" x14ac:dyDescent="0.25">
      <c r="A309" s="61">
        <f>'A) Base RI'!A311</f>
        <v>5934</v>
      </c>
      <c r="B309" s="114" t="str">
        <f>'A) Base RI'!B311</f>
        <v>Valeyres-sous-Ursins</v>
      </c>
      <c r="C309" s="14">
        <f>'B) D RI'!Y311</f>
        <v>36916.35</v>
      </c>
      <c r="D309" s="19">
        <f>'B) D RI'!Z311</f>
        <v>11606.85</v>
      </c>
      <c r="E309" s="14">
        <f t="shared" si="12"/>
        <v>48523.199999999997</v>
      </c>
      <c r="F309" s="19">
        <f>'B) D RI'!U311</f>
        <v>6602.430506329114</v>
      </c>
      <c r="G309" s="347">
        <f t="shared" si="13"/>
        <v>7.3492935599224376</v>
      </c>
      <c r="H309" s="74">
        <f t="shared" si="14"/>
        <v>21940.23</v>
      </c>
    </row>
    <row r="310" spans="1:8" x14ac:dyDescent="0.25">
      <c r="A310" s="61">
        <f>'A) Base RI'!A312</f>
        <v>5935</v>
      </c>
      <c r="B310" s="114" t="str">
        <f>'A) Base RI'!B312</f>
        <v>Villars-Epeney</v>
      </c>
      <c r="C310" s="14">
        <f>'B) D RI'!Y312</f>
        <v>1540</v>
      </c>
      <c r="D310" s="19">
        <f>'B) D RI'!Z312</f>
        <v>0</v>
      </c>
      <c r="E310" s="14">
        <f t="shared" si="12"/>
        <v>1540</v>
      </c>
      <c r="F310" s="19">
        <f>'B) D RI'!U312</f>
        <v>6478.5808333333343</v>
      </c>
      <c r="G310" s="347">
        <f t="shared" si="13"/>
        <v>0.23770638039683842</v>
      </c>
      <c r="H310" s="74">
        <f t="shared" si="14"/>
        <v>770</v>
      </c>
    </row>
    <row r="311" spans="1:8" x14ac:dyDescent="0.25">
      <c r="A311" s="61">
        <f>'A) Base RI'!A313</f>
        <v>5937</v>
      </c>
      <c r="B311" s="114" t="str">
        <f>'A) Base RI'!B313</f>
        <v>Vugelles-La Mothe</v>
      </c>
      <c r="C311" s="14">
        <f>'B) D RI'!Y313</f>
        <v>0</v>
      </c>
      <c r="D311" s="19">
        <f>'B) D RI'!Z313</f>
        <v>0</v>
      </c>
      <c r="E311" s="14">
        <f t="shared" si="12"/>
        <v>0</v>
      </c>
      <c r="F311" s="19">
        <f>'B) D RI'!U313</f>
        <v>2128.9780612244899</v>
      </c>
      <c r="G311" s="347">
        <f t="shared" si="13"/>
        <v>0</v>
      </c>
      <c r="H311" s="74">
        <f t="shared" si="14"/>
        <v>0</v>
      </c>
    </row>
    <row r="312" spans="1:8" x14ac:dyDescent="0.25">
      <c r="A312" s="61">
        <f>'A) Base RI'!A314</f>
        <v>5938</v>
      </c>
      <c r="B312" s="114" t="str">
        <f>'A) Base RI'!B314</f>
        <v>Yverdon-les-Bains</v>
      </c>
      <c r="C312" s="14">
        <f>'B) D RI'!Y314</f>
        <v>3833638.1</v>
      </c>
      <c r="D312" s="19">
        <f>'B) D RI'!Z314</f>
        <v>3351601.5</v>
      </c>
      <c r="E312" s="14">
        <f t="shared" si="12"/>
        <v>7185239.5999999996</v>
      </c>
      <c r="F312" s="19">
        <f>'B) D RI'!U314</f>
        <v>771340.02758169943</v>
      </c>
      <c r="G312" s="347">
        <f t="shared" si="13"/>
        <v>9.3152686792712149</v>
      </c>
      <c r="H312" s="74">
        <f t="shared" si="14"/>
        <v>2922299.5</v>
      </c>
    </row>
    <row r="313" spans="1:8" x14ac:dyDescent="0.25">
      <c r="A313" s="63">
        <f>'A) Base RI'!A315</f>
        <v>5939</v>
      </c>
      <c r="B313" s="115" t="str">
        <f>'A) Base RI'!B315</f>
        <v>Yvonand</v>
      </c>
      <c r="C313" s="25">
        <f>'B) D RI'!Y315</f>
        <v>445189.85000000003</v>
      </c>
      <c r="D313" s="19">
        <f>'B) D RI'!Z315</f>
        <v>187954.15</v>
      </c>
      <c r="E313" s="25">
        <f t="shared" si="12"/>
        <v>633144</v>
      </c>
      <c r="F313" s="19">
        <f>'B) D RI'!U315</f>
        <v>88221.551917808203</v>
      </c>
      <c r="G313" s="348">
        <f t="shared" si="13"/>
        <v>7.1767497423970728</v>
      </c>
      <c r="H313" s="133">
        <f t="shared" si="14"/>
        <v>278981.17000000004</v>
      </c>
    </row>
    <row r="314" spans="1:8" x14ac:dyDescent="0.25">
      <c r="A314" s="40"/>
      <c r="B314" s="34">
        <f>COUNTA(B5:B313)</f>
        <v>309</v>
      </c>
      <c r="C314" s="15">
        <f>SUM(C5:C313)</f>
        <v>199083535.4799999</v>
      </c>
      <c r="D314" s="15">
        <f>SUM(D5:D313)</f>
        <v>66364349.699999996</v>
      </c>
      <c r="E314" s="15">
        <f>SUM(E5:E313)</f>
        <v>265447885.18000001</v>
      </c>
      <c r="F314" s="15">
        <f>SUM(F5:F313)</f>
        <v>34873950.283385321</v>
      </c>
      <c r="G314" s="81">
        <f t="shared" ref="G314" si="15">E314/F314</f>
        <v>7.6116379997956507</v>
      </c>
      <c r="H314" s="350">
        <f>(C314*$C$4)+(D314*$D$4)</f>
        <v>119451072.64999995</v>
      </c>
    </row>
    <row r="316" spans="1:8" x14ac:dyDescent="0.25">
      <c r="G316" s="18"/>
    </row>
    <row r="317" spans="1:8" x14ac:dyDescent="0.25">
      <c r="G317" s="18"/>
    </row>
    <row r="318" spans="1:8" x14ac:dyDescent="0.25">
      <c r="G318" s="18"/>
    </row>
    <row r="319" spans="1:8" x14ac:dyDescent="0.25">
      <c r="G319" s="18"/>
    </row>
    <row r="320" spans="1:8" x14ac:dyDescent="0.25">
      <c r="G320" s="18"/>
    </row>
    <row r="321" spans="7:7" x14ac:dyDescent="0.25">
      <c r="G321" s="18"/>
    </row>
    <row r="322" spans="7:7" x14ac:dyDescent="0.25">
      <c r="G322" s="18"/>
    </row>
    <row r="323" spans="7:7" x14ac:dyDescent="0.25">
      <c r="G323" s="18"/>
    </row>
    <row r="324" spans="7:7" x14ac:dyDescent="0.25">
      <c r="G324" s="18"/>
    </row>
    <row r="325" spans="7:7" x14ac:dyDescent="0.25">
      <c r="G325" s="18"/>
    </row>
    <row r="326" spans="7:7" x14ac:dyDescent="0.25">
      <c r="G326" s="18"/>
    </row>
    <row r="327" spans="7:7" x14ac:dyDescent="0.25">
      <c r="G327" s="18"/>
    </row>
    <row r="328" spans="7:7" x14ac:dyDescent="0.25">
      <c r="G328" s="18"/>
    </row>
    <row r="329" spans="7:7" x14ac:dyDescent="0.25">
      <c r="G329" s="18"/>
    </row>
    <row r="330" spans="7:7" x14ac:dyDescent="0.25">
      <c r="G330" s="18"/>
    </row>
    <row r="331" spans="7:7" x14ac:dyDescent="0.25">
      <c r="G331" s="18"/>
    </row>
    <row r="332" spans="7:7" x14ac:dyDescent="0.25">
      <c r="G332" s="18"/>
    </row>
  </sheetData>
  <sheetProtection password="CBF3" sheet="1" objects="1" scenarios="1"/>
  <mergeCells count="6">
    <mergeCell ref="H3:H4"/>
    <mergeCell ref="G3:G4"/>
    <mergeCell ref="F3:F4"/>
    <mergeCell ref="E3:E4"/>
    <mergeCell ref="A3:A4"/>
    <mergeCell ref="B3:B4"/>
  </mergeCells>
  <phoneticPr fontId="7" type="noConversion"/>
  <printOptions horizontalCentered="1" verticalCentered="1"/>
  <pageMargins left="0" right="0" top="0" bottom="0" header="0.51181102362204722" footer="0.51181102362204722"/>
  <pageSetup paperSize="8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00B050"/>
  </sheetPr>
  <dimension ref="A1:O320"/>
  <sheetViews>
    <sheetView workbookViewId="0">
      <selection activeCell="B13" sqref="B13"/>
    </sheetView>
  </sheetViews>
  <sheetFormatPr baseColWidth="10" defaultColWidth="11" defaultRowHeight="15" x14ac:dyDescent="0.25"/>
  <cols>
    <col min="1" max="1" width="7.25" style="18" customWidth="1"/>
    <col min="2" max="2" width="18" style="18" customWidth="1"/>
    <col min="3" max="3" width="10.875" style="18" bestFit="1" customWidth="1"/>
    <col min="4" max="4" width="8.375" style="18" customWidth="1"/>
    <col min="5" max="5" width="7.625" style="18" bestFit="1" customWidth="1"/>
    <col min="6" max="6" width="8.875" style="79" customWidth="1"/>
    <col min="7" max="9" width="5.75" style="18" hidden="1" customWidth="1"/>
    <col min="10" max="10" width="6.5" style="18" hidden="1" customWidth="1"/>
    <col min="11" max="11" width="7.875" style="18" customWidth="1"/>
    <col min="12" max="12" width="9.875" style="17" bestFit="1" customWidth="1"/>
    <col min="13" max="13" width="10.875" style="17" bestFit="1" customWidth="1"/>
    <col min="14" max="14" width="10.875" style="18" bestFit="1" customWidth="1"/>
    <col min="15" max="16384" width="11" style="18"/>
  </cols>
  <sheetData>
    <row r="1" spans="1:15" ht="21" x14ac:dyDescent="0.25">
      <c r="A1" s="65" t="s">
        <v>249</v>
      </c>
      <c r="B1" s="53"/>
      <c r="C1" s="77"/>
      <c r="D1" s="54"/>
      <c r="E1" s="54"/>
      <c r="F1" s="78"/>
    </row>
    <row r="2" spans="1:15" x14ac:dyDescent="0.25">
      <c r="G2" s="90">
        <f>$E$314*G4</f>
        <v>54.526330221997746</v>
      </c>
      <c r="H2" s="90">
        <f>$E$314*H4</f>
        <v>68.157912777497188</v>
      </c>
      <c r="I2" s="90">
        <f>$E$314*I4</f>
        <v>90.877217036662913</v>
      </c>
      <c r="J2" s="90">
        <f>$E$314*J4</f>
        <v>136.31582555499438</v>
      </c>
    </row>
    <row r="3" spans="1:15" ht="60" customHeight="1" x14ac:dyDescent="0.25">
      <c r="A3" s="424" t="s">
        <v>50</v>
      </c>
      <c r="B3" s="424" t="s">
        <v>119</v>
      </c>
      <c r="C3" s="430" t="s">
        <v>339</v>
      </c>
      <c r="D3" s="431"/>
      <c r="E3" s="432"/>
      <c r="F3" s="429" t="s">
        <v>324</v>
      </c>
      <c r="G3" s="87">
        <f>Paramètres!B16</f>
        <v>0.36</v>
      </c>
      <c r="H3" s="87">
        <f>Paramètres!C16</f>
        <v>0.46</v>
      </c>
      <c r="I3" s="87">
        <f>Paramètres!D16</f>
        <v>0.56000000000000005</v>
      </c>
      <c r="J3" s="87">
        <f>Paramètres!E16</f>
        <v>0.66</v>
      </c>
      <c r="K3" s="429" t="s">
        <v>327</v>
      </c>
      <c r="L3" s="429" t="s">
        <v>340</v>
      </c>
      <c r="M3" s="359" t="s">
        <v>73</v>
      </c>
      <c r="N3" s="429" t="s">
        <v>583</v>
      </c>
      <c r="O3" s="429" t="s">
        <v>0</v>
      </c>
    </row>
    <row r="4" spans="1:15" ht="45" x14ac:dyDescent="0.25">
      <c r="A4" s="426"/>
      <c r="B4" s="426"/>
      <c r="C4" s="88" t="s">
        <v>405</v>
      </c>
      <c r="D4" s="88" t="s">
        <v>71</v>
      </c>
      <c r="E4" s="88" t="s">
        <v>72</v>
      </c>
      <c r="F4" s="429"/>
      <c r="G4" s="89">
        <f>Paramètres!B17</f>
        <v>1.2</v>
      </c>
      <c r="H4" s="89">
        <f>Paramètres!C17</f>
        <v>1.5</v>
      </c>
      <c r="I4" s="89">
        <f>Paramètres!D17</f>
        <v>2</v>
      </c>
      <c r="J4" s="89">
        <f>Paramètres!E17</f>
        <v>3</v>
      </c>
      <c r="K4" s="429"/>
      <c r="L4" s="429"/>
      <c r="M4" s="364">
        <f>+Paramètres!B20</f>
        <v>0.65</v>
      </c>
      <c r="N4" s="429"/>
      <c r="O4" s="429"/>
    </row>
    <row r="5" spans="1:15" x14ac:dyDescent="0.25">
      <c r="A5" s="57">
        <f>'A) Base RI'!A7</f>
        <v>5401</v>
      </c>
      <c r="B5" s="270" t="str">
        <f>'A) Base RI'!B7</f>
        <v>Aigle</v>
      </c>
      <c r="C5" s="13">
        <f>'B) D RI'!U7</f>
        <v>260845.44622222218</v>
      </c>
      <c r="D5" s="42">
        <f>'B) D RI'!AR7</f>
        <v>9757</v>
      </c>
      <c r="E5" s="269">
        <f>C5/D5</f>
        <v>26.734185325635153</v>
      </c>
      <c r="F5" s="80">
        <f t="shared" ref="F5:F68" si="0">E5/$E$314</f>
        <v>0.58835836301742572</v>
      </c>
      <c r="G5" s="361">
        <f>IF(E5-$G$2&lt;0,0,E5-$G$2)</f>
        <v>0</v>
      </c>
      <c r="H5" s="361">
        <f>IF(E5-$H$2&lt;0,0,E5-$H$2)</f>
        <v>0</v>
      </c>
      <c r="I5" s="361">
        <f>IF(E5-$I$2&lt;0,0,E5-$I$2)</f>
        <v>0</v>
      </c>
      <c r="J5" s="361">
        <f>IF(E5-$J$2&lt;0,0,E5-$J$2)</f>
        <v>0</v>
      </c>
      <c r="K5" s="362">
        <f t="shared" ref="K5" si="1">(G5-H5)*$G$3+(H5-I5)*$H$3+(I5-J5)*$I$3+(J5*$J$3)</f>
        <v>0</v>
      </c>
      <c r="L5" s="74">
        <f>K5*D5*'B) D RI'!S7</f>
        <v>0</v>
      </c>
      <c r="M5" s="19">
        <f>(('B) D RI'!S7*C5)-(L5*$M$4))/'B) D RI'!S7</f>
        <v>260845.44622222218</v>
      </c>
      <c r="N5" s="349">
        <f t="shared" ref="N5" si="2">M5/D5</f>
        <v>26.734185325635153</v>
      </c>
      <c r="O5" s="80">
        <f t="shared" ref="O5:O68" si="3">N5/N$314</f>
        <v>0.60632716015816635</v>
      </c>
    </row>
    <row r="6" spans="1:15" x14ac:dyDescent="0.25">
      <c r="A6" s="61">
        <f>'A) Base RI'!A8</f>
        <v>5402</v>
      </c>
      <c r="B6" s="62" t="str">
        <f>'A) Base RI'!B8</f>
        <v>Bex</v>
      </c>
      <c r="C6" s="13">
        <f>'B) D RI'!U8</f>
        <v>175890.90239436619</v>
      </c>
      <c r="D6" s="42">
        <f>'B) D RI'!AR8</f>
        <v>7236</v>
      </c>
      <c r="E6" s="269">
        <f t="shared" ref="E6:E69" si="4">C6/D6</f>
        <v>24.307753233052264</v>
      </c>
      <c r="F6" s="80">
        <f t="shared" si="0"/>
        <v>0.53495813418770743</v>
      </c>
      <c r="G6" s="361">
        <f t="shared" ref="G6:G69" si="5">IF(E6-$G$2&lt;0,0,E6-$G$2)</f>
        <v>0</v>
      </c>
      <c r="H6" s="361">
        <f t="shared" ref="H6:H69" si="6">IF(E6-$H$2&lt;0,0,E6-$H$2)</f>
        <v>0</v>
      </c>
      <c r="I6" s="361">
        <f t="shared" ref="I6:I69" si="7">IF(E6-$I$2&lt;0,0,E6-$I$2)</f>
        <v>0</v>
      </c>
      <c r="J6" s="361">
        <f t="shared" ref="J6:J69" si="8">IF(E6-$J$2&lt;0,0,E6-$J$2)</f>
        <v>0</v>
      </c>
      <c r="K6" s="362">
        <f t="shared" ref="K6:K69" si="9">(G6-H6)*$G$3+(H6-I6)*$H$3+(I6-J6)*$I$3+(J6*$J$3)</f>
        <v>0</v>
      </c>
      <c r="L6" s="74">
        <f>K6*D6*'B) D RI'!S8</f>
        <v>0</v>
      </c>
      <c r="M6" s="19">
        <f>(('B) D RI'!S8*C6)-(L6*$M$4))/'B) D RI'!S8</f>
        <v>175890.90239436619</v>
      </c>
      <c r="N6" s="349">
        <f t="shared" ref="N6:N69" si="10">M6/D6</f>
        <v>24.307753233052264</v>
      </c>
      <c r="O6" s="80">
        <f t="shared" si="3"/>
        <v>0.55129605814056748</v>
      </c>
    </row>
    <row r="7" spans="1:15" x14ac:dyDescent="0.25">
      <c r="A7" s="61">
        <f>'A) Base RI'!A9</f>
        <v>5403</v>
      </c>
      <c r="B7" s="62" t="str">
        <f>'A) Base RI'!B9</f>
        <v>Chessel</v>
      </c>
      <c r="C7" s="13">
        <f>'B) D RI'!U9</f>
        <v>8284.5784210526326</v>
      </c>
      <c r="D7" s="42">
        <f>'B) D RI'!AR9</f>
        <v>396</v>
      </c>
      <c r="E7" s="269">
        <f t="shared" si="4"/>
        <v>20.920652578415741</v>
      </c>
      <c r="F7" s="80">
        <f t="shared" si="0"/>
        <v>0.46041578429884467</v>
      </c>
      <c r="G7" s="361">
        <f t="shared" si="5"/>
        <v>0</v>
      </c>
      <c r="H7" s="361">
        <f t="shared" si="6"/>
        <v>0</v>
      </c>
      <c r="I7" s="361">
        <f t="shared" si="7"/>
        <v>0</v>
      </c>
      <c r="J7" s="361">
        <f t="shared" si="8"/>
        <v>0</v>
      </c>
      <c r="K7" s="362">
        <f t="shared" si="9"/>
        <v>0</v>
      </c>
      <c r="L7" s="74">
        <f>K7*D7*'B) D RI'!S9</f>
        <v>0</v>
      </c>
      <c r="M7" s="19">
        <f>(('B) D RI'!S9*C7)-(L7*$M$4))/'B) D RI'!S9</f>
        <v>8284.5784210526326</v>
      </c>
      <c r="N7" s="349">
        <f t="shared" si="10"/>
        <v>20.920652578415741</v>
      </c>
      <c r="O7" s="80">
        <f t="shared" si="3"/>
        <v>0.47447714273017855</v>
      </c>
    </row>
    <row r="8" spans="1:15" x14ac:dyDescent="0.25">
      <c r="A8" s="61">
        <f>'A) Base RI'!A10</f>
        <v>5404</v>
      </c>
      <c r="B8" s="62" t="str">
        <f>'A) Base RI'!B10</f>
        <v>Corbeyrier</v>
      </c>
      <c r="C8" s="13">
        <f>'B) D RI'!U10</f>
        <v>9966.1885714285709</v>
      </c>
      <c r="D8" s="42">
        <f>'B) D RI'!AR10</f>
        <v>433</v>
      </c>
      <c r="E8" s="269">
        <f t="shared" si="4"/>
        <v>23.016601781590232</v>
      </c>
      <c r="F8" s="80">
        <f t="shared" si="0"/>
        <v>0.50654283949528434</v>
      </c>
      <c r="G8" s="361">
        <f t="shared" si="5"/>
        <v>0</v>
      </c>
      <c r="H8" s="361">
        <f t="shared" si="6"/>
        <v>0</v>
      </c>
      <c r="I8" s="361">
        <f t="shared" si="7"/>
        <v>0</v>
      </c>
      <c r="J8" s="361">
        <f t="shared" si="8"/>
        <v>0</v>
      </c>
      <c r="K8" s="362">
        <f t="shared" si="9"/>
        <v>0</v>
      </c>
      <c r="L8" s="74">
        <f>K8*D8*'B) D RI'!S10</f>
        <v>0</v>
      </c>
      <c r="M8" s="19">
        <f>(('B) D RI'!S10*C8)-(L8*$M$4))/'B) D RI'!S10</f>
        <v>9966.1885714285709</v>
      </c>
      <c r="N8" s="349">
        <f t="shared" si="10"/>
        <v>23.016601781590232</v>
      </c>
      <c r="O8" s="80">
        <f t="shared" si="3"/>
        <v>0.52201294427854195</v>
      </c>
    </row>
    <row r="9" spans="1:15" x14ac:dyDescent="0.25">
      <c r="A9" s="61">
        <f>'A) Base RI'!A11</f>
        <v>5405</v>
      </c>
      <c r="B9" s="62" t="str">
        <f>'A) Base RI'!B11</f>
        <v>Gryon</v>
      </c>
      <c r="C9" s="13">
        <f>'B) D RI'!U11</f>
        <v>72189.140533333324</v>
      </c>
      <c r="D9" s="42">
        <f>'B) D RI'!AR11</f>
        <v>1265</v>
      </c>
      <c r="E9" s="269">
        <f t="shared" si="4"/>
        <v>57.066514255599465</v>
      </c>
      <c r="F9" s="80">
        <f t="shared" si="0"/>
        <v>1.2559036492628712</v>
      </c>
      <c r="G9" s="361">
        <f t="shared" si="5"/>
        <v>2.5401840336017187</v>
      </c>
      <c r="H9" s="361">
        <f t="shared" si="6"/>
        <v>0</v>
      </c>
      <c r="I9" s="361">
        <f t="shared" si="7"/>
        <v>0</v>
      </c>
      <c r="J9" s="361">
        <f t="shared" si="8"/>
        <v>0</v>
      </c>
      <c r="K9" s="362">
        <f t="shared" si="9"/>
        <v>0.91446625209661869</v>
      </c>
      <c r="L9" s="74">
        <f>K9*D9*'B) D RI'!S11</f>
        <v>86759.985667666697</v>
      </c>
      <c r="M9" s="19">
        <f>(('B) D RI'!S11*C9)-(L9*$M$4))/'B) D RI'!S11</f>
        <v>71437.220657546874</v>
      </c>
      <c r="N9" s="349">
        <f t="shared" si="10"/>
        <v>56.472111191736658</v>
      </c>
      <c r="O9" s="80">
        <f t="shared" si="3"/>
        <v>1.2807786880338909</v>
      </c>
    </row>
    <row r="10" spans="1:15" x14ac:dyDescent="0.25">
      <c r="A10" s="61">
        <f>'A) Base RI'!A12</f>
        <v>5406</v>
      </c>
      <c r="B10" s="62" t="str">
        <f>'A) Base RI'!B12</f>
        <v>Lavey-Morcles</v>
      </c>
      <c r="C10" s="13">
        <f>'B) D RI'!U12</f>
        <v>19831.448851570964</v>
      </c>
      <c r="D10" s="42">
        <f>'B) D RI'!AR12</f>
        <v>907</v>
      </c>
      <c r="E10" s="269">
        <f t="shared" si="4"/>
        <v>21.864882967553434</v>
      </c>
      <c r="F10" s="80">
        <f t="shared" si="0"/>
        <v>0.48119613871389588</v>
      </c>
      <c r="G10" s="361">
        <f t="shared" si="5"/>
        <v>0</v>
      </c>
      <c r="H10" s="361">
        <f t="shared" si="6"/>
        <v>0</v>
      </c>
      <c r="I10" s="361">
        <f t="shared" si="7"/>
        <v>0</v>
      </c>
      <c r="J10" s="361">
        <f t="shared" si="8"/>
        <v>0</v>
      </c>
      <c r="K10" s="362">
        <f t="shared" si="9"/>
        <v>0</v>
      </c>
      <c r="L10" s="74">
        <f>K10*D10*'B) D RI'!S12</f>
        <v>0</v>
      </c>
      <c r="M10" s="19">
        <f>(('B) D RI'!S12*C10)-(L10*$M$4))/'B) D RI'!S12</f>
        <v>19831.448851570964</v>
      </c>
      <c r="N10" s="349">
        <f t="shared" si="10"/>
        <v>21.864882967553434</v>
      </c>
      <c r="O10" s="80">
        <f t="shared" si="3"/>
        <v>0.49589214092097517</v>
      </c>
    </row>
    <row r="11" spans="1:15" x14ac:dyDescent="0.25">
      <c r="A11" s="61">
        <f>'A) Base RI'!A13</f>
        <v>5407</v>
      </c>
      <c r="B11" s="62" t="str">
        <f>'A) Base RI'!B13</f>
        <v>Leysin</v>
      </c>
      <c r="C11" s="13">
        <f>'B) D RI'!U13</f>
        <v>102799.09089743589</v>
      </c>
      <c r="D11" s="42">
        <f>'B) D RI'!AR13</f>
        <v>4148</v>
      </c>
      <c r="E11" s="269">
        <f t="shared" si="4"/>
        <v>24.782808798803252</v>
      </c>
      <c r="F11" s="80">
        <f t="shared" si="0"/>
        <v>0.5454130222496808</v>
      </c>
      <c r="G11" s="361">
        <f t="shared" si="5"/>
        <v>0</v>
      </c>
      <c r="H11" s="361">
        <f t="shared" si="6"/>
        <v>0</v>
      </c>
      <c r="I11" s="361">
        <f t="shared" si="7"/>
        <v>0</v>
      </c>
      <c r="J11" s="361">
        <f t="shared" si="8"/>
        <v>0</v>
      </c>
      <c r="K11" s="362">
        <f t="shared" si="9"/>
        <v>0</v>
      </c>
      <c r="L11" s="74">
        <f>K11*D11*'B) D RI'!S13</f>
        <v>0</v>
      </c>
      <c r="M11" s="19">
        <f>(('B) D RI'!S13*C11)-(L11*$M$4))/'B) D RI'!S13</f>
        <v>102799.09089743589</v>
      </c>
      <c r="N11" s="349">
        <f t="shared" si="10"/>
        <v>24.782808798803252</v>
      </c>
      <c r="O11" s="80">
        <f t="shared" si="3"/>
        <v>0.56207024439650444</v>
      </c>
    </row>
    <row r="12" spans="1:15" x14ac:dyDescent="0.25">
      <c r="A12" s="61">
        <f>'A) Base RI'!A14</f>
        <v>5408</v>
      </c>
      <c r="B12" s="62" t="str">
        <f>'A) Base RI'!B14</f>
        <v>Noville</v>
      </c>
      <c r="C12" s="13">
        <f>'B) D RI'!U14</f>
        <v>34745.229256900217</v>
      </c>
      <c r="D12" s="42">
        <f>'B) D RI'!AR14</f>
        <v>1029</v>
      </c>
      <c r="E12" s="269">
        <f t="shared" si="4"/>
        <v>33.766014826919552</v>
      </c>
      <c r="F12" s="80">
        <f t="shared" si="0"/>
        <v>0.74311287092555245</v>
      </c>
      <c r="G12" s="361">
        <f t="shared" si="5"/>
        <v>0</v>
      </c>
      <c r="H12" s="361">
        <f t="shared" si="6"/>
        <v>0</v>
      </c>
      <c r="I12" s="361">
        <f t="shared" si="7"/>
        <v>0</v>
      </c>
      <c r="J12" s="361">
        <f t="shared" si="8"/>
        <v>0</v>
      </c>
      <c r="K12" s="362">
        <f t="shared" si="9"/>
        <v>0</v>
      </c>
      <c r="L12" s="74">
        <f>K12*D12*'B) D RI'!S14</f>
        <v>0</v>
      </c>
      <c r="M12" s="19">
        <f>(('B) D RI'!S14*C12)-(L12*$M$4))/'B) D RI'!S14</f>
        <v>34745.229256900217</v>
      </c>
      <c r="N12" s="349">
        <f t="shared" si="10"/>
        <v>33.766014826919552</v>
      </c>
      <c r="O12" s="80">
        <f t="shared" si="3"/>
        <v>0.76580795825609338</v>
      </c>
    </row>
    <row r="13" spans="1:15" x14ac:dyDescent="0.25">
      <c r="A13" s="61">
        <f>'A) Base RI'!A15</f>
        <v>5409</v>
      </c>
      <c r="B13" s="62" t="str">
        <f>'A) Base RI'!B15</f>
        <v>Ollon</v>
      </c>
      <c r="C13" s="13">
        <f>'B) D RI'!U15</f>
        <v>485365.10493778286</v>
      </c>
      <c r="D13" s="42">
        <f>'B) D RI'!AR15</f>
        <v>7419</v>
      </c>
      <c r="E13" s="269">
        <f t="shared" si="4"/>
        <v>65.421903887017507</v>
      </c>
      <c r="F13" s="80">
        <f t="shared" si="0"/>
        <v>1.4397866928654763</v>
      </c>
      <c r="G13" s="361">
        <f t="shared" si="5"/>
        <v>10.895573665019761</v>
      </c>
      <c r="H13" s="361">
        <f t="shared" si="6"/>
        <v>0</v>
      </c>
      <c r="I13" s="361">
        <f t="shared" si="7"/>
        <v>0</v>
      </c>
      <c r="J13" s="361">
        <f t="shared" si="8"/>
        <v>0</v>
      </c>
      <c r="K13" s="362">
        <f t="shared" si="9"/>
        <v>3.9224065194071138</v>
      </c>
      <c r="L13" s="74">
        <f>K13*D13*'B) D RI'!S15</f>
        <v>1978822.7097887336</v>
      </c>
      <c r="M13" s="19">
        <f>(('B) D RI'!S15*C13)-(L13*$M$4))/'B) D RI'!S15</f>
        <v>466449.88785891997</v>
      </c>
      <c r="N13" s="349">
        <f t="shared" si="10"/>
        <v>62.872339649402882</v>
      </c>
      <c r="O13" s="80">
        <f t="shared" si="3"/>
        <v>1.4259348728149974</v>
      </c>
    </row>
    <row r="14" spans="1:15" x14ac:dyDescent="0.25">
      <c r="A14" s="61">
        <f>'A) Base RI'!A16</f>
        <v>5410</v>
      </c>
      <c r="B14" s="62" t="str">
        <f>'A) Base RI'!B16</f>
        <v>Ormont-Dessous</v>
      </c>
      <c r="C14" s="13">
        <f>'B) D RI'!U16</f>
        <v>35234.198174097655</v>
      </c>
      <c r="D14" s="42">
        <f>'B) D RI'!AR16</f>
        <v>1119</v>
      </c>
      <c r="E14" s="269">
        <f t="shared" si="4"/>
        <v>31.487219101070291</v>
      </c>
      <c r="F14" s="80">
        <f t="shared" si="0"/>
        <v>0.69296178135312603</v>
      </c>
      <c r="G14" s="361">
        <f t="shared" si="5"/>
        <v>0</v>
      </c>
      <c r="H14" s="361">
        <f t="shared" si="6"/>
        <v>0</v>
      </c>
      <c r="I14" s="361">
        <f t="shared" si="7"/>
        <v>0</v>
      </c>
      <c r="J14" s="361">
        <f t="shared" si="8"/>
        <v>0</v>
      </c>
      <c r="K14" s="362">
        <f t="shared" si="9"/>
        <v>0</v>
      </c>
      <c r="L14" s="74">
        <f>K14*D14*'B) D RI'!S16</f>
        <v>0</v>
      </c>
      <c r="M14" s="19">
        <f>(('B) D RI'!S16*C14)-(L14*$M$4))/'B) D RI'!S16</f>
        <v>35234.198174097655</v>
      </c>
      <c r="N14" s="349">
        <f t="shared" si="10"/>
        <v>31.487219101070291</v>
      </c>
      <c r="O14" s="80">
        <f t="shared" si="3"/>
        <v>0.71412522604618922</v>
      </c>
    </row>
    <row r="15" spans="1:15" x14ac:dyDescent="0.25">
      <c r="A15" s="61">
        <f>'A) Base RI'!A17</f>
        <v>5411</v>
      </c>
      <c r="B15" s="62" t="str">
        <f>'A) Base RI'!B17</f>
        <v>Ormont-Dessus</v>
      </c>
      <c r="C15" s="13">
        <f>'B) D RI'!U17</f>
        <v>71790.213859649128</v>
      </c>
      <c r="D15" s="42">
        <f>'B) D RI'!AR17</f>
        <v>1481</v>
      </c>
      <c r="E15" s="269">
        <f t="shared" si="4"/>
        <v>48.474148453510551</v>
      </c>
      <c r="F15" s="80">
        <f t="shared" si="0"/>
        <v>1.0668053013541217</v>
      </c>
      <c r="G15" s="361">
        <f t="shared" si="5"/>
        <v>0</v>
      </c>
      <c r="H15" s="361">
        <f t="shared" si="6"/>
        <v>0</v>
      </c>
      <c r="I15" s="361">
        <f t="shared" si="7"/>
        <v>0</v>
      </c>
      <c r="J15" s="361">
        <f t="shared" si="8"/>
        <v>0</v>
      </c>
      <c r="K15" s="362">
        <f t="shared" si="9"/>
        <v>0</v>
      </c>
      <c r="L15" s="74">
        <f>K15*D15*'B) D RI'!S17</f>
        <v>0</v>
      </c>
      <c r="M15" s="19">
        <f>(('B) D RI'!S17*C15)-(L15*$M$4))/'B) D RI'!S17</f>
        <v>71790.213859649128</v>
      </c>
      <c r="N15" s="349">
        <f t="shared" si="10"/>
        <v>48.474148453510551</v>
      </c>
      <c r="O15" s="80">
        <f t="shared" si="3"/>
        <v>1.0993861385676671</v>
      </c>
    </row>
    <row r="16" spans="1:15" x14ac:dyDescent="0.25">
      <c r="A16" s="61">
        <f>'A) Base RI'!A18</f>
        <v>5412</v>
      </c>
      <c r="B16" s="62" t="str">
        <f>'A) Base RI'!B18</f>
        <v>Rennaz</v>
      </c>
      <c r="C16" s="13">
        <f>'B) D RI'!U18</f>
        <v>26501.739703703701</v>
      </c>
      <c r="D16" s="42">
        <f>'B) D RI'!AR18</f>
        <v>843</v>
      </c>
      <c r="E16" s="269">
        <f t="shared" si="4"/>
        <v>31.43741364614911</v>
      </c>
      <c r="F16" s="80">
        <f t="shared" si="0"/>
        <v>0.6918656770368794</v>
      </c>
      <c r="G16" s="361">
        <f t="shared" si="5"/>
        <v>0</v>
      </c>
      <c r="H16" s="361">
        <f t="shared" si="6"/>
        <v>0</v>
      </c>
      <c r="I16" s="361">
        <f t="shared" si="7"/>
        <v>0</v>
      </c>
      <c r="J16" s="361">
        <f t="shared" si="8"/>
        <v>0</v>
      </c>
      <c r="K16" s="362">
        <f t="shared" si="9"/>
        <v>0</v>
      </c>
      <c r="L16" s="74">
        <f>K16*D16*'B) D RI'!S18</f>
        <v>0</v>
      </c>
      <c r="M16" s="19">
        <f>(('B) D RI'!S18*C16)-(L16*$M$4))/'B) D RI'!S18</f>
        <v>26501.739703703701</v>
      </c>
      <c r="N16" s="349">
        <f t="shared" si="10"/>
        <v>31.43741364614911</v>
      </c>
      <c r="O16" s="80">
        <f t="shared" si="3"/>
        <v>0.71299564608424493</v>
      </c>
    </row>
    <row r="17" spans="1:15" x14ac:dyDescent="0.25">
      <c r="A17" s="61">
        <f>'A) Base RI'!A19</f>
        <v>5413</v>
      </c>
      <c r="B17" s="62" t="str">
        <f>'A) Base RI'!B19</f>
        <v>Roche</v>
      </c>
      <c r="C17" s="13">
        <f>'B) D RI'!U19</f>
        <v>34861.221617647054</v>
      </c>
      <c r="D17" s="42">
        <f>'B) D RI'!AR19</f>
        <v>1507</v>
      </c>
      <c r="E17" s="269">
        <f t="shared" si="4"/>
        <v>23.132861060150667</v>
      </c>
      <c r="F17" s="80">
        <f t="shared" si="0"/>
        <v>0.50910144070142671</v>
      </c>
      <c r="G17" s="361">
        <f t="shared" si="5"/>
        <v>0</v>
      </c>
      <c r="H17" s="361">
        <f t="shared" si="6"/>
        <v>0</v>
      </c>
      <c r="I17" s="361">
        <f t="shared" si="7"/>
        <v>0</v>
      </c>
      <c r="J17" s="361">
        <f t="shared" si="8"/>
        <v>0</v>
      </c>
      <c r="K17" s="362">
        <f t="shared" si="9"/>
        <v>0</v>
      </c>
      <c r="L17" s="74">
        <f>K17*D17*'B) D RI'!S19</f>
        <v>0</v>
      </c>
      <c r="M17" s="19">
        <f>(('B) D RI'!S19*C17)-(L17*$M$4))/'B) D RI'!S19</f>
        <v>34861.221617647054</v>
      </c>
      <c r="N17" s="349">
        <f t="shared" si="10"/>
        <v>23.132861060150667</v>
      </c>
      <c r="O17" s="80">
        <f t="shared" si="3"/>
        <v>0.52464968661248512</v>
      </c>
    </row>
    <row r="18" spans="1:15" x14ac:dyDescent="0.25">
      <c r="A18" s="61">
        <f>'A) Base RI'!A20</f>
        <v>5414</v>
      </c>
      <c r="B18" s="62" t="str">
        <f>'A) Base RI'!B20</f>
        <v>Villeneuve</v>
      </c>
      <c r="C18" s="13">
        <f>'B) D RI'!U20</f>
        <v>168009.32057971013</v>
      </c>
      <c r="D18" s="42">
        <f>'B) D RI'!AR20</f>
        <v>5428</v>
      </c>
      <c r="E18" s="269">
        <f t="shared" si="4"/>
        <v>30.952343511368852</v>
      </c>
      <c r="F18" s="80">
        <f t="shared" si="0"/>
        <v>0.68119039118201963</v>
      </c>
      <c r="G18" s="361">
        <f t="shared" si="5"/>
        <v>0</v>
      </c>
      <c r="H18" s="361">
        <f t="shared" si="6"/>
        <v>0</v>
      </c>
      <c r="I18" s="361">
        <f t="shared" si="7"/>
        <v>0</v>
      </c>
      <c r="J18" s="361">
        <f t="shared" si="8"/>
        <v>0</v>
      </c>
      <c r="K18" s="362">
        <f t="shared" si="9"/>
        <v>0</v>
      </c>
      <c r="L18" s="74">
        <f>K18*D18*'B) D RI'!S20</f>
        <v>0</v>
      </c>
      <c r="M18" s="19">
        <f>(('B) D RI'!S20*C18)-(L18*$M$4))/'B) D RI'!S20</f>
        <v>168009.32057971013</v>
      </c>
      <c r="N18" s="349">
        <f t="shared" si="10"/>
        <v>30.952343511368852</v>
      </c>
      <c r="O18" s="80">
        <f t="shared" si="3"/>
        <v>0.70199433096218533</v>
      </c>
    </row>
    <row r="19" spans="1:15" x14ac:dyDescent="0.25">
      <c r="A19" s="61">
        <f>'A) Base RI'!A21</f>
        <v>5415</v>
      </c>
      <c r="B19" s="62" t="str">
        <f>'A) Base RI'!B21</f>
        <v>Yvorne</v>
      </c>
      <c r="C19" s="13">
        <f>'B) D RI'!U21</f>
        <v>43055.973722627736</v>
      </c>
      <c r="D19" s="42">
        <f>'B) D RI'!AR21</f>
        <v>1032</v>
      </c>
      <c r="E19" s="269">
        <f t="shared" si="4"/>
        <v>41.720904769988117</v>
      </c>
      <c r="F19" s="80">
        <f t="shared" si="0"/>
        <v>0.91818183105577511</v>
      </c>
      <c r="G19" s="361">
        <f t="shared" si="5"/>
        <v>0</v>
      </c>
      <c r="H19" s="361">
        <f t="shared" si="6"/>
        <v>0</v>
      </c>
      <c r="I19" s="361">
        <f t="shared" si="7"/>
        <v>0</v>
      </c>
      <c r="J19" s="361">
        <f t="shared" si="8"/>
        <v>0</v>
      </c>
      <c r="K19" s="362">
        <f t="shared" si="9"/>
        <v>0</v>
      </c>
      <c r="L19" s="74">
        <f>K19*D19*'B) D RI'!S21</f>
        <v>0</v>
      </c>
      <c r="M19" s="19">
        <f>(('B) D RI'!S21*C19)-(L19*$M$4))/'B) D RI'!S21</f>
        <v>43055.973722627736</v>
      </c>
      <c r="N19" s="349">
        <f t="shared" si="10"/>
        <v>41.720904769988117</v>
      </c>
      <c r="O19" s="80">
        <f t="shared" si="3"/>
        <v>0.94622362343540733</v>
      </c>
    </row>
    <row r="20" spans="1:15" x14ac:dyDescent="0.25">
      <c r="A20" s="61">
        <f>'A) Base RI'!A22</f>
        <v>5421</v>
      </c>
      <c r="B20" s="62" t="str">
        <f>'A) Base RI'!B22</f>
        <v>Apples</v>
      </c>
      <c r="C20" s="13">
        <f>'B) D RI'!U22</f>
        <v>57391.691408450701</v>
      </c>
      <c r="D20" s="42">
        <f>'B) D RI'!AR22</f>
        <v>1363</v>
      </c>
      <c r="E20" s="269">
        <f t="shared" si="4"/>
        <v>42.106890248313057</v>
      </c>
      <c r="F20" s="80">
        <f t="shared" si="0"/>
        <v>0.92667648991332396</v>
      </c>
      <c r="G20" s="361">
        <f t="shared" si="5"/>
        <v>0</v>
      </c>
      <c r="H20" s="361">
        <f t="shared" si="6"/>
        <v>0</v>
      </c>
      <c r="I20" s="361">
        <f t="shared" si="7"/>
        <v>0</v>
      </c>
      <c r="J20" s="361">
        <f t="shared" si="8"/>
        <v>0</v>
      </c>
      <c r="K20" s="362">
        <f t="shared" si="9"/>
        <v>0</v>
      </c>
      <c r="L20" s="74">
        <f>K20*D20*'B) D RI'!S22</f>
        <v>0</v>
      </c>
      <c r="M20" s="19">
        <f>(('B) D RI'!S22*C20)-(L20*$M$4))/'B) D RI'!S22</f>
        <v>57391.691408450701</v>
      </c>
      <c r="N20" s="349">
        <f t="shared" si="10"/>
        <v>42.106890248313057</v>
      </c>
      <c r="O20" s="80">
        <f t="shared" si="3"/>
        <v>0.95497771397844844</v>
      </c>
    </row>
    <row r="21" spans="1:15" x14ac:dyDescent="0.25">
      <c r="A21" s="61">
        <f>'A) Base RI'!A23</f>
        <v>5422</v>
      </c>
      <c r="B21" s="62" t="str">
        <f>'A) Base RI'!B23</f>
        <v>Aubonne</v>
      </c>
      <c r="C21" s="13">
        <f>'B) D RI'!U23</f>
        <v>231550.9032352941</v>
      </c>
      <c r="D21" s="42">
        <f>'B) D RI'!AR23</f>
        <v>3227</v>
      </c>
      <c r="E21" s="269">
        <f t="shared" si="4"/>
        <v>71.754230937494299</v>
      </c>
      <c r="F21" s="80">
        <f t="shared" si="0"/>
        <v>1.5791467493672531</v>
      </c>
      <c r="G21" s="361">
        <f t="shared" si="5"/>
        <v>17.227900715496553</v>
      </c>
      <c r="H21" s="361">
        <f t="shared" si="6"/>
        <v>3.5963181599971108</v>
      </c>
      <c r="I21" s="361">
        <f t="shared" si="7"/>
        <v>0</v>
      </c>
      <c r="J21" s="361">
        <f t="shared" si="8"/>
        <v>0</v>
      </c>
      <c r="K21" s="362">
        <f t="shared" si="9"/>
        <v>6.5616760735784698</v>
      </c>
      <c r="L21" s="74">
        <f>K21*D21*'B) D RI'!S23</f>
        <v>1439867.950881765</v>
      </c>
      <c r="M21" s="19">
        <f>(('B) D RI'!S23*C21)-(L21*$M$4))/'B) D RI'!S23</f>
        <v>217787.45958715957</v>
      </c>
      <c r="N21" s="349">
        <f t="shared" si="10"/>
        <v>67.489141489668285</v>
      </c>
      <c r="O21" s="80">
        <f t="shared" si="3"/>
        <v>1.5306432196273052</v>
      </c>
    </row>
    <row r="22" spans="1:15" x14ac:dyDescent="0.25">
      <c r="A22" s="61">
        <f>'A) Base RI'!A24</f>
        <v>5423</v>
      </c>
      <c r="B22" s="62" t="str">
        <f>'A) Base RI'!B24</f>
        <v>Ballens</v>
      </c>
      <c r="C22" s="13">
        <f>'B) D RI'!U24</f>
        <v>18689.408115942024</v>
      </c>
      <c r="D22" s="42">
        <f>'B) D RI'!AR24</f>
        <v>509</v>
      </c>
      <c r="E22" s="269">
        <f t="shared" si="4"/>
        <v>36.717894137410653</v>
      </c>
      <c r="F22" s="80">
        <f t="shared" si="0"/>
        <v>0.80807699299588864</v>
      </c>
      <c r="G22" s="361">
        <f t="shared" si="5"/>
        <v>0</v>
      </c>
      <c r="H22" s="361">
        <f t="shared" si="6"/>
        <v>0</v>
      </c>
      <c r="I22" s="361">
        <f t="shared" si="7"/>
        <v>0</v>
      </c>
      <c r="J22" s="361">
        <f t="shared" si="8"/>
        <v>0</v>
      </c>
      <c r="K22" s="362">
        <f t="shared" si="9"/>
        <v>0</v>
      </c>
      <c r="L22" s="74">
        <f>K22*D22*'B) D RI'!S24</f>
        <v>0</v>
      </c>
      <c r="M22" s="19">
        <f>(('B) D RI'!S24*C22)-(L22*$M$4))/'B) D RI'!S24</f>
        <v>18689.408115942024</v>
      </c>
      <c r="N22" s="349">
        <f t="shared" si="10"/>
        <v>36.717894137410653</v>
      </c>
      <c r="O22" s="80">
        <f t="shared" si="3"/>
        <v>0.83275612135360466</v>
      </c>
    </row>
    <row r="23" spans="1:15" x14ac:dyDescent="0.25">
      <c r="A23" s="61">
        <f>'A) Base RI'!A25</f>
        <v>5424</v>
      </c>
      <c r="B23" s="62" t="str">
        <f>'A) Base RI'!B25</f>
        <v>Berolle</v>
      </c>
      <c r="C23" s="13">
        <f>'B) D RI'!U25</f>
        <v>9360.1262337662338</v>
      </c>
      <c r="D23" s="42">
        <f>'B) D RI'!AR25</f>
        <v>292</v>
      </c>
      <c r="E23" s="269">
        <f t="shared" si="4"/>
        <v>32.055226827966557</v>
      </c>
      <c r="F23" s="80">
        <f t="shared" si="0"/>
        <v>0.70546233419613646</v>
      </c>
      <c r="G23" s="361">
        <f t="shared" si="5"/>
        <v>0</v>
      </c>
      <c r="H23" s="361">
        <f t="shared" si="6"/>
        <v>0</v>
      </c>
      <c r="I23" s="361">
        <f t="shared" si="7"/>
        <v>0</v>
      </c>
      <c r="J23" s="361">
        <f t="shared" si="8"/>
        <v>0</v>
      </c>
      <c r="K23" s="362">
        <f t="shared" si="9"/>
        <v>0</v>
      </c>
      <c r="L23" s="74">
        <f>K23*D23*'B) D RI'!S25</f>
        <v>0</v>
      </c>
      <c r="M23" s="19">
        <f>(('B) D RI'!S25*C23)-(L23*$M$4))/'B) D RI'!S25</f>
        <v>9360.1262337662338</v>
      </c>
      <c r="N23" s="349">
        <f t="shared" si="10"/>
        <v>32.055226827966557</v>
      </c>
      <c r="O23" s="80">
        <f t="shared" si="3"/>
        <v>0.72700755284246044</v>
      </c>
    </row>
    <row r="24" spans="1:15" x14ac:dyDescent="0.25">
      <c r="A24" s="61">
        <f>'A) Base RI'!A26</f>
        <v>5425</v>
      </c>
      <c r="B24" s="62" t="str">
        <f>'A) Base RI'!B26</f>
        <v>Bière</v>
      </c>
      <c r="C24" s="13">
        <f>'B) D RI'!U26</f>
        <v>40787.403970588231</v>
      </c>
      <c r="D24" s="42">
        <f>'B) D RI'!AR26</f>
        <v>1550</v>
      </c>
      <c r="E24" s="269">
        <f t="shared" si="4"/>
        <v>26.314454174573054</v>
      </c>
      <c r="F24" s="80">
        <f t="shared" si="0"/>
        <v>0.57912103897188938</v>
      </c>
      <c r="G24" s="361">
        <f t="shared" si="5"/>
        <v>0</v>
      </c>
      <c r="H24" s="361">
        <f t="shared" si="6"/>
        <v>0</v>
      </c>
      <c r="I24" s="361">
        <f t="shared" si="7"/>
        <v>0</v>
      </c>
      <c r="J24" s="361">
        <f t="shared" si="8"/>
        <v>0</v>
      </c>
      <c r="K24" s="362">
        <f t="shared" si="9"/>
        <v>0</v>
      </c>
      <c r="L24" s="74">
        <f>K24*D24*'B) D RI'!S26</f>
        <v>0</v>
      </c>
      <c r="M24" s="19">
        <f>(('B) D RI'!S26*C24)-(L24*$M$4))/'B) D RI'!S26</f>
        <v>40787.403970588231</v>
      </c>
      <c r="N24" s="349">
        <f t="shared" si="10"/>
        <v>26.314454174573054</v>
      </c>
      <c r="O24" s="80">
        <f t="shared" si="3"/>
        <v>0.59680772301229712</v>
      </c>
    </row>
    <row r="25" spans="1:15" x14ac:dyDescent="0.25">
      <c r="A25" s="61">
        <f>'A) Base RI'!A27</f>
        <v>5426</v>
      </c>
      <c r="B25" s="62" t="str">
        <f>'A) Base RI'!B27</f>
        <v>Bougy-Villars</v>
      </c>
      <c r="C25" s="13">
        <f>'B) D RI'!U27</f>
        <v>42113.452258064506</v>
      </c>
      <c r="D25" s="42">
        <f>'B) D RI'!AR27</f>
        <v>481</v>
      </c>
      <c r="E25" s="269">
        <f t="shared" si="4"/>
        <v>87.553954798470912</v>
      </c>
      <c r="F25" s="80">
        <f t="shared" si="0"/>
        <v>1.9268625878617898</v>
      </c>
      <c r="G25" s="361">
        <f t="shared" si="5"/>
        <v>33.027624576473166</v>
      </c>
      <c r="H25" s="361">
        <f t="shared" si="6"/>
        <v>19.396042020973724</v>
      </c>
      <c r="I25" s="361">
        <f t="shared" si="7"/>
        <v>0</v>
      </c>
      <c r="J25" s="361">
        <f t="shared" si="8"/>
        <v>0</v>
      </c>
      <c r="K25" s="362">
        <f t="shared" si="9"/>
        <v>13.829549049627712</v>
      </c>
      <c r="L25" s="74">
        <f>K25*D25*'B) D RI'!S27</f>
        <v>412424.81175799761</v>
      </c>
      <c r="M25" s="19">
        <f>(('B) D RI'!S27*C25)-(L25*$M$4))/'B) D RI'!S27</f>
        <v>37789.643747698407</v>
      </c>
      <c r="N25" s="349">
        <f t="shared" si="10"/>
        <v>78.564747916212909</v>
      </c>
      <c r="O25" s="80">
        <f t="shared" si="3"/>
        <v>1.7818362486962316</v>
      </c>
    </row>
    <row r="26" spans="1:15" x14ac:dyDescent="0.25">
      <c r="A26" s="61">
        <f>'A) Base RI'!A28</f>
        <v>5427</v>
      </c>
      <c r="B26" s="62" t="str">
        <f>'A) Base RI'!B28</f>
        <v>Féchy</v>
      </c>
      <c r="C26" s="13">
        <f>'B) D RI'!U28</f>
        <v>64357.078870192301</v>
      </c>
      <c r="D26" s="42">
        <f>'B) D RI'!AR28</f>
        <v>860</v>
      </c>
      <c r="E26" s="269">
        <f t="shared" si="4"/>
        <v>74.833812639758492</v>
      </c>
      <c r="F26" s="80">
        <f t="shared" si="0"/>
        <v>1.6469213094315602</v>
      </c>
      <c r="G26" s="361">
        <f t="shared" si="5"/>
        <v>20.307482417760745</v>
      </c>
      <c r="H26" s="361">
        <f t="shared" si="6"/>
        <v>6.6758998622613035</v>
      </c>
      <c r="I26" s="361">
        <f t="shared" si="7"/>
        <v>0</v>
      </c>
      <c r="J26" s="361">
        <f t="shared" si="8"/>
        <v>0</v>
      </c>
      <c r="K26" s="362">
        <f t="shared" si="9"/>
        <v>7.9782836566199986</v>
      </c>
      <c r="L26" s="74">
        <f>K26*D26*'B) D RI'!S28</f>
        <v>439124.7324603647</v>
      </c>
      <c r="M26" s="19">
        <f>(('B) D RI'!S28*C26)-(L26*$M$4))/'B) D RI'!S28</f>
        <v>59897.218306141724</v>
      </c>
      <c r="N26" s="349">
        <f t="shared" si="10"/>
        <v>69.647928262955489</v>
      </c>
      <c r="O26" s="80">
        <f t="shared" si="3"/>
        <v>1.5796041674808057</v>
      </c>
    </row>
    <row r="27" spans="1:15" x14ac:dyDescent="0.25">
      <c r="A27" s="61">
        <f>'A) Base RI'!A29</f>
        <v>5428</v>
      </c>
      <c r="B27" s="62" t="str">
        <f>'A) Base RI'!B29</f>
        <v>Gimel</v>
      </c>
      <c r="C27" s="13">
        <f>'B) D RI'!U29</f>
        <v>57546.053752913758</v>
      </c>
      <c r="D27" s="42">
        <f>'B) D RI'!AR29</f>
        <v>1907</v>
      </c>
      <c r="E27" s="269">
        <f t="shared" si="4"/>
        <v>30.176221160416233</v>
      </c>
      <c r="F27" s="80">
        <f t="shared" si="0"/>
        <v>0.66410971075934544</v>
      </c>
      <c r="G27" s="361">
        <f t="shared" si="5"/>
        <v>0</v>
      </c>
      <c r="H27" s="361">
        <f t="shared" si="6"/>
        <v>0</v>
      </c>
      <c r="I27" s="361">
        <f t="shared" si="7"/>
        <v>0</v>
      </c>
      <c r="J27" s="361">
        <f t="shared" si="8"/>
        <v>0</v>
      </c>
      <c r="K27" s="362">
        <f t="shared" si="9"/>
        <v>0</v>
      </c>
      <c r="L27" s="74">
        <f>K27*D27*'B) D RI'!S29</f>
        <v>0</v>
      </c>
      <c r="M27" s="19">
        <f>(('B) D RI'!S29*C27)-(L27*$M$4))/'B) D RI'!S29</f>
        <v>57546.053752913758</v>
      </c>
      <c r="N27" s="349">
        <f t="shared" si="10"/>
        <v>30.176221160416233</v>
      </c>
      <c r="O27" s="80">
        <f t="shared" si="3"/>
        <v>0.68439199689976893</v>
      </c>
    </row>
    <row r="28" spans="1:15" x14ac:dyDescent="0.25">
      <c r="A28" s="61">
        <f>'A) Base RI'!A30</f>
        <v>5429</v>
      </c>
      <c r="B28" s="62" t="str">
        <f>'A) Base RI'!B30</f>
        <v>Longirod</v>
      </c>
      <c r="C28" s="13">
        <f>'B) D RI'!U30</f>
        <v>13645.142716049384</v>
      </c>
      <c r="D28" s="42">
        <f>'B) D RI'!AR30</f>
        <v>463</v>
      </c>
      <c r="E28" s="269">
        <f t="shared" si="4"/>
        <v>29.471150574620701</v>
      </c>
      <c r="F28" s="80">
        <f t="shared" si="0"/>
        <v>0.64859271741851543</v>
      </c>
      <c r="G28" s="361">
        <f t="shared" si="5"/>
        <v>0</v>
      </c>
      <c r="H28" s="361">
        <f t="shared" si="6"/>
        <v>0</v>
      </c>
      <c r="I28" s="361">
        <f t="shared" si="7"/>
        <v>0</v>
      </c>
      <c r="J28" s="361">
        <f t="shared" si="8"/>
        <v>0</v>
      </c>
      <c r="K28" s="362">
        <f t="shared" si="9"/>
        <v>0</v>
      </c>
      <c r="L28" s="74">
        <f>K28*D28*'B) D RI'!S30</f>
        <v>0</v>
      </c>
      <c r="M28" s="19">
        <f>(('B) D RI'!S30*C28)-(L28*$M$4))/'B) D RI'!S30</f>
        <v>13645.142716049384</v>
      </c>
      <c r="N28" s="349">
        <f t="shared" si="10"/>
        <v>29.471150574620701</v>
      </c>
      <c r="O28" s="80">
        <f t="shared" si="3"/>
        <v>0.66840110580698775</v>
      </c>
    </row>
    <row r="29" spans="1:15" x14ac:dyDescent="0.25">
      <c r="A29" s="61">
        <f>'A) Base RI'!A31</f>
        <v>5430</v>
      </c>
      <c r="B29" s="62" t="str">
        <f>'A) Base RI'!B31</f>
        <v>Marchissy</v>
      </c>
      <c r="C29" s="13">
        <f>'B) D RI'!U31</f>
        <v>12901.686543209877</v>
      </c>
      <c r="D29" s="42">
        <f>'B) D RI'!AR31</f>
        <v>448</v>
      </c>
      <c r="E29" s="269">
        <f t="shared" si="4"/>
        <v>28.798407462522047</v>
      </c>
      <c r="F29" s="80">
        <f t="shared" si="0"/>
        <v>0.63378717794370409</v>
      </c>
      <c r="G29" s="361">
        <f t="shared" si="5"/>
        <v>0</v>
      </c>
      <c r="H29" s="361">
        <f t="shared" si="6"/>
        <v>0</v>
      </c>
      <c r="I29" s="361">
        <f t="shared" si="7"/>
        <v>0</v>
      </c>
      <c r="J29" s="361">
        <f t="shared" si="8"/>
        <v>0</v>
      </c>
      <c r="K29" s="362">
        <f t="shared" si="9"/>
        <v>0</v>
      </c>
      <c r="L29" s="74">
        <f>K29*D29*'B) D RI'!S31</f>
        <v>0</v>
      </c>
      <c r="M29" s="19">
        <f>(('B) D RI'!S31*C29)-(L29*$M$4))/'B) D RI'!S31</f>
        <v>12901.686543209877</v>
      </c>
      <c r="N29" s="349">
        <f t="shared" si="10"/>
        <v>28.798407462522047</v>
      </c>
      <c r="O29" s="80">
        <f t="shared" si="3"/>
        <v>0.65314339678364186</v>
      </c>
    </row>
    <row r="30" spans="1:15" x14ac:dyDescent="0.25">
      <c r="A30" s="61">
        <f>'A) Base RI'!A32</f>
        <v>5431</v>
      </c>
      <c r="B30" s="62" t="str">
        <f>'A) Base RI'!B32</f>
        <v>Mollens</v>
      </c>
      <c r="C30" s="13">
        <f>'B) D RI'!U32</f>
        <v>8965.3154054054066</v>
      </c>
      <c r="D30" s="42">
        <f>'B) D RI'!AR32</f>
        <v>294</v>
      </c>
      <c r="E30" s="269">
        <f t="shared" si="4"/>
        <v>30.494270086412946</v>
      </c>
      <c r="F30" s="80">
        <f t="shared" si="0"/>
        <v>0.67110924125483584</v>
      </c>
      <c r="G30" s="361">
        <f t="shared" si="5"/>
        <v>0</v>
      </c>
      <c r="H30" s="361">
        <f t="shared" si="6"/>
        <v>0</v>
      </c>
      <c r="I30" s="361">
        <f t="shared" si="7"/>
        <v>0</v>
      </c>
      <c r="J30" s="361">
        <f t="shared" si="8"/>
        <v>0</v>
      </c>
      <c r="K30" s="362">
        <f t="shared" si="9"/>
        <v>0</v>
      </c>
      <c r="L30" s="74">
        <f>K30*D30*'B) D RI'!S32</f>
        <v>0</v>
      </c>
      <c r="M30" s="19">
        <f>(('B) D RI'!S32*C30)-(L30*$M$4))/'B) D RI'!S32</f>
        <v>8965.3154054054066</v>
      </c>
      <c r="N30" s="349">
        <f t="shared" si="10"/>
        <v>30.494270086412946</v>
      </c>
      <c r="O30" s="80">
        <f t="shared" si="3"/>
        <v>0.6916052970150347</v>
      </c>
    </row>
    <row r="31" spans="1:15" x14ac:dyDescent="0.25">
      <c r="A31" s="61">
        <f>'A) Base RI'!A33</f>
        <v>5432</v>
      </c>
      <c r="B31" s="62" t="str">
        <f>'A) Base RI'!B33</f>
        <v>Montherod</v>
      </c>
      <c r="C31" s="13">
        <f>'B) D RI'!U33</f>
        <v>18938.674054054052</v>
      </c>
      <c r="D31" s="42">
        <f>'B) D RI'!AR33</f>
        <v>518</v>
      </c>
      <c r="E31" s="269">
        <f t="shared" si="4"/>
        <v>36.561146822498173</v>
      </c>
      <c r="F31" s="80">
        <f t="shared" si="0"/>
        <v>0.80462734257692292</v>
      </c>
      <c r="G31" s="361">
        <f t="shared" si="5"/>
        <v>0</v>
      </c>
      <c r="H31" s="361">
        <f t="shared" si="6"/>
        <v>0</v>
      </c>
      <c r="I31" s="361">
        <f t="shared" si="7"/>
        <v>0</v>
      </c>
      <c r="J31" s="361">
        <f t="shared" si="8"/>
        <v>0</v>
      </c>
      <c r="K31" s="362">
        <f t="shared" si="9"/>
        <v>0</v>
      </c>
      <c r="L31" s="74">
        <f>K31*D31*'B) D RI'!S33</f>
        <v>0</v>
      </c>
      <c r="M31" s="19">
        <f>(('B) D RI'!S33*C31)-(L31*$M$4))/'B) D RI'!S33</f>
        <v>18938.674054054052</v>
      </c>
      <c r="N31" s="349">
        <f t="shared" si="10"/>
        <v>36.561146822498173</v>
      </c>
      <c r="O31" s="80">
        <f t="shared" si="3"/>
        <v>0.82920111665996366</v>
      </c>
    </row>
    <row r="32" spans="1:15" x14ac:dyDescent="0.25">
      <c r="A32" s="61">
        <f>'A) Base RI'!A34</f>
        <v>5434</v>
      </c>
      <c r="B32" s="62" t="str">
        <f>'A) Base RI'!B34</f>
        <v>Saint-George</v>
      </c>
      <c r="C32" s="13">
        <f>'B) D RI'!U34</f>
        <v>33015.772116788328</v>
      </c>
      <c r="D32" s="42">
        <f>'B) D RI'!AR34</f>
        <v>949</v>
      </c>
      <c r="E32" s="269">
        <f t="shared" si="4"/>
        <v>34.79006545499297</v>
      </c>
      <c r="F32" s="80">
        <f t="shared" si="0"/>
        <v>0.76564988650472188</v>
      </c>
      <c r="G32" s="361">
        <f t="shared" si="5"/>
        <v>0</v>
      </c>
      <c r="H32" s="361">
        <f t="shared" si="6"/>
        <v>0</v>
      </c>
      <c r="I32" s="361">
        <f t="shared" si="7"/>
        <v>0</v>
      </c>
      <c r="J32" s="361">
        <f t="shared" si="8"/>
        <v>0</v>
      </c>
      <c r="K32" s="362">
        <f t="shared" si="9"/>
        <v>0</v>
      </c>
      <c r="L32" s="74">
        <f>K32*D32*'B) D RI'!S34</f>
        <v>0</v>
      </c>
      <c r="M32" s="19">
        <f>(('B) D RI'!S34*C32)-(L32*$M$4))/'B) D RI'!S34</f>
        <v>33015.772116788328</v>
      </c>
      <c r="N32" s="349">
        <f t="shared" si="10"/>
        <v>34.79006545499297</v>
      </c>
      <c r="O32" s="80">
        <f t="shared" si="3"/>
        <v>0.78903326703640464</v>
      </c>
    </row>
    <row r="33" spans="1:15" x14ac:dyDescent="0.25">
      <c r="A33" s="61">
        <f>'A) Base RI'!A35</f>
        <v>5435</v>
      </c>
      <c r="B33" s="62" t="str">
        <f>'A) Base RI'!B35</f>
        <v>Saint-Livres</v>
      </c>
      <c r="C33" s="13">
        <f>'B) D RI'!U35</f>
        <v>24335.25550724638</v>
      </c>
      <c r="D33" s="42">
        <f>'B) D RI'!AR35</f>
        <v>713</v>
      </c>
      <c r="E33" s="269">
        <f t="shared" si="4"/>
        <v>34.130793137792956</v>
      </c>
      <c r="F33" s="80">
        <f t="shared" si="0"/>
        <v>0.75114080846079279</v>
      </c>
      <c r="G33" s="361">
        <f t="shared" si="5"/>
        <v>0</v>
      </c>
      <c r="H33" s="361">
        <f t="shared" si="6"/>
        <v>0</v>
      </c>
      <c r="I33" s="361">
        <f t="shared" si="7"/>
        <v>0</v>
      </c>
      <c r="J33" s="361">
        <f t="shared" si="8"/>
        <v>0</v>
      </c>
      <c r="K33" s="362">
        <f t="shared" si="9"/>
        <v>0</v>
      </c>
      <c r="L33" s="74">
        <f>K33*D33*'B) D RI'!S35</f>
        <v>0</v>
      </c>
      <c r="M33" s="19">
        <f>(('B) D RI'!S35*C33)-(L33*$M$4))/'B) D RI'!S35</f>
        <v>24335.25550724638</v>
      </c>
      <c r="N33" s="349">
        <f t="shared" si="10"/>
        <v>34.130793137792956</v>
      </c>
      <c r="O33" s="80">
        <f t="shared" si="3"/>
        <v>0.77408107354369782</v>
      </c>
    </row>
    <row r="34" spans="1:15" x14ac:dyDescent="0.25">
      <c r="A34" s="61">
        <f>'A) Base RI'!A36</f>
        <v>5436</v>
      </c>
      <c r="B34" s="62" t="str">
        <f>'A) Base RI'!B36</f>
        <v>Saint-Oyens</v>
      </c>
      <c r="C34" s="13">
        <f>'B) D RI'!U36</f>
        <v>9937.7678395061721</v>
      </c>
      <c r="D34" s="42">
        <f>'B) D RI'!AR36</f>
        <v>345</v>
      </c>
      <c r="E34" s="269">
        <f t="shared" si="4"/>
        <v>28.805124172481658</v>
      </c>
      <c r="F34" s="80">
        <f t="shared" si="0"/>
        <v>0.63393499739017556</v>
      </c>
      <c r="G34" s="361">
        <f t="shared" si="5"/>
        <v>0</v>
      </c>
      <c r="H34" s="361">
        <f t="shared" si="6"/>
        <v>0</v>
      </c>
      <c r="I34" s="361">
        <f t="shared" si="7"/>
        <v>0</v>
      </c>
      <c r="J34" s="361">
        <f t="shared" si="8"/>
        <v>0</v>
      </c>
      <c r="K34" s="362">
        <f t="shared" si="9"/>
        <v>0</v>
      </c>
      <c r="L34" s="74">
        <f>K34*D34*'B) D RI'!S36</f>
        <v>0</v>
      </c>
      <c r="M34" s="19">
        <f>(('B) D RI'!S36*C34)-(L34*$M$4))/'B) D RI'!S36</f>
        <v>9937.7678395061721</v>
      </c>
      <c r="N34" s="349">
        <f t="shared" si="10"/>
        <v>28.805124172481658</v>
      </c>
      <c r="O34" s="80">
        <f t="shared" si="3"/>
        <v>0.65329573071960478</v>
      </c>
    </row>
    <row r="35" spans="1:15" x14ac:dyDescent="0.25">
      <c r="A35" s="61">
        <f>'A) Base RI'!A37</f>
        <v>5437</v>
      </c>
      <c r="B35" s="62" t="str">
        <f>'A) Base RI'!B37</f>
        <v>Saubraz</v>
      </c>
      <c r="C35" s="13">
        <f>'B) D RI'!U37</f>
        <v>9144.65614457831</v>
      </c>
      <c r="D35" s="42">
        <f>'B) D RI'!AR37</f>
        <v>391</v>
      </c>
      <c r="E35" s="269">
        <f t="shared" si="4"/>
        <v>23.387867377438134</v>
      </c>
      <c r="F35" s="80">
        <f t="shared" si="0"/>
        <v>0.51471354735703856</v>
      </c>
      <c r="G35" s="361">
        <f t="shared" si="5"/>
        <v>0</v>
      </c>
      <c r="H35" s="361">
        <f t="shared" si="6"/>
        <v>0</v>
      </c>
      <c r="I35" s="361">
        <f t="shared" si="7"/>
        <v>0</v>
      </c>
      <c r="J35" s="361">
        <f t="shared" si="8"/>
        <v>0</v>
      </c>
      <c r="K35" s="362">
        <f t="shared" si="9"/>
        <v>0</v>
      </c>
      <c r="L35" s="74">
        <f>K35*D35*'B) D RI'!S37</f>
        <v>0</v>
      </c>
      <c r="M35" s="19">
        <f>(('B) D RI'!S37*C35)-(L35*$M$4))/'B) D RI'!S37</f>
        <v>9144.65614457831</v>
      </c>
      <c r="N35" s="349">
        <f t="shared" si="10"/>
        <v>23.387867377438134</v>
      </c>
      <c r="O35" s="80">
        <f t="shared" si="3"/>
        <v>0.5304331901791729</v>
      </c>
    </row>
    <row r="36" spans="1:15" x14ac:dyDescent="0.25">
      <c r="A36" s="61">
        <f>'A) Base RI'!A38</f>
        <v>5451</v>
      </c>
      <c r="B36" s="62" t="str">
        <f>'A) Base RI'!B38</f>
        <v>Avenches</v>
      </c>
      <c r="C36" s="13">
        <f>'B) D RI'!U38</f>
        <v>102028.81651960785</v>
      </c>
      <c r="D36" s="42">
        <f>'B) D RI'!AR38</f>
        <v>4090</v>
      </c>
      <c r="E36" s="269">
        <f t="shared" si="4"/>
        <v>24.945920909439572</v>
      </c>
      <c r="F36" s="80">
        <f t="shared" si="0"/>
        <v>0.54900274728649645</v>
      </c>
      <c r="G36" s="361">
        <f t="shared" si="5"/>
        <v>0</v>
      </c>
      <c r="H36" s="361">
        <f t="shared" si="6"/>
        <v>0</v>
      </c>
      <c r="I36" s="361">
        <f t="shared" si="7"/>
        <v>0</v>
      </c>
      <c r="J36" s="361">
        <f t="shared" si="8"/>
        <v>0</v>
      </c>
      <c r="K36" s="362">
        <f t="shared" si="9"/>
        <v>0</v>
      </c>
      <c r="L36" s="74">
        <f>K36*D36*'B) D RI'!S38</f>
        <v>0</v>
      </c>
      <c r="M36" s="19">
        <f>(('B) D RI'!S38*C36)-(L36*$M$4))/'B) D RI'!S38</f>
        <v>102028.81651960785</v>
      </c>
      <c r="N36" s="349">
        <f t="shared" si="10"/>
        <v>24.945920909439572</v>
      </c>
      <c r="O36" s="80">
        <f t="shared" si="3"/>
        <v>0.56576960166604096</v>
      </c>
    </row>
    <row r="37" spans="1:15" x14ac:dyDescent="0.25">
      <c r="A37" s="61">
        <f>'A) Base RI'!A39</f>
        <v>5456</v>
      </c>
      <c r="B37" s="62" t="str">
        <f>'A) Base RI'!B39</f>
        <v>Cudrefin</v>
      </c>
      <c r="C37" s="13">
        <f>'B) D RI'!U39</f>
        <v>45272.368813559326</v>
      </c>
      <c r="D37" s="42">
        <f>'B) D RI'!AR39</f>
        <v>1516</v>
      </c>
      <c r="E37" s="269">
        <f t="shared" si="4"/>
        <v>29.863040114485042</v>
      </c>
      <c r="F37" s="80">
        <f t="shared" si="0"/>
        <v>0.65721731118674753</v>
      </c>
      <c r="G37" s="361">
        <f t="shared" si="5"/>
        <v>0</v>
      </c>
      <c r="H37" s="361">
        <f t="shared" si="6"/>
        <v>0</v>
      </c>
      <c r="I37" s="361">
        <f t="shared" si="7"/>
        <v>0</v>
      </c>
      <c r="J37" s="361">
        <f t="shared" si="8"/>
        <v>0</v>
      </c>
      <c r="K37" s="362">
        <f t="shared" si="9"/>
        <v>0</v>
      </c>
      <c r="L37" s="74">
        <f>K37*D37*'B) D RI'!S39</f>
        <v>0</v>
      </c>
      <c r="M37" s="19">
        <f>(('B) D RI'!S39*C37)-(L37*$M$4))/'B) D RI'!S39</f>
        <v>45272.368813559326</v>
      </c>
      <c r="N37" s="349">
        <f t="shared" si="10"/>
        <v>29.863040114485042</v>
      </c>
      <c r="O37" s="80">
        <f t="shared" si="3"/>
        <v>0.67728909954636651</v>
      </c>
    </row>
    <row r="38" spans="1:15" x14ac:dyDescent="0.25">
      <c r="A38" s="61">
        <f>'A) Base RI'!A40</f>
        <v>5458</v>
      </c>
      <c r="B38" s="62" t="str">
        <f>'A) Base RI'!B40</f>
        <v>Faoug</v>
      </c>
      <c r="C38" s="13">
        <f>'B) D RI'!U40</f>
        <v>28143.986721311474</v>
      </c>
      <c r="D38" s="42">
        <f>'B) D RI'!AR40</f>
        <v>853</v>
      </c>
      <c r="E38" s="269">
        <f t="shared" si="4"/>
        <v>32.99412276824323</v>
      </c>
      <c r="F38" s="80">
        <f t="shared" si="0"/>
        <v>0.72612528957466416</v>
      </c>
      <c r="G38" s="361">
        <f t="shared" si="5"/>
        <v>0</v>
      </c>
      <c r="H38" s="361">
        <f t="shared" si="6"/>
        <v>0</v>
      </c>
      <c r="I38" s="361">
        <f t="shared" si="7"/>
        <v>0</v>
      </c>
      <c r="J38" s="361">
        <f t="shared" si="8"/>
        <v>0</v>
      </c>
      <c r="K38" s="362">
        <f t="shared" si="9"/>
        <v>0</v>
      </c>
      <c r="L38" s="74">
        <f>K38*D38*'B) D RI'!S40</f>
        <v>0</v>
      </c>
      <c r="M38" s="19">
        <f>(('B) D RI'!S40*C38)-(L38*$M$4))/'B) D RI'!S40</f>
        <v>28143.986721311474</v>
      </c>
      <c r="N38" s="349">
        <f t="shared" si="10"/>
        <v>32.99412276824323</v>
      </c>
      <c r="O38" s="80">
        <f t="shared" si="3"/>
        <v>0.74830156656376545</v>
      </c>
    </row>
    <row r="39" spans="1:15" x14ac:dyDescent="0.25">
      <c r="A39" s="61">
        <f>'A) Base RI'!A41</f>
        <v>5464</v>
      </c>
      <c r="B39" s="62" t="str">
        <f>'A) Base RI'!B41</f>
        <v>Vully-les-Lacs</v>
      </c>
      <c r="C39" s="13">
        <f>'B) D RI'!U41</f>
        <v>96865.968557213928</v>
      </c>
      <c r="D39" s="42">
        <f>'B) D RI'!AR41</f>
        <v>2825</v>
      </c>
      <c r="E39" s="269">
        <f t="shared" si="4"/>
        <v>34.288838427332365</v>
      </c>
      <c r="F39" s="80">
        <f t="shared" si="0"/>
        <v>0.75461902433696004</v>
      </c>
      <c r="G39" s="361">
        <f t="shared" si="5"/>
        <v>0</v>
      </c>
      <c r="H39" s="361">
        <f t="shared" si="6"/>
        <v>0</v>
      </c>
      <c r="I39" s="361">
        <f t="shared" si="7"/>
        <v>0</v>
      </c>
      <c r="J39" s="361">
        <f t="shared" si="8"/>
        <v>0</v>
      </c>
      <c r="K39" s="362">
        <f t="shared" si="9"/>
        <v>0</v>
      </c>
      <c r="L39" s="74">
        <f>K39*D39*'B) D RI'!S41</f>
        <v>0</v>
      </c>
      <c r="M39" s="19">
        <f>(('B) D RI'!S41*C39)-(L39*$M$4))/'B) D RI'!S41</f>
        <v>96865.968557213928</v>
      </c>
      <c r="N39" s="349">
        <f t="shared" si="10"/>
        <v>34.288838427332365</v>
      </c>
      <c r="O39" s="80">
        <f t="shared" si="3"/>
        <v>0.77766551609975798</v>
      </c>
    </row>
    <row r="40" spans="1:15" x14ac:dyDescent="0.25">
      <c r="A40" s="61">
        <f>'A) Base RI'!A42</f>
        <v>5471</v>
      </c>
      <c r="B40" s="62" t="str">
        <f>'A) Base RI'!B42</f>
        <v>Bettens</v>
      </c>
      <c r="C40" s="13">
        <f>'B) D RI'!U42</f>
        <v>18168.257063492067</v>
      </c>
      <c r="D40" s="42">
        <f>'B) D RI'!AR42</f>
        <v>557</v>
      </c>
      <c r="E40" s="269">
        <f t="shared" si="4"/>
        <v>32.618055769285576</v>
      </c>
      <c r="F40" s="80">
        <f t="shared" si="0"/>
        <v>0.71784891379599269</v>
      </c>
      <c r="G40" s="361">
        <f t="shared" si="5"/>
        <v>0</v>
      </c>
      <c r="H40" s="361">
        <f t="shared" si="6"/>
        <v>0</v>
      </c>
      <c r="I40" s="361">
        <f t="shared" si="7"/>
        <v>0</v>
      </c>
      <c r="J40" s="361">
        <f t="shared" si="8"/>
        <v>0</v>
      </c>
      <c r="K40" s="362">
        <f t="shared" si="9"/>
        <v>0</v>
      </c>
      <c r="L40" s="74">
        <f>K40*D40*'B) D RI'!S42</f>
        <v>0</v>
      </c>
      <c r="M40" s="19">
        <f>(('B) D RI'!S42*C40)-(L40*$M$4))/'B) D RI'!S42</f>
        <v>18168.257063492067</v>
      </c>
      <c r="N40" s="349">
        <f t="shared" si="10"/>
        <v>32.618055769285576</v>
      </c>
      <c r="O40" s="80">
        <f t="shared" si="3"/>
        <v>0.73977242558827616</v>
      </c>
    </row>
    <row r="41" spans="1:15" x14ac:dyDescent="0.25">
      <c r="A41" s="61">
        <f>'A) Base RI'!A43</f>
        <v>5472</v>
      </c>
      <c r="B41" s="62" t="str">
        <f>'A) Base RI'!B43</f>
        <v>Bournens</v>
      </c>
      <c r="C41" s="13">
        <f>'B) D RI'!U43</f>
        <v>13213.617875</v>
      </c>
      <c r="D41" s="42">
        <f>'B) D RI'!AR43</f>
        <v>373</v>
      </c>
      <c r="E41" s="269">
        <f t="shared" si="4"/>
        <v>35.425248994638068</v>
      </c>
      <c r="F41" s="80">
        <f t="shared" si="0"/>
        <v>0.77962882556903867</v>
      </c>
      <c r="G41" s="361">
        <f t="shared" si="5"/>
        <v>0</v>
      </c>
      <c r="H41" s="361">
        <f t="shared" si="6"/>
        <v>0</v>
      </c>
      <c r="I41" s="361">
        <f t="shared" si="7"/>
        <v>0</v>
      </c>
      <c r="J41" s="361">
        <f t="shared" si="8"/>
        <v>0</v>
      </c>
      <c r="K41" s="362">
        <f t="shared" si="9"/>
        <v>0</v>
      </c>
      <c r="L41" s="74">
        <f>K41*D41*'B) D RI'!S43</f>
        <v>0</v>
      </c>
      <c r="M41" s="19">
        <f>(('B) D RI'!S43*C41)-(L41*$M$4))/'B) D RI'!S43</f>
        <v>13213.617875</v>
      </c>
      <c r="N41" s="349">
        <f t="shared" si="10"/>
        <v>35.425248994638068</v>
      </c>
      <c r="O41" s="80">
        <f t="shared" si="3"/>
        <v>0.8034391308052522</v>
      </c>
    </row>
    <row r="42" spans="1:15" x14ac:dyDescent="0.25">
      <c r="A42" s="61">
        <f>'A) Base RI'!A44</f>
        <v>5473</v>
      </c>
      <c r="B42" s="62" t="str">
        <f>'A) Base RI'!B44</f>
        <v>Boussens</v>
      </c>
      <c r="C42" s="13">
        <f>'B) D RI'!U44</f>
        <v>33007.750579710155</v>
      </c>
      <c r="D42" s="42">
        <f>'B) D RI'!AR44</f>
        <v>958</v>
      </c>
      <c r="E42" s="269">
        <f t="shared" si="4"/>
        <v>34.454854467338365</v>
      </c>
      <c r="F42" s="80">
        <f t="shared" si="0"/>
        <v>0.75827265822715773</v>
      </c>
      <c r="G42" s="361">
        <f t="shared" si="5"/>
        <v>0</v>
      </c>
      <c r="H42" s="361">
        <f t="shared" si="6"/>
        <v>0</v>
      </c>
      <c r="I42" s="361">
        <f t="shared" si="7"/>
        <v>0</v>
      </c>
      <c r="J42" s="361">
        <f t="shared" si="8"/>
        <v>0</v>
      </c>
      <c r="K42" s="362">
        <f t="shared" si="9"/>
        <v>0</v>
      </c>
      <c r="L42" s="74">
        <f>K42*D42*'B) D RI'!S44</f>
        <v>0</v>
      </c>
      <c r="M42" s="19">
        <f>(('B) D RI'!S44*C42)-(L42*$M$4))/'B) D RI'!S44</f>
        <v>33007.750579710155</v>
      </c>
      <c r="N42" s="349">
        <f t="shared" si="10"/>
        <v>34.454854467338365</v>
      </c>
      <c r="O42" s="80">
        <f t="shared" si="3"/>
        <v>0.78143073403520114</v>
      </c>
    </row>
    <row r="43" spans="1:15" x14ac:dyDescent="0.25">
      <c r="A43" s="61">
        <f>'A) Base RI'!A45</f>
        <v>5474</v>
      </c>
      <c r="B43" s="62" t="str">
        <f>'A) Base RI'!B45</f>
        <v>La Chaux (Cossonay)</v>
      </c>
      <c r="C43" s="13">
        <f>'B) D RI'!U45</f>
        <v>12690.44829004329</v>
      </c>
      <c r="D43" s="42">
        <f>'B) D RI'!AR45</f>
        <v>421</v>
      </c>
      <c r="E43" s="269">
        <f t="shared" si="4"/>
        <v>30.1435826366824</v>
      </c>
      <c r="F43" s="80">
        <f t="shared" si="0"/>
        <v>0.66339141139239488</v>
      </c>
      <c r="G43" s="361">
        <f t="shared" si="5"/>
        <v>0</v>
      </c>
      <c r="H43" s="361">
        <f t="shared" si="6"/>
        <v>0</v>
      </c>
      <c r="I43" s="361">
        <f t="shared" si="7"/>
        <v>0</v>
      </c>
      <c r="J43" s="361">
        <f t="shared" si="8"/>
        <v>0</v>
      </c>
      <c r="K43" s="362">
        <f t="shared" si="9"/>
        <v>0</v>
      </c>
      <c r="L43" s="74">
        <f>K43*D43*'B) D RI'!S45</f>
        <v>0</v>
      </c>
      <c r="M43" s="19">
        <f>(('B) D RI'!S45*C43)-(L43*$M$4))/'B) D RI'!S45</f>
        <v>12690.44829004329</v>
      </c>
      <c r="N43" s="349">
        <f t="shared" si="10"/>
        <v>30.1435826366824</v>
      </c>
      <c r="O43" s="80">
        <f t="shared" si="3"/>
        <v>0.68365176026393193</v>
      </c>
    </row>
    <row r="44" spans="1:15" x14ac:dyDescent="0.25">
      <c r="A44" s="61">
        <f>'A) Base RI'!A46</f>
        <v>5475</v>
      </c>
      <c r="B44" s="62" t="str">
        <f>'A) Base RI'!B46</f>
        <v>Chavannes-le-Veyron</v>
      </c>
      <c r="C44" s="13">
        <f>'B) D RI'!U46</f>
        <v>2750.1545454545449</v>
      </c>
      <c r="D44" s="42">
        <f>'B) D RI'!AR46</f>
        <v>120</v>
      </c>
      <c r="E44" s="269">
        <f t="shared" si="4"/>
        <v>22.917954545454542</v>
      </c>
      <c r="F44" s="80">
        <f t="shared" si="0"/>
        <v>0.50437183912022021</v>
      </c>
      <c r="G44" s="361">
        <f t="shared" si="5"/>
        <v>0</v>
      </c>
      <c r="H44" s="361">
        <f t="shared" si="6"/>
        <v>0</v>
      </c>
      <c r="I44" s="361">
        <f t="shared" si="7"/>
        <v>0</v>
      </c>
      <c r="J44" s="361">
        <f t="shared" si="8"/>
        <v>0</v>
      </c>
      <c r="K44" s="362">
        <f t="shared" si="9"/>
        <v>0</v>
      </c>
      <c r="L44" s="74">
        <f>K44*D44*'B) D RI'!S46</f>
        <v>0</v>
      </c>
      <c r="M44" s="19">
        <f>(('B) D RI'!S46*C44)-(L44*$M$4))/'B) D RI'!S46</f>
        <v>2750.1545454545449</v>
      </c>
      <c r="N44" s="349">
        <f t="shared" si="10"/>
        <v>22.917954545454542</v>
      </c>
      <c r="O44" s="80">
        <f t="shared" si="3"/>
        <v>0.51977564032425794</v>
      </c>
    </row>
    <row r="45" spans="1:15" x14ac:dyDescent="0.25">
      <c r="A45" s="61">
        <f>'A) Base RI'!A47</f>
        <v>5476</v>
      </c>
      <c r="B45" s="62" t="str">
        <f>'A) Base RI'!B47</f>
        <v>Chevilly</v>
      </c>
      <c r="C45" s="13">
        <f>'B) D RI'!U47</f>
        <v>7887.6179729729729</v>
      </c>
      <c r="D45" s="42">
        <f>'B) D RI'!AR47</f>
        <v>286</v>
      </c>
      <c r="E45" s="269">
        <f t="shared" si="4"/>
        <v>27.579083821583822</v>
      </c>
      <c r="F45" s="80">
        <f t="shared" si="0"/>
        <v>0.60695264931930071</v>
      </c>
      <c r="G45" s="361">
        <f t="shared" si="5"/>
        <v>0</v>
      </c>
      <c r="H45" s="361">
        <f t="shared" si="6"/>
        <v>0</v>
      </c>
      <c r="I45" s="361">
        <f t="shared" si="7"/>
        <v>0</v>
      </c>
      <c r="J45" s="361">
        <f t="shared" si="8"/>
        <v>0</v>
      </c>
      <c r="K45" s="362">
        <f t="shared" si="9"/>
        <v>0</v>
      </c>
      <c r="L45" s="74">
        <f>K45*D45*'B) D RI'!S47</f>
        <v>0</v>
      </c>
      <c r="M45" s="19">
        <f>(('B) D RI'!S47*C45)-(L45*$M$4))/'B) D RI'!S47</f>
        <v>7887.6179729729729</v>
      </c>
      <c r="N45" s="349">
        <f t="shared" si="10"/>
        <v>27.579083821583822</v>
      </c>
      <c r="O45" s="80">
        <f t="shared" si="3"/>
        <v>0.62548932647932354</v>
      </c>
    </row>
    <row r="46" spans="1:15" x14ac:dyDescent="0.25">
      <c r="A46" s="61">
        <f>'A) Base RI'!A48</f>
        <v>5477</v>
      </c>
      <c r="B46" s="62" t="str">
        <f>'A) Base RI'!B48</f>
        <v>Cossonay</v>
      </c>
      <c r="C46" s="13">
        <f>'B) D RI'!U48</f>
        <v>120589.74256854257</v>
      </c>
      <c r="D46" s="42">
        <f>'B) D RI'!AR48</f>
        <v>3642</v>
      </c>
      <c r="E46" s="269">
        <f t="shared" si="4"/>
        <v>33.110857377414213</v>
      </c>
      <c r="F46" s="80">
        <f t="shared" si="0"/>
        <v>0.72869435172197639</v>
      </c>
      <c r="G46" s="361">
        <f t="shared" si="5"/>
        <v>0</v>
      </c>
      <c r="H46" s="361">
        <f t="shared" si="6"/>
        <v>0</v>
      </c>
      <c r="I46" s="361">
        <f t="shared" si="7"/>
        <v>0</v>
      </c>
      <c r="J46" s="361">
        <f t="shared" si="8"/>
        <v>0</v>
      </c>
      <c r="K46" s="362">
        <f t="shared" si="9"/>
        <v>0</v>
      </c>
      <c r="L46" s="74">
        <f>K46*D46*'B) D RI'!S48</f>
        <v>0</v>
      </c>
      <c r="M46" s="19">
        <f>(('B) D RI'!S48*C46)-(L46*$M$4))/'B) D RI'!S48</f>
        <v>120589.74256854257</v>
      </c>
      <c r="N46" s="349">
        <f t="shared" si="10"/>
        <v>33.110857377414213</v>
      </c>
      <c r="O46" s="80">
        <f t="shared" si="3"/>
        <v>0.75094908932193771</v>
      </c>
    </row>
    <row r="47" spans="1:15" x14ac:dyDescent="0.25">
      <c r="A47" s="61">
        <f>'A) Base RI'!A49</f>
        <v>5478</v>
      </c>
      <c r="B47" s="62" t="str">
        <f>'A) Base RI'!B49</f>
        <v>Cottens</v>
      </c>
      <c r="C47" s="13">
        <f>'B) D RI'!U49</f>
        <v>15464.23347222222</v>
      </c>
      <c r="D47" s="42">
        <f>'B) D RI'!AR49</f>
        <v>473</v>
      </c>
      <c r="E47" s="269">
        <f t="shared" si="4"/>
        <v>32.693939687573405</v>
      </c>
      <c r="F47" s="80">
        <f t="shared" si="0"/>
        <v>0.71951894553248863</v>
      </c>
      <c r="G47" s="361">
        <f t="shared" si="5"/>
        <v>0</v>
      </c>
      <c r="H47" s="361">
        <f t="shared" si="6"/>
        <v>0</v>
      </c>
      <c r="I47" s="361">
        <f t="shared" si="7"/>
        <v>0</v>
      </c>
      <c r="J47" s="361">
        <f t="shared" si="8"/>
        <v>0</v>
      </c>
      <c r="K47" s="362">
        <f t="shared" si="9"/>
        <v>0</v>
      </c>
      <c r="L47" s="74">
        <f>K47*D47*'B) D RI'!S49</f>
        <v>0</v>
      </c>
      <c r="M47" s="19">
        <f>(('B) D RI'!S49*C47)-(L47*$M$4))/'B) D RI'!S49</f>
        <v>15464.23347222222</v>
      </c>
      <c r="N47" s="349">
        <f t="shared" si="10"/>
        <v>32.693939687573405</v>
      </c>
      <c r="O47" s="80">
        <f t="shared" si="3"/>
        <v>0.74149346103845737</v>
      </c>
    </row>
    <row r="48" spans="1:15" x14ac:dyDescent="0.25">
      <c r="A48" s="61">
        <f>'A) Base RI'!A50</f>
        <v>5479</v>
      </c>
      <c r="B48" s="62" t="str">
        <f>'A) Base RI'!B50</f>
        <v>Cuarnens</v>
      </c>
      <c r="C48" s="13">
        <f>'B) D RI'!U50</f>
        <v>11805.525064935064</v>
      </c>
      <c r="D48" s="42">
        <f>'B) D RI'!AR50</f>
        <v>439</v>
      </c>
      <c r="E48" s="269">
        <f t="shared" si="4"/>
        <v>26.891856639943196</v>
      </c>
      <c r="F48" s="80">
        <f t="shared" si="0"/>
        <v>0.59182834855284183</v>
      </c>
      <c r="G48" s="361">
        <f t="shared" si="5"/>
        <v>0</v>
      </c>
      <c r="H48" s="361">
        <f t="shared" si="6"/>
        <v>0</v>
      </c>
      <c r="I48" s="361">
        <f t="shared" si="7"/>
        <v>0</v>
      </c>
      <c r="J48" s="361">
        <f t="shared" si="8"/>
        <v>0</v>
      </c>
      <c r="K48" s="362">
        <f t="shared" si="9"/>
        <v>0</v>
      </c>
      <c r="L48" s="74">
        <f>K48*D48*'B) D RI'!S50</f>
        <v>0</v>
      </c>
      <c r="M48" s="19">
        <f>(('B) D RI'!S50*C48)-(L48*$M$4))/'B) D RI'!S50</f>
        <v>11805.525064935064</v>
      </c>
      <c r="N48" s="349">
        <f t="shared" si="10"/>
        <v>26.891856639943196</v>
      </c>
      <c r="O48" s="80">
        <f t="shared" si="3"/>
        <v>0.60990312101421418</v>
      </c>
    </row>
    <row r="49" spans="1:15" x14ac:dyDescent="0.25">
      <c r="A49" s="61">
        <f>'A) Base RI'!A51</f>
        <v>5480</v>
      </c>
      <c r="B49" s="62" t="str">
        <f>'A) Base RI'!B51</f>
        <v>Daillens</v>
      </c>
      <c r="C49" s="13">
        <f>'B) D RI'!U51</f>
        <v>42113.849718309852</v>
      </c>
      <c r="D49" s="42">
        <f>'B) D RI'!AR51</f>
        <v>940</v>
      </c>
      <c r="E49" s="269">
        <f t="shared" si="4"/>
        <v>44.801967785436013</v>
      </c>
      <c r="F49" s="80">
        <f t="shared" si="0"/>
        <v>0.98598899144020657</v>
      </c>
      <c r="G49" s="361">
        <f t="shared" si="5"/>
        <v>0</v>
      </c>
      <c r="H49" s="361">
        <f t="shared" si="6"/>
        <v>0</v>
      </c>
      <c r="I49" s="361">
        <f t="shared" si="7"/>
        <v>0</v>
      </c>
      <c r="J49" s="361">
        <f t="shared" si="8"/>
        <v>0</v>
      </c>
      <c r="K49" s="362">
        <f t="shared" si="9"/>
        <v>0</v>
      </c>
      <c r="L49" s="74">
        <f>K49*D49*'B) D RI'!S51</f>
        <v>0</v>
      </c>
      <c r="M49" s="19">
        <f>(('B) D RI'!S51*C49)-(L49*$M$4))/'B) D RI'!S51</f>
        <v>42113.849718309852</v>
      </c>
      <c r="N49" s="349">
        <f t="shared" si="10"/>
        <v>44.801967785436013</v>
      </c>
      <c r="O49" s="80">
        <f t="shared" si="3"/>
        <v>1.0161016528449494</v>
      </c>
    </row>
    <row r="50" spans="1:15" x14ac:dyDescent="0.25">
      <c r="A50" s="61">
        <f>'A) Base RI'!A52</f>
        <v>5481</v>
      </c>
      <c r="B50" s="62" t="str">
        <f>'A) Base RI'!B52</f>
        <v>Dizy</v>
      </c>
      <c r="C50" s="13">
        <f>'B) D RI'!U52</f>
        <v>8240.9954054054051</v>
      </c>
      <c r="D50" s="42">
        <f>'B) D RI'!AR52</f>
        <v>221</v>
      </c>
      <c r="E50" s="269">
        <f t="shared" si="4"/>
        <v>37.289571970160203</v>
      </c>
      <c r="F50" s="80">
        <f t="shared" si="0"/>
        <v>0.82065831648687793</v>
      </c>
      <c r="G50" s="361">
        <f t="shared" si="5"/>
        <v>0</v>
      </c>
      <c r="H50" s="361">
        <f t="shared" si="6"/>
        <v>0</v>
      </c>
      <c r="I50" s="361">
        <f t="shared" si="7"/>
        <v>0</v>
      </c>
      <c r="J50" s="361">
        <f t="shared" si="8"/>
        <v>0</v>
      </c>
      <c r="K50" s="362">
        <f t="shared" si="9"/>
        <v>0</v>
      </c>
      <c r="L50" s="74">
        <f>K50*D50*'B) D RI'!S52</f>
        <v>0</v>
      </c>
      <c r="M50" s="19">
        <f>(('B) D RI'!S52*C50)-(L50*$M$4))/'B) D RI'!S52</f>
        <v>8240.9954054054051</v>
      </c>
      <c r="N50" s="349">
        <f t="shared" si="10"/>
        <v>37.289571970160203</v>
      </c>
      <c r="O50" s="80">
        <f t="shared" si="3"/>
        <v>0.8457216855791222</v>
      </c>
    </row>
    <row r="51" spans="1:15" x14ac:dyDescent="0.25">
      <c r="A51" s="61">
        <f>'A) Base RI'!A53</f>
        <v>5482</v>
      </c>
      <c r="B51" s="62" t="str">
        <f>'A) Base RI'!B53</f>
        <v>Eclépens</v>
      </c>
      <c r="C51" s="13">
        <f>'B) D RI'!U53</f>
        <v>64551.928043478263</v>
      </c>
      <c r="D51" s="42">
        <f>'B) D RI'!AR53</f>
        <v>1039</v>
      </c>
      <c r="E51" s="269">
        <f t="shared" si="4"/>
        <v>62.128900908063777</v>
      </c>
      <c r="F51" s="80">
        <f t="shared" si="0"/>
        <v>1.3673152179164751</v>
      </c>
      <c r="G51" s="361">
        <f t="shared" si="5"/>
        <v>7.6025706860660307</v>
      </c>
      <c r="H51" s="361">
        <f t="shared" si="6"/>
        <v>0</v>
      </c>
      <c r="I51" s="361">
        <f t="shared" si="7"/>
        <v>0</v>
      </c>
      <c r="J51" s="361">
        <f t="shared" si="8"/>
        <v>0</v>
      </c>
      <c r="K51" s="362">
        <f t="shared" si="9"/>
        <v>2.7369254469837712</v>
      </c>
      <c r="L51" s="74">
        <f>K51*D51*'B) D RI'!S53</f>
        <v>130808.61481314235</v>
      </c>
      <c r="M51" s="19">
        <f>(('B) D RI'!S53*C51)-(L51*$M$4))/'B) D RI'!S53</f>
        <v>62703.545442857772</v>
      </c>
      <c r="N51" s="349">
        <f t="shared" si="10"/>
        <v>60.349899367524323</v>
      </c>
      <c r="O51" s="80">
        <f t="shared" si="3"/>
        <v>1.3687263200144959</v>
      </c>
    </row>
    <row r="52" spans="1:15" x14ac:dyDescent="0.25">
      <c r="A52" s="61">
        <f>'A) Base RI'!A54</f>
        <v>5483</v>
      </c>
      <c r="B52" s="62" t="str">
        <f>'A) Base RI'!B54</f>
        <v>Ferreyres</v>
      </c>
      <c r="C52" s="13">
        <f>'B) D RI'!U54</f>
        <v>9097.5578947368413</v>
      </c>
      <c r="D52" s="42">
        <f>'B) D RI'!AR54</f>
        <v>313</v>
      </c>
      <c r="E52" s="269">
        <f t="shared" si="4"/>
        <v>29.065680174878086</v>
      </c>
      <c r="F52" s="80">
        <f t="shared" si="0"/>
        <v>0.63966923994056768</v>
      </c>
      <c r="G52" s="361">
        <f t="shared" si="5"/>
        <v>0</v>
      </c>
      <c r="H52" s="361">
        <f t="shared" si="6"/>
        <v>0</v>
      </c>
      <c r="I52" s="361">
        <f t="shared" si="7"/>
        <v>0</v>
      </c>
      <c r="J52" s="361">
        <f t="shared" si="8"/>
        <v>0</v>
      </c>
      <c r="K52" s="362">
        <f t="shared" si="9"/>
        <v>0</v>
      </c>
      <c r="L52" s="74">
        <f>K52*D52*'B) D RI'!S54</f>
        <v>0</v>
      </c>
      <c r="M52" s="19">
        <f>(('B) D RI'!S54*C52)-(L52*$M$4))/'B) D RI'!S54</f>
        <v>9097.5578947368413</v>
      </c>
      <c r="N52" s="349">
        <f t="shared" si="10"/>
        <v>29.065680174878086</v>
      </c>
      <c r="O52" s="80">
        <f t="shared" si="3"/>
        <v>0.65920510028037105</v>
      </c>
    </row>
    <row r="53" spans="1:15" x14ac:dyDescent="0.25">
      <c r="A53" s="61">
        <f>'A) Base RI'!A55</f>
        <v>5484</v>
      </c>
      <c r="B53" s="62" t="str">
        <f>'A) Base RI'!B55</f>
        <v>Gollion</v>
      </c>
      <c r="C53" s="13">
        <f>'B) D RI'!U55</f>
        <v>23163.007162162161</v>
      </c>
      <c r="D53" s="42">
        <f>'B) D RI'!AR55</f>
        <v>857</v>
      </c>
      <c r="E53" s="269">
        <f t="shared" si="4"/>
        <v>27.028013024693305</v>
      </c>
      <c r="F53" s="80">
        <f t="shared" si="0"/>
        <v>0.59482483962485999</v>
      </c>
      <c r="G53" s="361">
        <f t="shared" si="5"/>
        <v>0</v>
      </c>
      <c r="H53" s="361">
        <f t="shared" si="6"/>
        <v>0</v>
      </c>
      <c r="I53" s="361">
        <f t="shared" si="7"/>
        <v>0</v>
      </c>
      <c r="J53" s="361">
        <f t="shared" si="8"/>
        <v>0</v>
      </c>
      <c r="K53" s="362">
        <f t="shared" si="9"/>
        <v>0</v>
      </c>
      <c r="L53" s="74">
        <f>K53*D53*'B) D RI'!S55</f>
        <v>0</v>
      </c>
      <c r="M53" s="19">
        <f>(('B) D RI'!S55*C53)-(L53*$M$4))/'B) D RI'!S55</f>
        <v>23163.007162162161</v>
      </c>
      <c r="N53" s="349">
        <f t="shared" si="10"/>
        <v>27.028013024693305</v>
      </c>
      <c r="O53" s="80">
        <f t="shared" si="3"/>
        <v>0.61299112661817678</v>
      </c>
    </row>
    <row r="54" spans="1:15" x14ac:dyDescent="0.25">
      <c r="A54" s="61">
        <f>'A) Base RI'!A56</f>
        <v>5485</v>
      </c>
      <c r="B54" s="62" t="str">
        <f>'A) Base RI'!B56</f>
        <v>Grancy</v>
      </c>
      <c r="C54" s="13">
        <f>'B) D RI'!U56</f>
        <v>17298.355857142858</v>
      </c>
      <c r="D54" s="42">
        <f>'B) D RI'!AR56</f>
        <v>396</v>
      </c>
      <c r="E54" s="269">
        <f t="shared" si="4"/>
        <v>43.682716810966816</v>
      </c>
      <c r="F54" s="80">
        <f t="shared" si="0"/>
        <v>0.96135683365708147</v>
      </c>
      <c r="G54" s="361">
        <f t="shared" si="5"/>
        <v>0</v>
      </c>
      <c r="H54" s="361">
        <f t="shared" si="6"/>
        <v>0</v>
      </c>
      <c r="I54" s="361">
        <f t="shared" si="7"/>
        <v>0</v>
      </c>
      <c r="J54" s="361">
        <f t="shared" si="8"/>
        <v>0</v>
      </c>
      <c r="K54" s="362">
        <f t="shared" si="9"/>
        <v>0</v>
      </c>
      <c r="L54" s="74">
        <f>K54*D54*'B) D RI'!S56</f>
        <v>0</v>
      </c>
      <c r="M54" s="19">
        <f>(('B) D RI'!S56*C54)-(L54*$M$4))/'B) D RI'!S56</f>
        <v>17298.355857142858</v>
      </c>
      <c r="N54" s="349">
        <f t="shared" si="10"/>
        <v>43.682716810966816</v>
      </c>
      <c r="O54" s="80">
        <f t="shared" si="3"/>
        <v>0.99071721503290822</v>
      </c>
    </row>
    <row r="55" spans="1:15" x14ac:dyDescent="0.25">
      <c r="A55" s="61">
        <f>'A) Base RI'!A57</f>
        <v>5486</v>
      </c>
      <c r="B55" s="62" t="str">
        <f>'A) Base RI'!B57</f>
        <v>L'Isle</v>
      </c>
      <c r="C55" s="13">
        <f>'B) D RI'!U57</f>
        <v>27212.445657894736</v>
      </c>
      <c r="D55" s="42">
        <f>'B) D RI'!AR57</f>
        <v>1032</v>
      </c>
      <c r="E55" s="269">
        <f t="shared" si="4"/>
        <v>26.368648893308851</v>
      </c>
      <c r="F55" s="80">
        <f t="shared" si="0"/>
        <v>0.58031374096041821</v>
      </c>
      <c r="G55" s="361">
        <f t="shared" si="5"/>
        <v>0</v>
      </c>
      <c r="H55" s="361">
        <f t="shared" si="6"/>
        <v>0</v>
      </c>
      <c r="I55" s="361">
        <f t="shared" si="7"/>
        <v>0</v>
      </c>
      <c r="J55" s="361">
        <f t="shared" si="8"/>
        <v>0</v>
      </c>
      <c r="K55" s="362">
        <f t="shared" si="9"/>
        <v>0</v>
      </c>
      <c r="L55" s="74">
        <f>K55*D55*'B) D RI'!S57</f>
        <v>0</v>
      </c>
      <c r="M55" s="19">
        <f>(('B) D RI'!S57*C55)-(L55*$M$4))/'B) D RI'!S57</f>
        <v>27212.445657894736</v>
      </c>
      <c r="N55" s="349">
        <f t="shared" si="10"/>
        <v>26.368648893308851</v>
      </c>
      <c r="O55" s="80">
        <f t="shared" si="3"/>
        <v>0.59803685079406421</v>
      </c>
    </row>
    <row r="56" spans="1:15" x14ac:dyDescent="0.25">
      <c r="A56" s="61">
        <f>'A) Base RI'!A58</f>
        <v>5487</v>
      </c>
      <c r="B56" s="62" t="str">
        <f>'A) Base RI'!B58</f>
        <v>Lussery-Villars</v>
      </c>
      <c r="C56" s="13">
        <f>'B) D RI'!U58</f>
        <v>12274.32455882353</v>
      </c>
      <c r="D56" s="42">
        <f>'B) D RI'!AR58</f>
        <v>423</v>
      </c>
      <c r="E56" s="269">
        <f t="shared" si="4"/>
        <v>29.017315741899598</v>
      </c>
      <c r="F56" s="80">
        <f t="shared" si="0"/>
        <v>0.63860484922624872</v>
      </c>
      <c r="G56" s="361">
        <f t="shared" si="5"/>
        <v>0</v>
      </c>
      <c r="H56" s="361">
        <f t="shared" si="6"/>
        <v>0</v>
      </c>
      <c r="I56" s="361">
        <f t="shared" si="7"/>
        <v>0</v>
      </c>
      <c r="J56" s="361">
        <f t="shared" si="8"/>
        <v>0</v>
      </c>
      <c r="K56" s="362">
        <f t="shared" si="9"/>
        <v>0</v>
      </c>
      <c r="L56" s="74">
        <f>K56*D56*'B) D RI'!S58</f>
        <v>0</v>
      </c>
      <c r="M56" s="19">
        <f>(('B) D RI'!S58*C56)-(L56*$M$4))/'B) D RI'!S58</f>
        <v>12274.32455882353</v>
      </c>
      <c r="N56" s="349">
        <f t="shared" si="10"/>
        <v>29.017315741899598</v>
      </c>
      <c r="O56" s="80">
        <f t="shared" si="3"/>
        <v>0.65810820247169199</v>
      </c>
    </row>
    <row r="57" spans="1:15" x14ac:dyDescent="0.25">
      <c r="A57" s="61">
        <f>'A) Base RI'!A59</f>
        <v>5488</v>
      </c>
      <c r="B57" s="62" t="str">
        <f>'A) Base RI'!B59</f>
        <v>Mauraz</v>
      </c>
      <c r="C57" s="13">
        <f>'B) D RI'!U59</f>
        <v>1417.5255405405405</v>
      </c>
      <c r="D57" s="42">
        <f>'B) D RI'!AR59</f>
        <v>49</v>
      </c>
      <c r="E57" s="269">
        <f t="shared" si="4"/>
        <v>28.929092664092664</v>
      </c>
      <c r="F57" s="80">
        <f t="shared" si="0"/>
        <v>0.63666326076912538</v>
      </c>
      <c r="G57" s="361">
        <f t="shared" si="5"/>
        <v>0</v>
      </c>
      <c r="H57" s="361">
        <f t="shared" si="6"/>
        <v>0</v>
      </c>
      <c r="I57" s="361">
        <f t="shared" si="7"/>
        <v>0</v>
      </c>
      <c r="J57" s="361">
        <f t="shared" si="8"/>
        <v>0</v>
      </c>
      <c r="K57" s="362">
        <f t="shared" si="9"/>
        <v>0</v>
      </c>
      <c r="L57" s="74">
        <f>K57*D57*'B) D RI'!S59</f>
        <v>0</v>
      </c>
      <c r="M57" s="19">
        <f>(('B) D RI'!S59*C57)-(L57*$M$4))/'B) D RI'!S59</f>
        <v>1417.5255405405405</v>
      </c>
      <c r="N57" s="349">
        <f t="shared" si="10"/>
        <v>28.929092664092664</v>
      </c>
      <c r="O57" s="80">
        <f t="shared" si="3"/>
        <v>0.65610731680506218</v>
      </c>
    </row>
    <row r="58" spans="1:15" x14ac:dyDescent="0.25">
      <c r="A58" s="61">
        <f>'A) Base RI'!A60</f>
        <v>5489</v>
      </c>
      <c r="B58" s="62" t="str">
        <f>'A) Base RI'!B60</f>
        <v>Mex</v>
      </c>
      <c r="C58" s="13">
        <f>'B) D RI'!U60</f>
        <v>37121.285573770496</v>
      </c>
      <c r="D58" s="42">
        <f>'B) D RI'!AR60</f>
        <v>678</v>
      </c>
      <c r="E58" s="269">
        <f t="shared" si="4"/>
        <v>54.751158663378312</v>
      </c>
      <c r="F58" s="80">
        <f t="shared" si="0"/>
        <v>1.2049479605276614</v>
      </c>
      <c r="G58" s="361">
        <f t="shared" si="5"/>
        <v>0.22482844138056635</v>
      </c>
      <c r="H58" s="361">
        <f t="shared" si="6"/>
        <v>0</v>
      </c>
      <c r="I58" s="361">
        <f t="shared" si="7"/>
        <v>0</v>
      </c>
      <c r="J58" s="361">
        <f t="shared" si="8"/>
        <v>0</v>
      </c>
      <c r="K58" s="362">
        <f t="shared" si="9"/>
        <v>8.0938238897003884E-2</v>
      </c>
      <c r="L58" s="74">
        <f>K58*D58*'B) D RI'!S60</f>
        <v>3347.4436843022863</v>
      </c>
      <c r="M58" s="19">
        <f>(('B) D RI'!S60*C58)-(L58*$M$4))/'B) D RI'!S60</f>
        <v>37085.616091888587</v>
      </c>
      <c r="N58" s="349">
        <f t="shared" si="10"/>
        <v>54.698548808095261</v>
      </c>
      <c r="O58" s="80">
        <f t="shared" si="3"/>
        <v>1.240554569350705</v>
      </c>
    </row>
    <row r="59" spans="1:15" x14ac:dyDescent="0.25">
      <c r="A59" s="61">
        <f>'A) Base RI'!A61</f>
        <v>5490</v>
      </c>
      <c r="B59" s="62" t="str">
        <f>'A) Base RI'!B61</f>
        <v>Moiry</v>
      </c>
      <c r="C59" s="13">
        <f>'B) D RI'!U61</f>
        <v>7321.727037037037</v>
      </c>
      <c r="D59" s="42">
        <f>'B) D RI'!AR61</f>
        <v>290</v>
      </c>
      <c r="E59" s="269">
        <f t="shared" si="4"/>
        <v>25.247334610472542</v>
      </c>
      <c r="F59" s="80">
        <f t="shared" si="0"/>
        <v>0.55563617447235258</v>
      </c>
      <c r="G59" s="361">
        <f t="shared" si="5"/>
        <v>0</v>
      </c>
      <c r="H59" s="361">
        <f t="shared" si="6"/>
        <v>0</v>
      </c>
      <c r="I59" s="361">
        <f t="shared" si="7"/>
        <v>0</v>
      </c>
      <c r="J59" s="361">
        <f t="shared" si="8"/>
        <v>0</v>
      </c>
      <c r="K59" s="362">
        <f t="shared" si="9"/>
        <v>0</v>
      </c>
      <c r="L59" s="74">
        <f>K59*D59*'B) D RI'!S61</f>
        <v>0</v>
      </c>
      <c r="M59" s="19">
        <f>(('B) D RI'!S61*C59)-(L59*$M$4))/'B) D RI'!S61</f>
        <v>7321.727037037037</v>
      </c>
      <c r="N59" s="349">
        <f t="shared" si="10"/>
        <v>25.247334610472542</v>
      </c>
      <c r="O59" s="80">
        <f t="shared" si="3"/>
        <v>0.57260561746955374</v>
      </c>
    </row>
    <row r="60" spans="1:15" x14ac:dyDescent="0.25">
      <c r="A60" s="61">
        <f>'A) Base RI'!A62</f>
        <v>5491</v>
      </c>
      <c r="B60" s="62" t="str">
        <f>'A) Base RI'!B62</f>
        <v>Mont-la-Ville</v>
      </c>
      <c r="C60" s="13">
        <f>'B) D RI'!U62</f>
        <v>8599.6809210526335</v>
      </c>
      <c r="D60" s="42">
        <f>'B) D RI'!AR62</f>
        <v>382</v>
      </c>
      <c r="E60" s="269">
        <f t="shared" si="4"/>
        <v>22.512253720033073</v>
      </c>
      <c r="F60" s="80">
        <f t="shared" si="0"/>
        <v>0.49544329049933111</v>
      </c>
      <c r="G60" s="361">
        <f t="shared" si="5"/>
        <v>0</v>
      </c>
      <c r="H60" s="361">
        <f t="shared" si="6"/>
        <v>0</v>
      </c>
      <c r="I60" s="361">
        <f t="shared" si="7"/>
        <v>0</v>
      </c>
      <c r="J60" s="361">
        <f t="shared" si="8"/>
        <v>0</v>
      </c>
      <c r="K60" s="362">
        <f t="shared" si="9"/>
        <v>0</v>
      </c>
      <c r="L60" s="74">
        <f>K60*D60*'B) D RI'!S62</f>
        <v>0</v>
      </c>
      <c r="M60" s="19">
        <f>(('B) D RI'!S62*C60)-(L60*$M$4))/'B) D RI'!S62</f>
        <v>8599.6809210526335</v>
      </c>
      <c r="N60" s="349">
        <f t="shared" si="10"/>
        <v>22.512253720033073</v>
      </c>
      <c r="O60" s="80">
        <f t="shared" si="3"/>
        <v>0.51057440877912652</v>
      </c>
    </row>
    <row r="61" spans="1:15" x14ac:dyDescent="0.25">
      <c r="A61" s="61">
        <f>'A) Base RI'!A63</f>
        <v>5492</v>
      </c>
      <c r="B61" s="62" t="str">
        <f>'A) Base RI'!B63</f>
        <v>Montricher</v>
      </c>
      <c r="C61" s="13">
        <f>'B) D RI'!U63</f>
        <v>187025.79406249998</v>
      </c>
      <c r="D61" s="42">
        <f>'B) D RI'!AR63</f>
        <v>961</v>
      </c>
      <c r="E61" s="269">
        <f t="shared" si="4"/>
        <v>194.61581067898021</v>
      </c>
      <c r="F61" s="80">
        <f t="shared" si="0"/>
        <v>4.2830495260537234</v>
      </c>
      <c r="G61" s="361">
        <f t="shared" si="5"/>
        <v>140.08948045698247</v>
      </c>
      <c r="H61" s="361">
        <f t="shared" si="6"/>
        <v>126.45789790148302</v>
      </c>
      <c r="I61" s="361">
        <f t="shared" si="7"/>
        <v>103.7385936423173</v>
      </c>
      <c r="J61" s="361">
        <f t="shared" si="8"/>
        <v>58.299985123985834</v>
      </c>
      <c r="K61" s="362">
        <f t="shared" si="9"/>
        <v>79.281860631292318</v>
      </c>
      <c r="L61" s="74">
        <f>K61*D61*'B) D RI'!S63</f>
        <v>4876151.5562670026</v>
      </c>
      <c r="M61" s="19">
        <f>(('B) D RI'!S63*C61)-(L61*$M$4))/'B) D RI'!S63</f>
        <v>137502.37981916324</v>
      </c>
      <c r="N61" s="349">
        <f t="shared" si="10"/>
        <v>143.08260126864022</v>
      </c>
      <c r="O61" s="80">
        <f t="shared" si="3"/>
        <v>3.2450911160576665</v>
      </c>
    </row>
    <row r="62" spans="1:15" x14ac:dyDescent="0.25">
      <c r="A62" s="61">
        <f>'A) Base RI'!A64</f>
        <v>5493</v>
      </c>
      <c r="B62" s="62" t="str">
        <f>'A) Base RI'!B64</f>
        <v>Orny</v>
      </c>
      <c r="C62" s="13">
        <f>'B) D RI'!U64</f>
        <v>10614.324773445733</v>
      </c>
      <c r="D62" s="42">
        <f>'B) D RI'!AR64</f>
        <v>375</v>
      </c>
      <c r="E62" s="269">
        <f t="shared" si="4"/>
        <v>28.304866062521953</v>
      </c>
      <c r="F62" s="80">
        <f t="shared" si="0"/>
        <v>0.62292545888817918</v>
      </c>
      <c r="G62" s="361">
        <f t="shared" si="5"/>
        <v>0</v>
      </c>
      <c r="H62" s="361">
        <f t="shared" si="6"/>
        <v>0</v>
      </c>
      <c r="I62" s="361">
        <f t="shared" si="7"/>
        <v>0</v>
      </c>
      <c r="J62" s="361">
        <f t="shared" si="8"/>
        <v>0</v>
      </c>
      <c r="K62" s="362">
        <f t="shared" si="9"/>
        <v>0</v>
      </c>
      <c r="L62" s="74">
        <f>K62*D62*'B) D RI'!S64</f>
        <v>0</v>
      </c>
      <c r="M62" s="19">
        <f>(('B) D RI'!S64*C62)-(L62*$M$4))/'B) D RI'!S64</f>
        <v>10614.324773445733</v>
      </c>
      <c r="N62" s="349">
        <f t="shared" si="10"/>
        <v>28.304866062521953</v>
      </c>
      <c r="O62" s="80">
        <f t="shared" si="3"/>
        <v>0.64194995468553551</v>
      </c>
    </row>
    <row r="63" spans="1:15" x14ac:dyDescent="0.25">
      <c r="A63" s="61">
        <f>'A) Base RI'!A65</f>
        <v>5494</v>
      </c>
      <c r="B63" s="62" t="str">
        <f>'A) Base RI'!B65</f>
        <v>Pampigny</v>
      </c>
      <c r="C63" s="13">
        <f>'B) D RI'!U65</f>
        <v>33982.091568253971</v>
      </c>
      <c r="D63" s="42">
        <f>'B) D RI'!AR65</f>
        <v>1124</v>
      </c>
      <c r="E63" s="269">
        <f t="shared" si="4"/>
        <v>30.233177551827374</v>
      </c>
      <c r="F63" s="80">
        <f t="shared" si="0"/>
        <v>0.66536319085630224</v>
      </c>
      <c r="G63" s="361">
        <f t="shared" si="5"/>
        <v>0</v>
      </c>
      <c r="H63" s="361">
        <f t="shared" si="6"/>
        <v>0</v>
      </c>
      <c r="I63" s="361">
        <f t="shared" si="7"/>
        <v>0</v>
      </c>
      <c r="J63" s="361">
        <f t="shared" si="8"/>
        <v>0</v>
      </c>
      <c r="K63" s="362">
        <f t="shared" si="9"/>
        <v>0</v>
      </c>
      <c r="L63" s="74">
        <f>K63*D63*'B) D RI'!S65</f>
        <v>0</v>
      </c>
      <c r="M63" s="19">
        <f>(('B) D RI'!S65*C63)-(L63*$M$4))/'B) D RI'!S65</f>
        <v>33982.091568253971</v>
      </c>
      <c r="N63" s="349">
        <f t="shared" si="10"/>
        <v>30.233177551827374</v>
      </c>
      <c r="O63" s="80">
        <f t="shared" si="3"/>
        <v>0.68568375898776712</v>
      </c>
    </row>
    <row r="64" spans="1:15" x14ac:dyDescent="0.25">
      <c r="A64" s="61">
        <f>'A) Base RI'!A66</f>
        <v>5495</v>
      </c>
      <c r="B64" s="62" t="str">
        <f>'A) Base RI'!B66</f>
        <v>Penthalaz</v>
      </c>
      <c r="C64" s="13">
        <f>'B) D RI'!U66</f>
        <v>96162.321351351362</v>
      </c>
      <c r="D64" s="42">
        <f>'B) D RI'!AR66</f>
        <v>3241</v>
      </c>
      <c r="E64" s="269">
        <f t="shared" si="4"/>
        <v>29.670571228433001</v>
      </c>
      <c r="F64" s="80">
        <f t="shared" si="0"/>
        <v>0.65298151056854881</v>
      </c>
      <c r="G64" s="361">
        <f t="shared" si="5"/>
        <v>0</v>
      </c>
      <c r="H64" s="361">
        <f t="shared" si="6"/>
        <v>0</v>
      </c>
      <c r="I64" s="361">
        <f t="shared" si="7"/>
        <v>0</v>
      </c>
      <c r="J64" s="361">
        <f t="shared" si="8"/>
        <v>0</v>
      </c>
      <c r="K64" s="362">
        <f t="shared" si="9"/>
        <v>0</v>
      </c>
      <c r="L64" s="74">
        <f>K64*D64*'B) D RI'!S66</f>
        <v>0</v>
      </c>
      <c r="M64" s="19">
        <f>(('B) D RI'!S66*C64)-(L64*$M$4))/'B) D RI'!S66</f>
        <v>96162.321351351362</v>
      </c>
      <c r="N64" s="349">
        <f t="shared" si="10"/>
        <v>29.670571228433001</v>
      </c>
      <c r="O64" s="80">
        <f t="shared" si="3"/>
        <v>0.67292393518181637</v>
      </c>
    </row>
    <row r="65" spans="1:15" x14ac:dyDescent="0.25">
      <c r="A65" s="61">
        <f>'A) Base RI'!A67</f>
        <v>5496</v>
      </c>
      <c r="B65" s="62" t="str">
        <f>'A) Base RI'!B67</f>
        <v>Penthaz</v>
      </c>
      <c r="C65" s="13">
        <f>'B) D RI'!U67</f>
        <v>55211.289014084505</v>
      </c>
      <c r="D65" s="42">
        <f>'B) D RI'!AR67</f>
        <v>1653</v>
      </c>
      <c r="E65" s="269">
        <f t="shared" si="4"/>
        <v>33.400658810698431</v>
      </c>
      <c r="F65" s="80">
        <f t="shared" si="0"/>
        <v>0.73507221941498246</v>
      </c>
      <c r="G65" s="361">
        <f t="shared" si="5"/>
        <v>0</v>
      </c>
      <c r="H65" s="361">
        <f t="shared" si="6"/>
        <v>0</v>
      </c>
      <c r="I65" s="361">
        <f t="shared" si="7"/>
        <v>0</v>
      </c>
      <c r="J65" s="361">
        <f t="shared" si="8"/>
        <v>0</v>
      </c>
      <c r="K65" s="362">
        <f t="shared" si="9"/>
        <v>0</v>
      </c>
      <c r="L65" s="74">
        <f>K65*D65*'B) D RI'!S67</f>
        <v>0</v>
      </c>
      <c r="M65" s="19">
        <f>(('B) D RI'!S67*C65)-(L65*$M$4))/'B) D RI'!S67</f>
        <v>55211.289014084505</v>
      </c>
      <c r="N65" s="349">
        <f t="shared" si="10"/>
        <v>33.400658810698431</v>
      </c>
      <c r="O65" s="80">
        <f t="shared" si="3"/>
        <v>0.75752174070116252</v>
      </c>
    </row>
    <row r="66" spans="1:15" x14ac:dyDescent="0.25">
      <c r="A66" s="61">
        <f>'A) Base RI'!A68</f>
        <v>5497</v>
      </c>
      <c r="B66" s="62" t="str">
        <f>'A) Base RI'!B68</f>
        <v>Pompaples</v>
      </c>
      <c r="C66" s="13">
        <f>'B) D RI'!U68</f>
        <v>22227.212272727276</v>
      </c>
      <c r="D66" s="42">
        <f>'B) D RI'!AR68</f>
        <v>834</v>
      </c>
      <c r="E66" s="269">
        <f t="shared" si="4"/>
        <v>26.651333660344456</v>
      </c>
      <c r="F66" s="80">
        <f t="shared" si="0"/>
        <v>0.5865349870824591</v>
      </c>
      <c r="G66" s="361">
        <f t="shared" si="5"/>
        <v>0</v>
      </c>
      <c r="H66" s="361">
        <f t="shared" si="6"/>
        <v>0</v>
      </c>
      <c r="I66" s="361">
        <f t="shared" si="7"/>
        <v>0</v>
      </c>
      <c r="J66" s="361">
        <f t="shared" si="8"/>
        <v>0</v>
      </c>
      <c r="K66" s="362">
        <f t="shared" si="9"/>
        <v>0</v>
      </c>
      <c r="L66" s="74">
        <f>K66*D66*'B) D RI'!S68</f>
        <v>0</v>
      </c>
      <c r="M66" s="19">
        <f>(('B) D RI'!S68*C66)-(L66*$M$4))/'B) D RI'!S68</f>
        <v>22227.212272727276</v>
      </c>
      <c r="N66" s="349">
        <f t="shared" si="10"/>
        <v>26.651333660344456</v>
      </c>
      <c r="O66" s="80">
        <f t="shared" si="3"/>
        <v>0.60444809729097226</v>
      </c>
    </row>
    <row r="67" spans="1:15" x14ac:dyDescent="0.25">
      <c r="A67" s="61">
        <f>'A) Base RI'!A69</f>
        <v>5498</v>
      </c>
      <c r="B67" s="62" t="str">
        <f>'A) Base RI'!B69</f>
        <v>La Sarraz</v>
      </c>
      <c r="C67" s="13">
        <f>'B) D RI'!U69</f>
        <v>72104.13</v>
      </c>
      <c r="D67" s="42">
        <f>'B) D RI'!AR69</f>
        <v>2559</v>
      </c>
      <c r="E67" s="269">
        <f t="shared" si="4"/>
        <v>28.176682297772569</v>
      </c>
      <c r="F67" s="80">
        <f t="shared" si="0"/>
        <v>0.62010442697436807</v>
      </c>
      <c r="G67" s="361">
        <f t="shared" si="5"/>
        <v>0</v>
      </c>
      <c r="H67" s="361">
        <f t="shared" si="6"/>
        <v>0</v>
      </c>
      <c r="I67" s="361">
        <f t="shared" si="7"/>
        <v>0</v>
      </c>
      <c r="J67" s="361">
        <f t="shared" si="8"/>
        <v>0</v>
      </c>
      <c r="K67" s="362">
        <f t="shared" si="9"/>
        <v>0</v>
      </c>
      <c r="L67" s="74">
        <f>K67*D67*'B) D RI'!S69</f>
        <v>0</v>
      </c>
      <c r="M67" s="19">
        <f>(('B) D RI'!S69*C67)-(L67*$M$4))/'B) D RI'!S69</f>
        <v>72104.13</v>
      </c>
      <c r="N67" s="349">
        <f t="shared" si="10"/>
        <v>28.176682297772569</v>
      </c>
      <c r="O67" s="80">
        <f t="shared" si="3"/>
        <v>0.63904276686169892</v>
      </c>
    </row>
    <row r="68" spans="1:15" x14ac:dyDescent="0.25">
      <c r="A68" s="61">
        <f>'A) Base RI'!A70</f>
        <v>5499</v>
      </c>
      <c r="B68" s="62" t="str">
        <f>'A) Base RI'!B70</f>
        <v>Senarclens</v>
      </c>
      <c r="C68" s="13">
        <f>'B) D RI'!U70</f>
        <v>21697.695620437953</v>
      </c>
      <c r="D68" s="42">
        <f>'B) D RI'!AR70</f>
        <v>451</v>
      </c>
      <c r="E68" s="269">
        <f t="shared" si="4"/>
        <v>48.110189845760431</v>
      </c>
      <c r="F68" s="80">
        <f t="shared" si="0"/>
        <v>1.0587954036125726</v>
      </c>
      <c r="G68" s="361">
        <f t="shared" si="5"/>
        <v>0</v>
      </c>
      <c r="H68" s="361">
        <f t="shared" si="6"/>
        <v>0</v>
      </c>
      <c r="I68" s="361">
        <f t="shared" si="7"/>
        <v>0</v>
      </c>
      <c r="J68" s="361">
        <f t="shared" si="8"/>
        <v>0</v>
      </c>
      <c r="K68" s="362">
        <f t="shared" si="9"/>
        <v>0</v>
      </c>
      <c r="L68" s="74">
        <f>K68*D68*'B) D RI'!S70</f>
        <v>0</v>
      </c>
      <c r="M68" s="19">
        <f>(('B) D RI'!S70*C68)-(L68*$M$4))/'B) D RI'!S70</f>
        <v>21697.695620437953</v>
      </c>
      <c r="N68" s="349">
        <f t="shared" si="10"/>
        <v>48.110189845760431</v>
      </c>
      <c r="O68" s="80">
        <f t="shared" si="3"/>
        <v>1.0911316140192551</v>
      </c>
    </row>
    <row r="69" spans="1:15" x14ac:dyDescent="0.25">
      <c r="A69" s="61">
        <f>'A) Base RI'!A71</f>
        <v>5500</v>
      </c>
      <c r="B69" s="62" t="str">
        <f>'A) Base RI'!B71</f>
        <v>Sévery</v>
      </c>
      <c r="C69" s="13">
        <f>'B) D RI'!U71</f>
        <v>6767.1525657894736</v>
      </c>
      <c r="D69" s="42">
        <f>'B) D RI'!AR71</f>
        <v>231</v>
      </c>
      <c r="E69" s="269">
        <f t="shared" si="4"/>
        <v>29.295032752335384</v>
      </c>
      <c r="F69" s="80">
        <f t="shared" ref="F69:F132" si="11">E69/$E$314</f>
        <v>0.64471676637097697</v>
      </c>
      <c r="G69" s="361">
        <f t="shared" si="5"/>
        <v>0</v>
      </c>
      <c r="H69" s="361">
        <f t="shared" si="6"/>
        <v>0</v>
      </c>
      <c r="I69" s="361">
        <f t="shared" si="7"/>
        <v>0</v>
      </c>
      <c r="J69" s="361">
        <f t="shared" si="8"/>
        <v>0</v>
      </c>
      <c r="K69" s="362">
        <f t="shared" si="9"/>
        <v>0</v>
      </c>
      <c r="L69" s="74">
        <f>K69*D69*'B) D RI'!S71</f>
        <v>0</v>
      </c>
      <c r="M69" s="19">
        <f>(('B) D RI'!S71*C69)-(L69*$M$4))/'B) D RI'!S71</f>
        <v>6767.1525657894736</v>
      </c>
      <c r="N69" s="349">
        <f t="shared" si="10"/>
        <v>29.295032752335384</v>
      </c>
      <c r="O69" s="80">
        <f t="shared" ref="O69:O132" si="12">N69/N$314</f>
        <v>0.66440678102249162</v>
      </c>
    </row>
    <row r="70" spans="1:15" x14ac:dyDescent="0.25">
      <c r="A70" s="61">
        <f>'A) Base RI'!A72</f>
        <v>5501</v>
      </c>
      <c r="B70" s="62" t="str">
        <f>'A) Base RI'!B72</f>
        <v>Sullens</v>
      </c>
      <c r="C70" s="13">
        <f>'B) D RI'!U72</f>
        <v>35887.851857142865</v>
      </c>
      <c r="D70" s="42">
        <f>'B) D RI'!AR72</f>
        <v>925</v>
      </c>
      <c r="E70" s="269">
        <f t="shared" ref="E70:E133" si="13">C70/D70</f>
        <v>38.797677683397694</v>
      </c>
      <c r="F70" s="80">
        <f t="shared" si="11"/>
        <v>0.85384827899704308</v>
      </c>
      <c r="G70" s="361">
        <f t="shared" ref="G70:G133" si="14">IF(E70-$G$2&lt;0,0,E70-$G$2)</f>
        <v>0</v>
      </c>
      <c r="H70" s="361">
        <f t="shared" ref="H70:H133" si="15">IF(E70-$H$2&lt;0,0,E70-$H$2)</f>
        <v>0</v>
      </c>
      <c r="I70" s="361">
        <f t="shared" ref="I70:I133" si="16">IF(E70-$I$2&lt;0,0,E70-$I$2)</f>
        <v>0</v>
      </c>
      <c r="J70" s="361">
        <f t="shared" ref="J70:J133" si="17">IF(E70-$J$2&lt;0,0,E70-$J$2)</f>
        <v>0</v>
      </c>
      <c r="K70" s="362">
        <f t="shared" ref="K70:K133" si="18">(G70-H70)*$G$3+(H70-I70)*$H$3+(I70-J70)*$I$3+(J70*$J$3)</f>
        <v>0</v>
      </c>
      <c r="L70" s="74">
        <f>K70*D70*'B) D RI'!S72</f>
        <v>0</v>
      </c>
      <c r="M70" s="19">
        <f>(('B) D RI'!S72*C70)-(L70*$M$4))/'B) D RI'!S72</f>
        <v>35887.851857142865</v>
      </c>
      <c r="N70" s="349">
        <f t="shared" ref="N70:N133" si="19">M70/D70</f>
        <v>38.797677683397694</v>
      </c>
      <c r="O70" s="80">
        <f t="shared" si="12"/>
        <v>0.87992528831426065</v>
      </c>
    </row>
    <row r="71" spans="1:15" x14ac:dyDescent="0.25">
      <c r="A71" s="61">
        <f>'A) Base RI'!A73</f>
        <v>5503</v>
      </c>
      <c r="B71" s="62" t="str">
        <f>'A) Base RI'!B73</f>
        <v>Vufflens-la-Ville</v>
      </c>
      <c r="C71" s="13">
        <f>'B) D RI'!U73</f>
        <v>61379.446318407958</v>
      </c>
      <c r="D71" s="42">
        <f>'B) D RI'!AR73</f>
        <v>1216</v>
      </c>
      <c r="E71" s="269">
        <f t="shared" si="13"/>
        <v>50.476518353953914</v>
      </c>
      <c r="F71" s="80">
        <f t="shared" si="11"/>
        <v>1.1108728898154967</v>
      </c>
      <c r="G71" s="361">
        <f t="shared" si="14"/>
        <v>0</v>
      </c>
      <c r="H71" s="361">
        <f t="shared" si="15"/>
        <v>0</v>
      </c>
      <c r="I71" s="361">
        <f t="shared" si="16"/>
        <v>0</v>
      </c>
      <c r="J71" s="361">
        <f t="shared" si="17"/>
        <v>0</v>
      </c>
      <c r="K71" s="362">
        <f t="shared" si="18"/>
        <v>0</v>
      </c>
      <c r="L71" s="74">
        <f>K71*D71*'B) D RI'!S73</f>
        <v>0</v>
      </c>
      <c r="M71" s="19">
        <f>(('B) D RI'!S73*C71)-(L71*$M$4))/'B) D RI'!S73</f>
        <v>61379.446318407958</v>
      </c>
      <c r="N71" s="349">
        <f t="shared" si="19"/>
        <v>50.476518353953914</v>
      </c>
      <c r="O71" s="80">
        <f t="shared" si="12"/>
        <v>1.1447995761021872</v>
      </c>
    </row>
    <row r="72" spans="1:15" x14ac:dyDescent="0.25">
      <c r="A72" s="61">
        <f>'A) Base RI'!A74</f>
        <v>5511</v>
      </c>
      <c r="B72" s="62" t="str">
        <f>'A) Base RI'!B74</f>
        <v>Assens</v>
      </c>
      <c r="C72" s="13">
        <f>'B) D RI'!U74</f>
        <v>41422.612571428566</v>
      </c>
      <c r="D72" s="42">
        <f>'B) D RI'!AR74</f>
        <v>1031</v>
      </c>
      <c r="E72" s="269">
        <f t="shared" si="13"/>
        <v>40.177121795760009</v>
      </c>
      <c r="F72" s="80">
        <f t="shared" si="11"/>
        <v>0.88420669351155878</v>
      </c>
      <c r="G72" s="361">
        <f t="shared" si="14"/>
        <v>0</v>
      </c>
      <c r="H72" s="361">
        <f t="shared" si="15"/>
        <v>0</v>
      </c>
      <c r="I72" s="361">
        <f t="shared" si="16"/>
        <v>0</v>
      </c>
      <c r="J72" s="361">
        <f t="shared" si="17"/>
        <v>0</v>
      </c>
      <c r="K72" s="362">
        <f t="shared" si="18"/>
        <v>0</v>
      </c>
      <c r="L72" s="74">
        <f>K72*D72*'B) D RI'!S74</f>
        <v>0</v>
      </c>
      <c r="M72" s="19">
        <f>(('B) D RI'!S74*C72)-(L72*$M$4))/'B) D RI'!S74</f>
        <v>41422.612571428566</v>
      </c>
      <c r="N72" s="349">
        <f t="shared" si="19"/>
        <v>40.177121795760009</v>
      </c>
      <c r="O72" s="80">
        <f t="shared" si="12"/>
        <v>0.91121086597663792</v>
      </c>
    </row>
    <row r="73" spans="1:15" x14ac:dyDescent="0.25">
      <c r="A73" s="61">
        <f>'A) Base RI'!A75</f>
        <v>5512</v>
      </c>
      <c r="B73" s="62" t="str">
        <f>'A) Base RI'!B75</f>
        <v>Bercher</v>
      </c>
      <c r="C73" s="13">
        <f>'B) D RI'!U75</f>
        <v>32079.191772151898</v>
      </c>
      <c r="D73" s="42">
        <f>'B) D RI'!AR75</f>
        <v>1148</v>
      </c>
      <c r="E73" s="269">
        <f t="shared" si="13"/>
        <v>27.943546839853571</v>
      </c>
      <c r="F73" s="80">
        <f t="shared" si="11"/>
        <v>0.61497364798440535</v>
      </c>
      <c r="G73" s="361">
        <f t="shared" si="14"/>
        <v>0</v>
      </c>
      <c r="H73" s="361">
        <f t="shared" si="15"/>
        <v>0</v>
      </c>
      <c r="I73" s="361">
        <f t="shared" si="16"/>
        <v>0</v>
      </c>
      <c r="J73" s="361">
        <f t="shared" si="17"/>
        <v>0</v>
      </c>
      <c r="K73" s="362">
        <f t="shared" si="18"/>
        <v>0</v>
      </c>
      <c r="L73" s="74">
        <f>K73*D73*'B) D RI'!S75</f>
        <v>0</v>
      </c>
      <c r="M73" s="19">
        <f>(('B) D RI'!S75*C73)-(L73*$M$4))/'B) D RI'!S75</f>
        <v>32079.191772151898</v>
      </c>
      <c r="N73" s="349">
        <f t="shared" si="19"/>
        <v>27.943546839853571</v>
      </c>
      <c r="O73" s="80">
        <f t="shared" si="12"/>
        <v>0.63375529097977423</v>
      </c>
    </row>
    <row r="74" spans="1:15" x14ac:dyDescent="0.25">
      <c r="A74" s="61">
        <f>'A) Base RI'!A76</f>
        <v>5513</v>
      </c>
      <c r="B74" s="62" t="str">
        <f>'A) Base RI'!B76</f>
        <v>Bioley-Orjulaz</v>
      </c>
      <c r="C74" s="13">
        <f>'B) D RI'!U76</f>
        <v>24024.471515151512</v>
      </c>
      <c r="D74" s="42">
        <f>'B) D RI'!AR76</f>
        <v>471</v>
      </c>
      <c r="E74" s="269">
        <f t="shared" si="13"/>
        <v>51.007370520491534</v>
      </c>
      <c r="F74" s="80">
        <f t="shared" si="11"/>
        <v>1.1225557336315317</v>
      </c>
      <c r="G74" s="361">
        <f t="shared" si="14"/>
        <v>0</v>
      </c>
      <c r="H74" s="361">
        <f t="shared" si="15"/>
        <v>0</v>
      </c>
      <c r="I74" s="361">
        <f t="shared" si="16"/>
        <v>0</v>
      </c>
      <c r="J74" s="361">
        <f t="shared" si="17"/>
        <v>0</v>
      </c>
      <c r="K74" s="362">
        <f t="shared" si="18"/>
        <v>0</v>
      </c>
      <c r="L74" s="74">
        <f>K74*D74*'B) D RI'!S76</f>
        <v>0</v>
      </c>
      <c r="M74" s="19">
        <f>(('B) D RI'!S76*C74)-(L74*$M$4))/'B) D RI'!S76</f>
        <v>24024.471515151512</v>
      </c>
      <c r="N74" s="349">
        <f t="shared" si="19"/>
        <v>51.007370520491534</v>
      </c>
      <c r="O74" s="80">
        <f t="shared" si="12"/>
        <v>1.1568392205753601</v>
      </c>
    </row>
    <row r="75" spans="1:15" x14ac:dyDescent="0.25">
      <c r="A75" s="61">
        <f>'A) Base RI'!A77</f>
        <v>5514</v>
      </c>
      <c r="B75" s="62" t="str">
        <f>'A) Base RI'!B77</f>
        <v>Bottens</v>
      </c>
      <c r="C75" s="13">
        <f>'B) D RI'!U77</f>
        <v>38346.680434782604</v>
      </c>
      <c r="D75" s="42">
        <f>'B) D RI'!AR77</f>
        <v>1220</v>
      </c>
      <c r="E75" s="269">
        <f t="shared" si="13"/>
        <v>31.431705274411971</v>
      </c>
      <c r="F75" s="80">
        <f t="shared" si="11"/>
        <v>0.69174004881182416</v>
      </c>
      <c r="G75" s="361">
        <f t="shared" si="14"/>
        <v>0</v>
      </c>
      <c r="H75" s="361">
        <f t="shared" si="15"/>
        <v>0</v>
      </c>
      <c r="I75" s="361">
        <f t="shared" si="16"/>
        <v>0</v>
      </c>
      <c r="J75" s="361">
        <f t="shared" si="17"/>
        <v>0</v>
      </c>
      <c r="K75" s="362">
        <f t="shared" si="18"/>
        <v>0</v>
      </c>
      <c r="L75" s="74">
        <f>K75*D75*'B) D RI'!S77</f>
        <v>0</v>
      </c>
      <c r="M75" s="19">
        <f>(('B) D RI'!S77*C75)-(L75*$M$4))/'B) D RI'!S77</f>
        <v>38346.680434782604</v>
      </c>
      <c r="N75" s="349">
        <f t="shared" si="19"/>
        <v>31.431705274411971</v>
      </c>
      <c r="O75" s="80">
        <f t="shared" si="12"/>
        <v>0.71286618110214994</v>
      </c>
    </row>
    <row r="76" spans="1:15" x14ac:dyDescent="0.25">
      <c r="A76" s="61">
        <f>'A) Base RI'!A78</f>
        <v>5515</v>
      </c>
      <c r="B76" s="62" t="str">
        <f>'A) Base RI'!B78</f>
        <v>Bretigny-sur-Morrens</v>
      </c>
      <c r="C76" s="13">
        <f>'B) D RI'!U78</f>
        <v>24345.34643835617</v>
      </c>
      <c r="D76" s="42">
        <f>'B) D RI'!AR78</f>
        <v>797</v>
      </c>
      <c r="E76" s="269">
        <f t="shared" si="13"/>
        <v>30.546231415754292</v>
      </c>
      <c r="F76" s="80">
        <f t="shared" si="11"/>
        <v>0.67225279144344663</v>
      </c>
      <c r="G76" s="361">
        <f t="shared" si="14"/>
        <v>0</v>
      </c>
      <c r="H76" s="361">
        <f t="shared" si="15"/>
        <v>0</v>
      </c>
      <c r="I76" s="361">
        <f t="shared" si="16"/>
        <v>0</v>
      </c>
      <c r="J76" s="361">
        <f t="shared" si="17"/>
        <v>0</v>
      </c>
      <c r="K76" s="362">
        <f t="shared" si="18"/>
        <v>0</v>
      </c>
      <c r="L76" s="74">
        <f>K76*D76*'B) D RI'!S78</f>
        <v>0</v>
      </c>
      <c r="M76" s="19">
        <f>(('B) D RI'!S78*C76)-(L76*$M$4))/'B) D RI'!S78</f>
        <v>24345.34643835617</v>
      </c>
      <c r="N76" s="349">
        <f t="shared" si="19"/>
        <v>30.546231415754292</v>
      </c>
      <c r="O76" s="80">
        <f t="shared" si="12"/>
        <v>0.69278377187311724</v>
      </c>
    </row>
    <row r="77" spans="1:15" x14ac:dyDescent="0.25">
      <c r="A77" s="61">
        <f>'A) Base RI'!A79</f>
        <v>5516</v>
      </c>
      <c r="B77" s="62" t="str">
        <f>'A) Base RI'!B79</f>
        <v>Cugy</v>
      </c>
      <c r="C77" s="13">
        <f>'B) D RI'!U79</f>
        <v>104935.17701492537</v>
      </c>
      <c r="D77" s="42">
        <f>'B) D RI'!AR79</f>
        <v>2755</v>
      </c>
      <c r="E77" s="269">
        <f t="shared" si="13"/>
        <v>38.088993471842237</v>
      </c>
      <c r="F77" s="80">
        <f t="shared" si="11"/>
        <v>0.83825175800609875</v>
      </c>
      <c r="G77" s="361">
        <f t="shared" si="14"/>
        <v>0</v>
      </c>
      <c r="H77" s="361">
        <f t="shared" si="15"/>
        <v>0</v>
      </c>
      <c r="I77" s="361">
        <f t="shared" si="16"/>
        <v>0</v>
      </c>
      <c r="J77" s="361">
        <f t="shared" si="17"/>
        <v>0</v>
      </c>
      <c r="K77" s="362">
        <f t="shared" si="18"/>
        <v>0</v>
      </c>
      <c r="L77" s="74">
        <f>K77*D77*'B) D RI'!S79</f>
        <v>0</v>
      </c>
      <c r="M77" s="19">
        <f>(('B) D RI'!S79*C77)-(L77*$M$4))/'B) D RI'!S79</f>
        <v>104935.17701492537</v>
      </c>
      <c r="N77" s="349">
        <f t="shared" si="19"/>
        <v>38.088993471842237</v>
      </c>
      <c r="O77" s="80">
        <f t="shared" si="12"/>
        <v>0.86385244075195544</v>
      </c>
    </row>
    <row r="78" spans="1:15" x14ac:dyDescent="0.25">
      <c r="A78" s="61">
        <f>'A) Base RI'!A80</f>
        <v>5518</v>
      </c>
      <c r="B78" s="62" t="str">
        <f>'A) Base RI'!B80</f>
        <v>Echallens</v>
      </c>
      <c r="C78" s="13">
        <f>'B) D RI'!U80</f>
        <v>181423.1631081081</v>
      </c>
      <c r="D78" s="42">
        <f>'B) D RI'!AR80</f>
        <v>5606</v>
      </c>
      <c r="E78" s="269">
        <f t="shared" si="13"/>
        <v>32.362319498413861</v>
      </c>
      <c r="F78" s="80">
        <f t="shared" si="11"/>
        <v>0.7122207425290723</v>
      </c>
      <c r="G78" s="361">
        <f t="shared" si="14"/>
        <v>0</v>
      </c>
      <c r="H78" s="361">
        <f t="shared" si="15"/>
        <v>0</v>
      </c>
      <c r="I78" s="361">
        <f t="shared" si="16"/>
        <v>0</v>
      </c>
      <c r="J78" s="361">
        <f t="shared" si="17"/>
        <v>0</v>
      </c>
      <c r="K78" s="362">
        <f t="shared" si="18"/>
        <v>0</v>
      </c>
      <c r="L78" s="74">
        <f>K78*D78*'B) D RI'!S80</f>
        <v>0</v>
      </c>
      <c r="M78" s="19">
        <f>(('B) D RI'!S80*C78)-(L78*$M$4))/'B) D RI'!S80</f>
        <v>181423.1631081081</v>
      </c>
      <c r="N78" s="349">
        <f t="shared" si="19"/>
        <v>32.362319498413861</v>
      </c>
      <c r="O78" s="80">
        <f t="shared" si="12"/>
        <v>0.73397236678796551</v>
      </c>
    </row>
    <row r="79" spans="1:15" x14ac:dyDescent="0.25">
      <c r="A79" s="61">
        <f>'A) Base RI'!A81</f>
        <v>5520</v>
      </c>
      <c r="B79" s="62" t="str">
        <f>'A) Base RI'!B81</f>
        <v>Essertines-sur-Yverdon</v>
      </c>
      <c r="C79" s="13">
        <f>'B) D RI'!U81</f>
        <v>28021.579589041095</v>
      </c>
      <c r="D79" s="42">
        <f>'B) D RI'!AR81</f>
        <v>945</v>
      </c>
      <c r="E79" s="269">
        <f t="shared" si="13"/>
        <v>29.65246517358846</v>
      </c>
      <c r="F79" s="80">
        <f t="shared" si="11"/>
        <v>0.65258303765234493</v>
      </c>
      <c r="G79" s="361">
        <f t="shared" si="14"/>
        <v>0</v>
      </c>
      <c r="H79" s="361">
        <f t="shared" si="15"/>
        <v>0</v>
      </c>
      <c r="I79" s="361">
        <f t="shared" si="16"/>
        <v>0</v>
      </c>
      <c r="J79" s="361">
        <f t="shared" si="17"/>
        <v>0</v>
      </c>
      <c r="K79" s="362">
        <f t="shared" si="18"/>
        <v>0</v>
      </c>
      <c r="L79" s="74">
        <f>K79*D79*'B) D RI'!S81</f>
        <v>0</v>
      </c>
      <c r="M79" s="19">
        <f>(('B) D RI'!S81*C79)-(L79*$M$4))/'B) D RI'!S81</f>
        <v>28021.579589041095</v>
      </c>
      <c r="N79" s="349">
        <f t="shared" si="19"/>
        <v>29.65246517358846</v>
      </c>
      <c r="O79" s="80">
        <f t="shared" si="12"/>
        <v>0.67251329267740345</v>
      </c>
    </row>
    <row r="80" spans="1:15" x14ac:dyDescent="0.25">
      <c r="A80" s="61">
        <f>'A) Base RI'!A82</f>
        <v>5521</v>
      </c>
      <c r="B80" s="62" t="str">
        <f>'A) Base RI'!B82</f>
        <v>Etagnières</v>
      </c>
      <c r="C80" s="13">
        <f>'B) D RI'!U82</f>
        <v>40532.749863013705</v>
      </c>
      <c r="D80" s="42">
        <f>'B) D RI'!AR82</f>
        <v>1146</v>
      </c>
      <c r="E80" s="269">
        <f t="shared" si="13"/>
        <v>35.368891678022429</v>
      </c>
      <c r="F80" s="80">
        <f t="shared" si="11"/>
        <v>0.77838852974015338</v>
      </c>
      <c r="G80" s="361">
        <f t="shared" si="14"/>
        <v>0</v>
      </c>
      <c r="H80" s="361">
        <f t="shared" si="15"/>
        <v>0</v>
      </c>
      <c r="I80" s="361">
        <f t="shared" si="16"/>
        <v>0</v>
      </c>
      <c r="J80" s="361">
        <f t="shared" si="17"/>
        <v>0</v>
      </c>
      <c r="K80" s="362">
        <f t="shared" si="18"/>
        <v>0</v>
      </c>
      <c r="L80" s="74">
        <f>K80*D80*'B) D RI'!S82</f>
        <v>0</v>
      </c>
      <c r="M80" s="19">
        <f>(('B) D RI'!S82*C80)-(L80*$M$4))/'B) D RI'!S82</f>
        <v>40532.749863013705</v>
      </c>
      <c r="N80" s="349">
        <f t="shared" si="19"/>
        <v>35.368891678022429</v>
      </c>
      <c r="O80" s="80">
        <f t="shared" si="12"/>
        <v>0.80216095564032852</v>
      </c>
    </row>
    <row r="81" spans="1:15" x14ac:dyDescent="0.25">
      <c r="A81" s="61">
        <f>'A) Base RI'!A83</f>
        <v>5522</v>
      </c>
      <c r="B81" s="62" t="str">
        <f>'A) Base RI'!B83</f>
        <v>Fey</v>
      </c>
      <c r="C81" s="13">
        <f>'B) D RI'!U83</f>
        <v>18218.5124</v>
      </c>
      <c r="D81" s="42">
        <f>'B) D RI'!AR83</f>
        <v>635</v>
      </c>
      <c r="E81" s="269">
        <f t="shared" si="13"/>
        <v>28.690570708661415</v>
      </c>
      <c r="F81" s="80">
        <f t="shared" si="11"/>
        <v>0.63141393727069517</v>
      </c>
      <c r="G81" s="361">
        <f t="shared" si="14"/>
        <v>0</v>
      </c>
      <c r="H81" s="361">
        <f t="shared" si="15"/>
        <v>0</v>
      </c>
      <c r="I81" s="361">
        <f t="shared" si="16"/>
        <v>0</v>
      </c>
      <c r="J81" s="361">
        <f t="shared" si="17"/>
        <v>0</v>
      </c>
      <c r="K81" s="362">
        <f t="shared" si="18"/>
        <v>0</v>
      </c>
      <c r="L81" s="74">
        <f>K81*D81*'B) D RI'!S83</f>
        <v>0</v>
      </c>
      <c r="M81" s="19">
        <f>(('B) D RI'!S83*C81)-(L81*$M$4))/'B) D RI'!S83</f>
        <v>18218.5124</v>
      </c>
      <c r="N81" s="349">
        <f t="shared" si="19"/>
        <v>28.690570708661415</v>
      </c>
      <c r="O81" s="80">
        <f t="shared" si="12"/>
        <v>0.65069767599834094</v>
      </c>
    </row>
    <row r="82" spans="1:15" x14ac:dyDescent="0.25">
      <c r="A82" s="61">
        <f>'A) Base RI'!A84</f>
        <v>5523</v>
      </c>
      <c r="B82" s="62" t="str">
        <f>'A) Base RI'!B84</f>
        <v>Froideville</v>
      </c>
      <c r="C82" s="13">
        <f>'B) D RI'!U84</f>
        <v>77819.657763157898</v>
      </c>
      <c r="D82" s="42">
        <f>'B) D RI'!AR84</f>
        <v>2422</v>
      </c>
      <c r="E82" s="269">
        <f t="shared" si="13"/>
        <v>32.130329381980964</v>
      </c>
      <c r="F82" s="80">
        <f t="shared" si="11"/>
        <v>0.70711516988946777</v>
      </c>
      <c r="G82" s="361">
        <f t="shared" si="14"/>
        <v>0</v>
      </c>
      <c r="H82" s="361">
        <f t="shared" si="15"/>
        <v>0</v>
      </c>
      <c r="I82" s="361">
        <f t="shared" si="16"/>
        <v>0</v>
      </c>
      <c r="J82" s="361">
        <f t="shared" si="17"/>
        <v>0</v>
      </c>
      <c r="K82" s="362">
        <f t="shared" si="18"/>
        <v>0</v>
      </c>
      <c r="L82" s="74">
        <f>K82*D82*'B) D RI'!S84</f>
        <v>0</v>
      </c>
      <c r="M82" s="19">
        <f>(('B) D RI'!S84*C82)-(L82*$M$4))/'B) D RI'!S84</f>
        <v>77819.657763157898</v>
      </c>
      <c r="N82" s="349">
        <f t="shared" si="19"/>
        <v>32.130329381980964</v>
      </c>
      <c r="O82" s="80">
        <f t="shared" si="12"/>
        <v>0.72871086707259392</v>
      </c>
    </row>
    <row r="83" spans="1:15" x14ac:dyDescent="0.25">
      <c r="A83" s="61">
        <f>'A) Base RI'!A85</f>
        <v>5527</v>
      </c>
      <c r="B83" s="62" t="str">
        <f>'A) Base RI'!B85</f>
        <v>Morrens</v>
      </c>
      <c r="C83" s="13">
        <f>'B) D RI'!U85</f>
        <v>36998.677183098589</v>
      </c>
      <c r="D83" s="42">
        <f>'B) D RI'!AR85</f>
        <v>1055</v>
      </c>
      <c r="E83" s="269">
        <f t="shared" si="13"/>
        <v>35.069836192510508</v>
      </c>
      <c r="F83" s="80">
        <f t="shared" si="11"/>
        <v>0.77180700149218173</v>
      </c>
      <c r="G83" s="361">
        <f t="shared" si="14"/>
        <v>0</v>
      </c>
      <c r="H83" s="361">
        <f t="shared" si="15"/>
        <v>0</v>
      </c>
      <c r="I83" s="361">
        <f t="shared" si="16"/>
        <v>0</v>
      </c>
      <c r="J83" s="361">
        <f t="shared" si="17"/>
        <v>0</v>
      </c>
      <c r="K83" s="362">
        <f t="shared" si="18"/>
        <v>0</v>
      </c>
      <c r="L83" s="74">
        <f>K83*D83*'B) D RI'!S85</f>
        <v>0</v>
      </c>
      <c r="M83" s="19">
        <f>(('B) D RI'!S85*C83)-(L83*$M$4))/'B) D RI'!S85</f>
        <v>36998.677183098589</v>
      </c>
      <c r="N83" s="349">
        <f t="shared" si="19"/>
        <v>35.069836192510508</v>
      </c>
      <c r="O83" s="80">
        <f t="shared" si="12"/>
        <v>0.79537842379761348</v>
      </c>
    </row>
    <row r="84" spans="1:15" x14ac:dyDescent="0.25">
      <c r="A84" s="61">
        <f>'A) Base RI'!A86</f>
        <v>5529</v>
      </c>
      <c r="B84" s="62" t="str">
        <f>'A) Base RI'!B86</f>
        <v>Oulens-sous-Echallens</v>
      </c>
      <c r="C84" s="13">
        <f>'B) D RI'!U86</f>
        <v>16830.940140845072</v>
      </c>
      <c r="D84" s="42">
        <f>'B) D RI'!AR86</f>
        <v>532</v>
      </c>
      <c r="E84" s="269">
        <f t="shared" si="13"/>
        <v>31.637105527904271</v>
      </c>
      <c r="F84" s="80">
        <f t="shared" si="11"/>
        <v>0.69626043929449999</v>
      </c>
      <c r="G84" s="361">
        <f t="shared" si="14"/>
        <v>0</v>
      </c>
      <c r="H84" s="361">
        <f t="shared" si="15"/>
        <v>0</v>
      </c>
      <c r="I84" s="361">
        <f t="shared" si="16"/>
        <v>0</v>
      </c>
      <c r="J84" s="361">
        <f t="shared" si="17"/>
        <v>0</v>
      </c>
      <c r="K84" s="362">
        <f t="shared" si="18"/>
        <v>0</v>
      </c>
      <c r="L84" s="74">
        <f>K84*D84*'B) D RI'!S86</f>
        <v>0</v>
      </c>
      <c r="M84" s="19">
        <f>(('B) D RI'!S86*C84)-(L84*$M$4))/'B) D RI'!S86</f>
        <v>16830.940140845072</v>
      </c>
      <c r="N84" s="349">
        <f t="shared" si="19"/>
        <v>31.637105527904271</v>
      </c>
      <c r="O84" s="80">
        <f t="shared" si="12"/>
        <v>0.71752462686658225</v>
      </c>
    </row>
    <row r="85" spans="1:15" x14ac:dyDescent="0.25">
      <c r="A85" s="61">
        <f>'A) Base RI'!A87</f>
        <v>5530</v>
      </c>
      <c r="B85" s="62" t="str">
        <f>'A) Base RI'!B87</f>
        <v>Pailly</v>
      </c>
      <c r="C85" s="13">
        <f>'B) D RI'!U87</f>
        <v>15988.116172043008</v>
      </c>
      <c r="D85" s="42">
        <f>'B) D RI'!AR87</f>
        <v>533</v>
      </c>
      <c r="E85" s="269">
        <f t="shared" si="13"/>
        <v>29.996465613589134</v>
      </c>
      <c r="F85" s="80">
        <f t="shared" si="11"/>
        <v>0.66015370170254128</v>
      </c>
      <c r="G85" s="361">
        <f t="shared" si="14"/>
        <v>0</v>
      </c>
      <c r="H85" s="361">
        <f t="shared" si="15"/>
        <v>0</v>
      </c>
      <c r="I85" s="361">
        <f t="shared" si="16"/>
        <v>0</v>
      </c>
      <c r="J85" s="361">
        <f t="shared" si="17"/>
        <v>0</v>
      </c>
      <c r="K85" s="362">
        <f t="shared" si="18"/>
        <v>0</v>
      </c>
      <c r="L85" s="74">
        <f>K85*D85*'B) D RI'!S87</f>
        <v>0</v>
      </c>
      <c r="M85" s="19">
        <f>(('B) D RI'!S87*C85)-(L85*$M$4))/'B) D RI'!S87</f>
        <v>15988.116172043008</v>
      </c>
      <c r="N85" s="349">
        <f t="shared" si="19"/>
        <v>29.996465613589134</v>
      </c>
      <c r="O85" s="80">
        <f t="shared" si="12"/>
        <v>0.68031516908912881</v>
      </c>
    </row>
    <row r="86" spans="1:15" x14ac:dyDescent="0.25">
      <c r="A86" s="61">
        <f>'A) Base RI'!A88</f>
        <v>5531</v>
      </c>
      <c r="B86" s="62" t="str">
        <f>'A) Base RI'!B88</f>
        <v>Penthéréaz</v>
      </c>
      <c r="C86" s="13">
        <f>'B) D RI'!U88</f>
        <v>11628.696923076923</v>
      </c>
      <c r="D86" s="42">
        <f>'B) D RI'!AR88</f>
        <v>389</v>
      </c>
      <c r="E86" s="269">
        <f t="shared" si="13"/>
        <v>29.89382242436227</v>
      </c>
      <c r="F86" s="80">
        <f t="shared" si="11"/>
        <v>0.65789475952596788</v>
      </c>
      <c r="G86" s="361">
        <f t="shared" si="14"/>
        <v>0</v>
      </c>
      <c r="H86" s="361">
        <f t="shared" si="15"/>
        <v>0</v>
      </c>
      <c r="I86" s="361">
        <f t="shared" si="16"/>
        <v>0</v>
      </c>
      <c r="J86" s="361">
        <f t="shared" si="17"/>
        <v>0</v>
      </c>
      <c r="K86" s="362">
        <f t="shared" si="18"/>
        <v>0</v>
      </c>
      <c r="L86" s="74">
        <f>K86*D86*'B) D RI'!S88</f>
        <v>0</v>
      </c>
      <c r="M86" s="19">
        <f>(('B) D RI'!S88*C86)-(L86*$M$4))/'B) D RI'!S88</f>
        <v>11628.696923076923</v>
      </c>
      <c r="N86" s="349">
        <f t="shared" si="19"/>
        <v>29.89382242436227</v>
      </c>
      <c r="O86" s="80">
        <f t="shared" si="12"/>
        <v>0.67798723754098389</v>
      </c>
    </row>
    <row r="87" spans="1:15" x14ac:dyDescent="0.25">
      <c r="A87" s="61">
        <f>'A) Base RI'!A89</f>
        <v>5533</v>
      </c>
      <c r="B87" s="62" t="str">
        <f>'A) Base RI'!B89</f>
        <v>Poliez-Pittet</v>
      </c>
      <c r="C87" s="13">
        <f>'B) D RI'!U89</f>
        <v>21286.915727699528</v>
      </c>
      <c r="D87" s="42">
        <f>'B) D RI'!AR89</f>
        <v>815</v>
      </c>
      <c r="E87" s="269">
        <f t="shared" si="13"/>
        <v>26.118915003312306</v>
      </c>
      <c r="F87" s="80">
        <f t="shared" si="11"/>
        <v>0.57481766838821791</v>
      </c>
      <c r="G87" s="361">
        <f t="shared" si="14"/>
        <v>0</v>
      </c>
      <c r="H87" s="361">
        <f t="shared" si="15"/>
        <v>0</v>
      </c>
      <c r="I87" s="361">
        <f t="shared" si="16"/>
        <v>0</v>
      </c>
      <c r="J87" s="361">
        <f t="shared" si="17"/>
        <v>0</v>
      </c>
      <c r="K87" s="362">
        <f t="shared" si="18"/>
        <v>0</v>
      </c>
      <c r="L87" s="74">
        <f>K87*D87*'B) D RI'!S89</f>
        <v>0</v>
      </c>
      <c r="M87" s="19">
        <f>(('B) D RI'!S89*C87)-(L87*$M$4))/'B) D RI'!S89</f>
        <v>21286.915727699528</v>
      </c>
      <c r="N87" s="349">
        <f t="shared" si="19"/>
        <v>26.118915003312306</v>
      </c>
      <c r="O87" s="80">
        <f t="shared" si="12"/>
        <v>0.59237292505731609</v>
      </c>
    </row>
    <row r="88" spans="1:15" x14ac:dyDescent="0.25">
      <c r="A88" s="61">
        <f>'A) Base RI'!A90</f>
        <v>5534</v>
      </c>
      <c r="B88" s="62" t="str">
        <f>'A) Base RI'!B90</f>
        <v>Rueyres</v>
      </c>
      <c r="C88" s="13">
        <f>'B) D RI'!U90</f>
        <v>8123.1504109589041</v>
      </c>
      <c r="D88" s="42">
        <f>'B) D RI'!AR90</f>
        <v>265</v>
      </c>
      <c r="E88" s="269">
        <f t="shared" si="13"/>
        <v>30.653397777203413</v>
      </c>
      <c r="F88" s="80">
        <f t="shared" si="11"/>
        <v>0.67461127831053203</v>
      </c>
      <c r="G88" s="361">
        <f t="shared" si="14"/>
        <v>0</v>
      </c>
      <c r="H88" s="361">
        <f t="shared" si="15"/>
        <v>0</v>
      </c>
      <c r="I88" s="361">
        <f t="shared" si="16"/>
        <v>0</v>
      </c>
      <c r="J88" s="361">
        <f t="shared" si="17"/>
        <v>0</v>
      </c>
      <c r="K88" s="362">
        <f t="shared" si="18"/>
        <v>0</v>
      </c>
      <c r="L88" s="74">
        <f>K88*D88*'B) D RI'!S90</f>
        <v>0</v>
      </c>
      <c r="M88" s="19">
        <f>(('B) D RI'!S90*C88)-(L88*$M$4))/'B) D RI'!S90</f>
        <v>8123.1504109589041</v>
      </c>
      <c r="N88" s="349">
        <f t="shared" si="19"/>
        <v>30.653397777203413</v>
      </c>
      <c r="O88" s="80">
        <f t="shared" si="12"/>
        <v>0.69521428826291809</v>
      </c>
    </row>
    <row r="89" spans="1:15" x14ac:dyDescent="0.25">
      <c r="A89" s="61">
        <f>'A) Base RI'!A91</f>
        <v>5535</v>
      </c>
      <c r="B89" s="62" t="str">
        <f>'A) Base RI'!B91</f>
        <v>Saint-Barthélemy</v>
      </c>
      <c r="C89" s="13">
        <f>'B) D RI'!U91</f>
        <v>21652.779733333333</v>
      </c>
      <c r="D89" s="42">
        <f>'B) D RI'!AR91</f>
        <v>782</v>
      </c>
      <c r="E89" s="269">
        <f t="shared" si="13"/>
        <v>27.688976641091219</v>
      </c>
      <c r="F89" s="80">
        <f t="shared" si="11"/>
        <v>0.60937113930151621</v>
      </c>
      <c r="G89" s="361">
        <f t="shared" si="14"/>
        <v>0</v>
      </c>
      <c r="H89" s="361">
        <f t="shared" si="15"/>
        <v>0</v>
      </c>
      <c r="I89" s="361">
        <f t="shared" si="16"/>
        <v>0</v>
      </c>
      <c r="J89" s="361">
        <f t="shared" si="17"/>
        <v>0</v>
      </c>
      <c r="K89" s="362">
        <f t="shared" si="18"/>
        <v>0</v>
      </c>
      <c r="L89" s="74">
        <f>K89*D89*'B) D RI'!S91</f>
        <v>0</v>
      </c>
      <c r="M89" s="19">
        <f>(('B) D RI'!S91*C89)-(L89*$M$4))/'B) D RI'!S91</f>
        <v>21652.779733333333</v>
      </c>
      <c r="N89" s="349">
        <f t="shared" si="19"/>
        <v>27.688976641091219</v>
      </c>
      <c r="O89" s="80">
        <f t="shared" si="12"/>
        <v>0.62798167851332409</v>
      </c>
    </row>
    <row r="90" spans="1:15" x14ac:dyDescent="0.25">
      <c r="A90" s="61">
        <f>'A) Base RI'!A92</f>
        <v>5537</v>
      </c>
      <c r="B90" s="62" t="str">
        <f>'A) Base RI'!B92</f>
        <v>Villars-le-Terroir</v>
      </c>
      <c r="C90" s="13">
        <f>'B) D RI'!U92</f>
        <v>28181.728767123288</v>
      </c>
      <c r="D90" s="42">
        <f>'B) D RI'!AR92</f>
        <v>1033</v>
      </c>
      <c r="E90" s="269">
        <f t="shared" si="13"/>
        <v>27.281441207282949</v>
      </c>
      <c r="F90" s="80">
        <f t="shared" si="11"/>
        <v>0.6004022151399443</v>
      </c>
      <c r="G90" s="361">
        <f t="shared" si="14"/>
        <v>0</v>
      </c>
      <c r="H90" s="361">
        <f t="shared" si="15"/>
        <v>0</v>
      </c>
      <c r="I90" s="361">
        <f t="shared" si="16"/>
        <v>0</v>
      </c>
      <c r="J90" s="361">
        <f t="shared" si="17"/>
        <v>0</v>
      </c>
      <c r="K90" s="362">
        <f t="shared" si="18"/>
        <v>0</v>
      </c>
      <c r="L90" s="74">
        <f>K90*D90*'B) D RI'!S92</f>
        <v>0</v>
      </c>
      <c r="M90" s="19">
        <f>(('B) D RI'!S92*C90)-(L90*$M$4))/'B) D RI'!S92</f>
        <v>28181.728767123288</v>
      </c>
      <c r="N90" s="349">
        <f t="shared" si="19"/>
        <v>27.281441207282949</v>
      </c>
      <c r="O90" s="80">
        <f t="shared" si="12"/>
        <v>0.6187388383356639</v>
      </c>
    </row>
    <row r="91" spans="1:15" x14ac:dyDescent="0.25">
      <c r="A91" s="61">
        <f>'A) Base RI'!A93</f>
        <v>5539</v>
      </c>
      <c r="B91" s="62" t="str">
        <f>'A) Base RI'!B93</f>
        <v>Vuarrens</v>
      </c>
      <c r="C91" s="13">
        <f>'B) D RI'!U93</f>
        <v>22756.172933333331</v>
      </c>
      <c r="D91" s="42">
        <f>'B) D RI'!AR93</f>
        <v>935</v>
      </c>
      <c r="E91" s="269">
        <f t="shared" si="13"/>
        <v>24.33815286987522</v>
      </c>
      <c r="F91" s="80">
        <f t="shared" si="11"/>
        <v>0.5356271607669586</v>
      </c>
      <c r="G91" s="361">
        <f t="shared" si="14"/>
        <v>0</v>
      </c>
      <c r="H91" s="361">
        <f t="shared" si="15"/>
        <v>0</v>
      </c>
      <c r="I91" s="361">
        <f t="shared" si="16"/>
        <v>0</v>
      </c>
      <c r="J91" s="361">
        <f t="shared" si="17"/>
        <v>0</v>
      </c>
      <c r="K91" s="362">
        <f t="shared" si="18"/>
        <v>0</v>
      </c>
      <c r="L91" s="74">
        <f>K91*D91*'B) D RI'!S93</f>
        <v>0</v>
      </c>
      <c r="M91" s="19">
        <f>(('B) D RI'!S93*C91)-(L91*$M$4))/'B) D RI'!S93</f>
        <v>22756.172933333331</v>
      </c>
      <c r="N91" s="349">
        <f t="shared" si="19"/>
        <v>24.33815286987522</v>
      </c>
      <c r="O91" s="80">
        <f t="shared" si="12"/>
        <v>0.55198551716990363</v>
      </c>
    </row>
    <row r="92" spans="1:15" x14ac:dyDescent="0.25">
      <c r="A92" s="61">
        <f>'A) Base RI'!A94</f>
        <v>5540</v>
      </c>
      <c r="B92" s="62" t="str">
        <f>'A) Base RI'!B94</f>
        <v>Montilliez</v>
      </c>
      <c r="C92" s="13">
        <f>'B) D RI'!U94</f>
        <v>47199.265101351346</v>
      </c>
      <c r="D92" s="42">
        <f>'B) D RI'!AR94</f>
        <v>1656</v>
      </c>
      <c r="E92" s="269">
        <f t="shared" si="13"/>
        <v>28.50197167955999</v>
      </c>
      <c r="F92" s="80">
        <f t="shared" si="11"/>
        <v>0.6272633033659325</v>
      </c>
      <c r="G92" s="361">
        <f t="shared" si="14"/>
        <v>0</v>
      </c>
      <c r="H92" s="361">
        <f t="shared" si="15"/>
        <v>0</v>
      </c>
      <c r="I92" s="361">
        <f t="shared" si="16"/>
        <v>0</v>
      </c>
      <c r="J92" s="361">
        <f t="shared" si="17"/>
        <v>0</v>
      </c>
      <c r="K92" s="362">
        <f t="shared" si="18"/>
        <v>0</v>
      </c>
      <c r="L92" s="74">
        <f>K92*D92*'B) D RI'!S94</f>
        <v>0</v>
      </c>
      <c r="M92" s="19">
        <f>(('B) D RI'!S94*C92)-(L92*$M$4))/'B) D RI'!S94</f>
        <v>47199.265101351346</v>
      </c>
      <c r="N92" s="349">
        <f t="shared" si="19"/>
        <v>28.50197167955999</v>
      </c>
      <c r="O92" s="80">
        <f t="shared" si="12"/>
        <v>0.64642027938681967</v>
      </c>
    </row>
    <row r="93" spans="1:15" x14ac:dyDescent="0.25">
      <c r="A93" s="61">
        <f>'A) Base RI'!A95</f>
        <v>5541</v>
      </c>
      <c r="B93" s="62" t="str">
        <f>'A) Base RI'!B95</f>
        <v>Goumoëns</v>
      </c>
      <c r="C93" s="13">
        <f>'B) D RI'!U95</f>
        <v>35607.690389610398</v>
      </c>
      <c r="D93" s="42">
        <f>'B) D RI'!AR95</f>
        <v>1055</v>
      </c>
      <c r="E93" s="269">
        <f t="shared" si="13"/>
        <v>33.75136529820891</v>
      </c>
      <c r="F93" s="80">
        <f t="shared" si="11"/>
        <v>0.74279046825548101</v>
      </c>
      <c r="G93" s="361">
        <f t="shared" si="14"/>
        <v>0</v>
      </c>
      <c r="H93" s="361">
        <f t="shared" si="15"/>
        <v>0</v>
      </c>
      <c r="I93" s="361">
        <f t="shared" si="16"/>
        <v>0</v>
      </c>
      <c r="J93" s="361">
        <f t="shared" si="17"/>
        <v>0</v>
      </c>
      <c r="K93" s="362">
        <f t="shared" si="18"/>
        <v>0</v>
      </c>
      <c r="L93" s="74">
        <f>K93*D93*'B) D RI'!S95</f>
        <v>0</v>
      </c>
      <c r="M93" s="19">
        <f>(('B) D RI'!S95*C93)-(L93*$M$4))/'B) D RI'!S95</f>
        <v>35607.690389610398</v>
      </c>
      <c r="N93" s="349">
        <f t="shared" si="19"/>
        <v>33.75136529820891</v>
      </c>
      <c r="O93" s="80">
        <f t="shared" si="12"/>
        <v>0.7654757092261496</v>
      </c>
    </row>
    <row r="94" spans="1:15" x14ac:dyDescent="0.25">
      <c r="A94" s="61">
        <f>'A) Base RI'!A96</f>
        <v>5551</v>
      </c>
      <c r="B94" s="62" t="str">
        <f>'A) Base RI'!B96</f>
        <v>Bonvillars</v>
      </c>
      <c r="C94" s="13">
        <f>'B) D RI'!U96</f>
        <v>15988.430935064936</v>
      </c>
      <c r="D94" s="42">
        <f>'B) D RI'!AR96</f>
        <v>506</v>
      </c>
      <c r="E94" s="269">
        <f t="shared" si="13"/>
        <v>31.597689594989994</v>
      </c>
      <c r="F94" s="80">
        <f t="shared" si="11"/>
        <v>0.69539298462985344</v>
      </c>
      <c r="G94" s="361">
        <f t="shared" si="14"/>
        <v>0</v>
      </c>
      <c r="H94" s="361">
        <f t="shared" si="15"/>
        <v>0</v>
      </c>
      <c r="I94" s="361">
        <f t="shared" si="16"/>
        <v>0</v>
      </c>
      <c r="J94" s="361">
        <f t="shared" si="17"/>
        <v>0</v>
      </c>
      <c r="K94" s="362">
        <f t="shared" si="18"/>
        <v>0</v>
      </c>
      <c r="L94" s="74">
        <f>K94*D94*'B) D RI'!S96</f>
        <v>0</v>
      </c>
      <c r="M94" s="19">
        <f>(('B) D RI'!S96*C94)-(L94*$M$4))/'B) D RI'!S96</f>
        <v>15988.430935064936</v>
      </c>
      <c r="N94" s="349">
        <f t="shared" si="19"/>
        <v>31.597689594989994</v>
      </c>
      <c r="O94" s="80">
        <f t="shared" si="12"/>
        <v>0.71663067964590588</v>
      </c>
    </row>
    <row r="95" spans="1:15" x14ac:dyDescent="0.25">
      <c r="A95" s="61">
        <f>'A) Base RI'!A97</f>
        <v>5552</v>
      </c>
      <c r="B95" s="62" t="str">
        <f>'A) Base RI'!B97</f>
        <v>Bullet</v>
      </c>
      <c r="C95" s="13">
        <f>'B) D RI'!U97</f>
        <v>15525.607571428574</v>
      </c>
      <c r="D95" s="42">
        <f>'B) D RI'!AR97</f>
        <v>606</v>
      </c>
      <c r="E95" s="269">
        <f t="shared" si="13"/>
        <v>25.619814474304579</v>
      </c>
      <c r="F95" s="80">
        <f t="shared" si="11"/>
        <v>0.56383360559927109</v>
      </c>
      <c r="G95" s="361">
        <f t="shared" si="14"/>
        <v>0</v>
      </c>
      <c r="H95" s="361">
        <f t="shared" si="15"/>
        <v>0</v>
      </c>
      <c r="I95" s="361">
        <f t="shared" si="16"/>
        <v>0</v>
      </c>
      <c r="J95" s="361">
        <f t="shared" si="17"/>
        <v>0</v>
      </c>
      <c r="K95" s="362">
        <f t="shared" si="18"/>
        <v>0</v>
      </c>
      <c r="L95" s="74">
        <f>K95*D95*'B) D RI'!S97</f>
        <v>0</v>
      </c>
      <c r="M95" s="19">
        <f>(('B) D RI'!S97*C95)-(L95*$M$4))/'B) D RI'!S97</f>
        <v>15525.607571428574</v>
      </c>
      <c r="N95" s="349">
        <f t="shared" si="19"/>
        <v>25.619814474304579</v>
      </c>
      <c r="O95" s="80">
        <f t="shared" si="12"/>
        <v>0.58105340277897999</v>
      </c>
    </row>
    <row r="96" spans="1:15" x14ac:dyDescent="0.25">
      <c r="A96" s="61">
        <f>'A) Base RI'!A98</f>
        <v>5553</v>
      </c>
      <c r="B96" s="62" t="str">
        <f>'A) Base RI'!B98</f>
        <v>Champagne</v>
      </c>
      <c r="C96" s="13">
        <f>'B) D RI'!U98</f>
        <v>43429.608412698406</v>
      </c>
      <c r="D96" s="42">
        <f>'B) D RI'!AR98</f>
        <v>1048</v>
      </c>
      <c r="E96" s="269">
        <f t="shared" si="13"/>
        <v>41.440466042651153</v>
      </c>
      <c r="F96" s="80">
        <f t="shared" si="11"/>
        <v>0.91201001513795654</v>
      </c>
      <c r="G96" s="361">
        <f t="shared" si="14"/>
        <v>0</v>
      </c>
      <c r="H96" s="361">
        <f t="shared" si="15"/>
        <v>0</v>
      </c>
      <c r="I96" s="361">
        <f t="shared" si="16"/>
        <v>0</v>
      </c>
      <c r="J96" s="361">
        <f t="shared" si="17"/>
        <v>0</v>
      </c>
      <c r="K96" s="362">
        <f t="shared" si="18"/>
        <v>0</v>
      </c>
      <c r="L96" s="74">
        <f>K96*D96*'B) D RI'!S98</f>
        <v>0</v>
      </c>
      <c r="M96" s="19">
        <f>(('B) D RI'!S98*C96)-(L96*$M$4))/'B) D RI'!S98</f>
        <v>43429.608412698406</v>
      </c>
      <c r="N96" s="349">
        <f t="shared" si="19"/>
        <v>41.440466042651153</v>
      </c>
      <c r="O96" s="80">
        <f t="shared" si="12"/>
        <v>0.93986331676911272</v>
      </c>
    </row>
    <row r="97" spans="1:15" x14ac:dyDescent="0.25">
      <c r="A97" s="61">
        <f>'A) Base RI'!A99</f>
        <v>5554</v>
      </c>
      <c r="B97" s="62" t="str">
        <f>'A) Base RI'!B99</f>
        <v>Concise</v>
      </c>
      <c r="C97" s="13">
        <f>'B) D RI'!U99</f>
        <v>29691.100933333331</v>
      </c>
      <c r="D97" s="42">
        <f>'B) D RI'!AR99</f>
        <v>954</v>
      </c>
      <c r="E97" s="269">
        <f t="shared" si="13"/>
        <v>31.122747309573722</v>
      </c>
      <c r="F97" s="80">
        <f t="shared" si="11"/>
        <v>0.68494058960933546</v>
      </c>
      <c r="G97" s="361">
        <f t="shared" si="14"/>
        <v>0</v>
      </c>
      <c r="H97" s="361">
        <f t="shared" si="15"/>
        <v>0</v>
      </c>
      <c r="I97" s="361">
        <f t="shared" si="16"/>
        <v>0</v>
      </c>
      <c r="J97" s="361">
        <f t="shared" si="17"/>
        <v>0</v>
      </c>
      <c r="K97" s="362">
        <f t="shared" si="18"/>
        <v>0</v>
      </c>
      <c r="L97" s="74">
        <f>K97*D97*'B) D RI'!S99</f>
        <v>0</v>
      </c>
      <c r="M97" s="19">
        <f>(('B) D RI'!S99*C97)-(L97*$M$4))/'B) D RI'!S99</f>
        <v>29691.100933333331</v>
      </c>
      <c r="N97" s="349">
        <f t="shared" si="19"/>
        <v>31.122747309573722</v>
      </c>
      <c r="O97" s="80">
        <f t="shared" si="12"/>
        <v>0.70585906257032038</v>
      </c>
    </row>
    <row r="98" spans="1:15" x14ac:dyDescent="0.25">
      <c r="A98" s="61">
        <f>'A) Base RI'!A100</f>
        <v>5555</v>
      </c>
      <c r="B98" s="62" t="str">
        <f>'A) Base RI'!B100</f>
        <v>Corcelles-près-Concise</v>
      </c>
      <c r="C98" s="13">
        <f>'B) D RI'!U100</f>
        <v>9762.6867605633779</v>
      </c>
      <c r="D98" s="42">
        <f>'B) D RI'!AR100</f>
        <v>337</v>
      </c>
      <c r="E98" s="269">
        <f t="shared" si="13"/>
        <v>28.969396915618333</v>
      </c>
      <c r="F98" s="80">
        <f t="shared" si="11"/>
        <v>0.63755026529765113</v>
      </c>
      <c r="G98" s="361">
        <f t="shared" si="14"/>
        <v>0</v>
      </c>
      <c r="H98" s="361">
        <f t="shared" si="15"/>
        <v>0</v>
      </c>
      <c r="I98" s="361">
        <f t="shared" si="16"/>
        <v>0</v>
      </c>
      <c r="J98" s="361">
        <f t="shared" si="17"/>
        <v>0</v>
      </c>
      <c r="K98" s="362">
        <f t="shared" si="18"/>
        <v>0</v>
      </c>
      <c r="L98" s="74">
        <f>K98*D98*'B) D RI'!S100</f>
        <v>0</v>
      </c>
      <c r="M98" s="19">
        <f>(('B) D RI'!S100*C98)-(L98*$M$4))/'B) D RI'!S100</f>
        <v>9762.6867605633779</v>
      </c>
      <c r="N98" s="349">
        <f t="shared" si="19"/>
        <v>28.969396915618333</v>
      </c>
      <c r="O98" s="80">
        <f t="shared" si="12"/>
        <v>0.65702141095351652</v>
      </c>
    </row>
    <row r="99" spans="1:15" x14ac:dyDescent="0.25">
      <c r="A99" s="61">
        <f>'A) Base RI'!A101</f>
        <v>5556</v>
      </c>
      <c r="B99" s="62" t="str">
        <f>'A) Base RI'!B101</f>
        <v>Fiez</v>
      </c>
      <c r="C99" s="13">
        <f>'B) D RI'!U101</f>
        <v>10799.932053140095</v>
      </c>
      <c r="D99" s="42">
        <f>'B) D RI'!AR101</f>
        <v>421</v>
      </c>
      <c r="E99" s="269">
        <f t="shared" si="13"/>
        <v>25.653045256864836</v>
      </c>
      <c r="F99" s="80">
        <f t="shared" si="11"/>
        <v>0.5645649392303802</v>
      </c>
      <c r="G99" s="361">
        <f t="shared" si="14"/>
        <v>0</v>
      </c>
      <c r="H99" s="361">
        <f t="shared" si="15"/>
        <v>0</v>
      </c>
      <c r="I99" s="361">
        <f t="shared" si="16"/>
        <v>0</v>
      </c>
      <c r="J99" s="361">
        <f t="shared" si="17"/>
        <v>0</v>
      </c>
      <c r="K99" s="362">
        <f t="shared" si="18"/>
        <v>0</v>
      </c>
      <c r="L99" s="74">
        <f>K99*D99*'B) D RI'!S101</f>
        <v>0</v>
      </c>
      <c r="M99" s="19">
        <f>(('B) D RI'!S101*C99)-(L99*$M$4))/'B) D RI'!S101</f>
        <v>10799.932053140095</v>
      </c>
      <c r="N99" s="349">
        <f t="shared" si="19"/>
        <v>25.653045256864836</v>
      </c>
      <c r="O99" s="80">
        <f t="shared" si="12"/>
        <v>0.58180707175277413</v>
      </c>
    </row>
    <row r="100" spans="1:15" x14ac:dyDescent="0.25">
      <c r="A100" s="61">
        <f>'A) Base RI'!A102</f>
        <v>5557</v>
      </c>
      <c r="B100" s="62" t="str">
        <f>'A) Base RI'!B102</f>
        <v>Fontaines-sur-Grandson</v>
      </c>
      <c r="C100" s="13">
        <f>'B) D RI'!U102</f>
        <v>4200.6523188405799</v>
      </c>
      <c r="D100" s="42">
        <f>'B) D RI'!AR102</f>
        <v>191</v>
      </c>
      <c r="E100" s="269">
        <f t="shared" si="13"/>
        <v>21.99294407769937</v>
      </c>
      <c r="F100" s="80">
        <f t="shared" si="11"/>
        <v>0.48401447128000585</v>
      </c>
      <c r="G100" s="361">
        <f t="shared" si="14"/>
        <v>0</v>
      </c>
      <c r="H100" s="361">
        <f t="shared" si="15"/>
        <v>0</v>
      </c>
      <c r="I100" s="361">
        <f t="shared" si="16"/>
        <v>0</v>
      </c>
      <c r="J100" s="361">
        <f t="shared" si="17"/>
        <v>0</v>
      </c>
      <c r="K100" s="362">
        <f t="shared" si="18"/>
        <v>0</v>
      </c>
      <c r="L100" s="74">
        <f>K100*D100*'B) D RI'!S102</f>
        <v>0</v>
      </c>
      <c r="M100" s="19">
        <f>(('B) D RI'!S102*C100)-(L100*$M$4))/'B) D RI'!S102</f>
        <v>4200.6523188405799</v>
      </c>
      <c r="N100" s="349">
        <f t="shared" si="19"/>
        <v>21.99294407769937</v>
      </c>
      <c r="O100" s="80">
        <f t="shared" si="12"/>
        <v>0.49879654695750519</v>
      </c>
    </row>
    <row r="101" spans="1:15" x14ac:dyDescent="0.25">
      <c r="A101" s="61">
        <f>'A) Base RI'!A103</f>
        <v>5559</v>
      </c>
      <c r="B101" s="62" t="str">
        <f>'A) Base RI'!B103</f>
        <v>Giez</v>
      </c>
      <c r="C101" s="13">
        <f>'B) D RI'!U103</f>
        <v>17998.483636363639</v>
      </c>
      <c r="D101" s="42">
        <f>'B) D RI'!AR103</f>
        <v>389</v>
      </c>
      <c r="E101" s="269">
        <f t="shared" si="13"/>
        <v>46.268595466230437</v>
      </c>
      <c r="F101" s="80">
        <f t="shared" si="11"/>
        <v>1.0182661171845555</v>
      </c>
      <c r="G101" s="361">
        <f t="shared" si="14"/>
        <v>0</v>
      </c>
      <c r="H101" s="361">
        <f t="shared" si="15"/>
        <v>0</v>
      </c>
      <c r="I101" s="361">
        <f t="shared" si="16"/>
        <v>0</v>
      </c>
      <c r="J101" s="361">
        <f t="shared" si="17"/>
        <v>0</v>
      </c>
      <c r="K101" s="362">
        <f t="shared" si="18"/>
        <v>0</v>
      </c>
      <c r="L101" s="74">
        <f>K101*D101*'B) D RI'!S103</f>
        <v>0</v>
      </c>
      <c r="M101" s="19">
        <f>(('B) D RI'!S103*C101)-(L101*$M$4))/'B) D RI'!S103</f>
        <v>17998.483636363639</v>
      </c>
      <c r="N101" s="349">
        <f t="shared" si="19"/>
        <v>46.268595466230437</v>
      </c>
      <c r="O101" s="80">
        <f t="shared" si="12"/>
        <v>1.049364540263207</v>
      </c>
    </row>
    <row r="102" spans="1:15" x14ac:dyDescent="0.25">
      <c r="A102" s="61">
        <f>'A) Base RI'!A104</f>
        <v>5560</v>
      </c>
      <c r="B102" s="62" t="str">
        <f>'A) Base RI'!B104</f>
        <v>Grandevent</v>
      </c>
      <c r="C102" s="13">
        <f>'B) D RI'!U104</f>
        <v>6396.1444117647052</v>
      </c>
      <c r="D102" s="42">
        <f>'B) D RI'!AR104</f>
        <v>232</v>
      </c>
      <c r="E102" s="269">
        <f t="shared" si="13"/>
        <v>27.569587981744419</v>
      </c>
      <c r="F102" s="80">
        <f t="shared" si="11"/>
        <v>0.60674366757120046</v>
      </c>
      <c r="G102" s="361">
        <f t="shared" si="14"/>
        <v>0</v>
      </c>
      <c r="H102" s="361">
        <f t="shared" si="15"/>
        <v>0</v>
      </c>
      <c r="I102" s="361">
        <f t="shared" si="16"/>
        <v>0</v>
      </c>
      <c r="J102" s="361">
        <f t="shared" si="17"/>
        <v>0</v>
      </c>
      <c r="K102" s="362">
        <f t="shared" si="18"/>
        <v>0</v>
      </c>
      <c r="L102" s="74">
        <f>K102*D102*'B) D RI'!S104</f>
        <v>0</v>
      </c>
      <c r="M102" s="19">
        <f>(('B) D RI'!S104*C102)-(L102*$M$4))/'B) D RI'!S104</f>
        <v>6396.1444117647052</v>
      </c>
      <c r="N102" s="349">
        <f t="shared" si="19"/>
        <v>27.569587981744419</v>
      </c>
      <c r="O102" s="80">
        <f t="shared" si="12"/>
        <v>0.62527396231045096</v>
      </c>
    </row>
    <row r="103" spans="1:15" x14ac:dyDescent="0.25">
      <c r="A103" s="61">
        <f>'A) Base RI'!A105</f>
        <v>5561</v>
      </c>
      <c r="B103" s="62" t="str">
        <f>'A) Base RI'!B105</f>
        <v>Grandson</v>
      </c>
      <c r="C103" s="13">
        <f>'B) D RI'!U105</f>
        <v>106507.86840579711</v>
      </c>
      <c r="D103" s="42">
        <f>'B) D RI'!AR105</f>
        <v>3303</v>
      </c>
      <c r="E103" s="269">
        <f t="shared" si="13"/>
        <v>32.245797276959465</v>
      </c>
      <c r="F103" s="80">
        <f t="shared" si="11"/>
        <v>0.70965635455034748</v>
      </c>
      <c r="G103" s="361">
        <f t="shared" si="14"/>
        <v>0</v>
      </c>
      <c r="H103" s="361">
        <f t="shared" si="15"/>
        <v>0</v>
      </c>
      <c r="I103" s="361">
        <f t="shared" si="16"/>
        <v>0</v>
      </c>
      <c r="J103" s="361">
        <f t="shared" si="17"/>
        <v>0</v>
      </c>
      <c r="K103" s="362">
        <f t="shared" si="18"/>
        <v>0</v>
      </c>
      <c r="L103" s="74">
        <f>K103*D103*'B) D RI'!S105</f>
        <v>0</v>
      </c>
      <c r="M103" s="19">
        <f>(('B) D RI'!S105*C103)-(L103*$M$4))/'B) D RI'!S105</f>
        <v>106507.86840579711</v>
      </c>
      <c r="N103" s="349">
        <f t="shared" si="19"/>
        <v>32.245797276959465</v>
      </c>
      <c r="O103" s="80">
        <f t="shared" si="12"/>
        <v>0.73132966095013252</v>
      </c>
    </row>
    <row r="104" spans="1:15" x14ac:dyDescent="0.25">
      <c r="A104" s="61">
        <f>'A) Base RI'!A106</f>
        <v>5562</v>
      </c>
      <c r="B104" s="62" t="str">
        <f>'A) Base RI'!B106</f>
        <v>Mauborget</v>
      </c>
      <c r="C104" s="13">
        <f>'B) D RI'!U106</f>
        <v>3916.9319285714282</v>
      </c>
      <c r="D104" s="42">
        <f>'B) D RI'!AR106</f>
        <v>119</v>
      </c>
      <c r="E104" s="269">
        <f t="shared" si="13"/>
        <v>32.915394357743097</v>
      </c>
      <c r="F104" s="80">
        <f t="shared" si="11"/>
        <v>0.72439265706087641</v>
      </c>
      <c r="G104" s="361">
        <f t="shared" si="14"/>
        <v>0</v>
      </c>
      <c r="H104" s="361">
        <f t="shared" si="15"/>
        <v>0</v>
      </c>
      <c r="I104" s="361">
        <f t="shared" si="16"/>
        <v>0</v>
      </c>
      <c r="J104" s="361">
        <f t="shared" si="17"/>
        <v>0</v>
      </c>
      <c r="K104" s="362">
        <f t="shared" si="18"/>
        <v>0</v>
      </c>
      <c r="L104" s="74">
        <f>K104*D104*'B) D RI'!S106</f>
        <v>0</v>
      </c>
      <c r="M104" s="19">
        <f>(('B) D RI'!S106*C104)-(L104*$M$4))/'B) D RI'!S106</f>
        <v>3916.9319285714282</v>
      </c>
      <c r="N104" s="349">
        <f t="shared" si="19"/>
        <v>32.915394357743097</v>
      </c>
      <c r="O104" s="80">
        <f t="shared" si="12"/>
        <v>0.7465160184731513</v>
      </c>
    </row>
    <row r="105" spans="1:15" x14ac:dyDescent="0.25">
      <c r="A105" s="61">
        <f>'A) Base RI'!A107</f>
        <v>5563</v>
      </c>
      <c r="B105" s="62" t="str">
        <f>'A) Base RI'!B107</f>
        <v>Mutrux</v>
      </c>
      <c r="C105" s="13">
        <f>'B) D RI'!U107</f>
        <v>4102.2142675159239</v>
      </c>
      <c r="D105" s="42">
        <f>'B) D RI'!AR107</f>
        <v>153</v>
      </c>
      <c r="E105" s="269">
        <f t="shared" si="13"/>
        <v>26.811857957620418</v>
      </c>
      <c r="F105" s="80">
        <f t="shared" si="11"/>
        <v>0.59006776025730667</v>
      </c>
      <c r="G105" s="361">
        <f t="shared" si="14"/>
        <v>0</v>
      </c>
      <c r="H105" s="361">
        <f t="shared" si="15"/>
        <v>0</v>
      </c>
      <c r="I105" s="361">
        <f t="shared" si="16"/>
        <v>0</v>
      </c>
      <c r="J105" s="361">
        <f t="shared" si="17"/>
        <v>0</v>
      </c>
      <c r="K105" s="362">
        <f t="shared" si="18"/>
        <v>0</v>
      </c>
      <c r="L105" s="74">
        <f>K105*D105*'B) D RI'!S107</f>
        <v>0</v>
      </c>
      <c r="M105" s="19">
        <f>(('B) D RI'!S107*C105)-(L105*$M$4))/'B) D RI'!S107</f>
        <v>4102.2142675159239</v>
      </c>
      <c r="N105" s="349">
        <f t="shared" si="19"/>
        <v>26.811857957620418</v>
      </c>
      <c r="O105" s="80">
        <f t="shared" si="12"/>
        <v>0.60808876335646822</v>
      </c>
    </row>
    <row r="106" spans="1:15" x14ac:dyDescent="0.25">
      <c r="A106" s="61">
        <f>'A) Base RI'!A108</f>
        <v>5564</v>
      </c>
      <c r="B106" s="62" t="str">
        <f>'A) Base RI'!B108</f>
        <v>Novalles</v>
      </c>
      <c r="C106" s="13">
        <f>'B) D RI'!U108</f>
        <v>2120.1975328947365</v>
      </c>
      <c r="D106" s="42">
        <f>'B) D RI'!AR108</f>
        <v>102</v>
      </c>
      <c r="E106" s="269">
        <f t="shared" si="13"/>
        <v>20.786250322497416</v>
      </c>
      <c r="F106" s="80">
        <f t="shared" si="11"/>
        <v>0.45745789759630395</v>
      </c>
      <c r="G106" s="361">
        <f t="shared" si="14"/>
        <v>0</v>
      </c>
      <c r="H106" s="361">
        <f t="shared" si="15"/>
        <v>0</v>
      </c>
      <c r="I106" s="361">
        <f t="shared" si="16"/>
        <v>0</v>
      </c>
      <c r="J106" s="361">
        <f t="shared" si="17"/>
        <v>0</v>
      </c>
      <c r="K106" s="362">
        <f t="shared" si="18"/>
        <v>0</v>
      </c>
      <c r="L106" s="74">
        <f>K106*D106*'B) D RI'!S108</f>
        <v>0</v>
      </c>
      <c r="M106" s="19">
        <f>(('B) D RI'!S108*C106)-(L106*$M$4))/'B) D RI'!S108</f>
        <v>2120.1975328947365</v>
      </c>
      <c r="N106" s="349">
        <f t="shared" si="19"/>
        <v>20.786250322497416</v>
      </c>
      <c r="O106" s="80">
        <f t="shared" si="12"/>
        <v>0.47142892049496921</v>
      </c>
    </row>
    <row r="107" spans="1:15" x14ac:dyDescent="0.25">
      <c r="A107" s="61">
        <f>'A) Base RI'!A109</f>
        <v>5565</v>
      </c>
      <c r="B107" s="62" t="str">
        <f>'A) Base RI'!B109</f>
        <v>Onnens</v>
      </c>
      <c r="C107" s="13">
        <f>'B) D RI'!U109</f>
        <v>19222.665538461537</v>
      </c>
      <c r="D107" s="42">
        <f>'B) D RI'!AR109</f>
        <v>493</v>
      </c>
      <c r="E107" s="269">
        <f t="shared" si="13"/>
        <v>38.991207988765794</v>
      </c>
      <c r="F107" s="80">
        <f t="shared" si="11"/>
        <v>0.85810743903030029</v>
      </c>
      <c r="G107" s="361">
        <f t="shared" si="14"/>
        <v>0</v>
      </c>
      <c r="H107" s="361">
        <f t="shared" si="15"/>
        <v>0</v>
      </c>
      <c r="I107" s="361">
        <f t="shared" si="16"/>
        <v>0</v>
      </c>
      <c r="J107" s="361">
        <f t="shared" si="17"/>
        <v>0</v>
      </c>
      <c r="K107" s="362">
        <f t="shared" si="18"/>
        <v>0</v>
      </c>
      <c r="L107" s="74">
        <f>K107*D107*'B) D RI'!S109</f>
        <v>0</v>
      </c>
      <c r="M107" s="19">
        <f>(('B) D RI'!S109*C107)-(L107*$M$4))/'B) D RI'!S109</f>
        <v>19222.665538461537</v>
      </c>
      <c r="N107" s="349">
        <f t="shared" si="19"/>
        <v>38.991207988765794</v>
      </c>
      <c r="O107" s="80">
        <f t="shared" si="12"/>
        <v>0.88431452550361545</v>
      </c>
    </row>
    <row r="108" spans="1:15" x14ac:dyDescent="0.25">
      <c r="A108" s="61">
        <f>'A) Base RI'!A110</f>
        <v>5566</v>
      </c>
      <c r="B108" s="62" t="str">
        <f>'A) Base RI'!B110</f>
        <v>Provence</v>
      </c>
      <c r="C108" s="13">
        <f>'B) D RI'!U110</f>
        <v>7814.1319753086409</v>
      </c>
      <c r="D108" s="42">
        <f>'B) D RI'!AR110</f>
        <v>385</v>
      </c>
      <c r="E108" s="269">
        <f t="shared" si="13"/>
        <v>20.296446689113353</v>
      </c>
      <c r="F108" s="80">
        <f t="shared" si="11"/>
        <v>0.44667843824762121</v>
      </c>
      <c r="G108" s="361">
        <f t="shared" si="14"/>
        <v>0</v>
      </c>
      <c r="H108" s="361">
        <f t="shared" si="15"/>
        <v>0</v>
      </c>
      <c r="I108" s="361">
        <f t="shared" si="16"/>
        <v>0</v>
      </c>
      <c r="J108" s="361">
        <f t="shared" si="17"/>
        <v>0</v>
      </c>
      <c r="K108" s="362">
        <f t="shared" si="18"/>
        <v>0</v>
      </c>
      <c r="L108" s="74">
        <f>K108*D108*'B) D RI'!S110</f>
        <v>0</v>
      </c>
      <c r="M108" s="19">
        <f>(('B) D RI'!S110*C108)-(L108*$M$4))/'B) D RI'!S110</f>
        <v>7814.1319753086409</v>
      </c>
      <c r="N108" s="349">
        <f t="shared" si="19"/>
        <v>20.296446689113353</v>
      </c>
      <c r="O108" s="80">
        <f t="shared" si="12"/>
        <v>0.46032025036167218</v>
      </c>
    </row>
    <row r="109" spans="1:15" x14ac:dyDescent="0.25">
      <c r="A109" s="61">
        <f>'A) Base RI'!A111</f>
        <v>5568</v>
      </c>
      <c r="B109" s="62" t="str">
        <f>'A) Base RI'!B111</f>
        <v>Sainte-Croix</v>
      </c>
      <c r="C109" s="13">
        <f>'B) D RI'!U111</f>
        <v>93435.029714285716</v>
      </c>
      <c r="D109" s="42">
        <f>'B) D RI'!AR111</f>
        <v>4763</v>
      </c>
      <c r="E109" s="269">
        <f t="shared" si="13"/>
        <v>19.616844365795867</v>
      </c>
      <c r="F109" s="80">
        <f t="shared" si="11"/>
        <v>0.43172194319906992</v>
      </c>
      <c r="G109" s="361">
        <f t="shared" si="14"/>
        <v>0</v>
      </c>
      <c r="H109" s="361">
        <f t="shared" si="15"/>
        <v>0</v>
      </c>
      <c r="I109" s="361">
        <f t="shared" si="16"/>
        <v>0</v>
      </c>
      <c r="J109" s="361">
        <f t="shared" si="17"/>
        <v>0</v>
      </c>
      <c r="K109" s="362">
        <f t="shared" si="18"/>
        <v>0</v>
      </c>
      <c r="L109" s="74">
        <f>K109*D109*'B) D RI'!S111</f>
        <v>0</v>
      </c>
      <c r="M109" s="19">
        <f>(('B) D RI'!S111*C109)-(L109*$M$4))/'B) D RI'!S111</f>
        <v>93435.029714285716</v>
      </c>
      <c r="N109" s="349">
        <f t="shared" si="19"/>
        <v>19.616844365795867</v>
      </c>
      <c r="O109" s="80">
        <f t="shared" si="12"/>
        <v>0.44490697549599445</v>
      </c>
    </row>
    <row r="110" spans="1:15" x14ac:dyDescent="0.25">
      <c r="A110" s="61">
        <f>'A) Base RI'!A112</f>
        <v>5571</v>
      </c>
      <c r="B110" s="62" t="str">
        <f>'A) Base RI'!B112</f>
        <v>Tévenon</v>
      </c>
      <c r="C110" s="13">
        <f>'B) D RI'!U112</f>
        <v>20766.182465753427</v>
      </c>
      <c r="D110" s="42">
        <f>'B) D RI'!AR112</f>
        <v>811</v>
      </c>
      <c r="E110" s="269">
        <f t="shared" si="13"/>
        <v>25.605650389338383</v>
      </c>
      <c r="F110" s="80">
        <f t="shared" si="11"/>
        <v>0.56352188643735002</v>
      </c>
      <c r="G110" s="361">
        <f t="shared" si="14"/>
        <v>0</v>
      </c>
      <c r="H110" s="361">
        <f t="shared" si="15"/>
        <v>0</v>
      </c>
      <c r="I110" s="361">
        <f t="shared" si="16"/>
        <v>0</v>
      </c>
      <c r="J110" s="361">
        <f t="shared" si="17"/>
        <v>0</v>
      </c>
      <c r="K110" s="362">
        <f t="shared" si="18"/>
        <v>0</v>
      </c>
      <c r="L110" s="74">
        <f>K110*D110*'B) D RI'!S112</f>
        <v>0</v>
      </c>
      <c r="M110" s="19">
        <f>(('B) D RI'!S112*C110)-(L110*$M$4))/'B) D RI'!S112</f>
        <v>20766.182465753427</v>
      </c>
      <c r="N110" s="349">
        <f t="shared" si="19"/>
        <v>25.605650389338383</v>
      </c>
      <c r="O110" s="80">
        <f t="shared" si="12"/>
        <v>0.58073216353756729</v>
      </c>
    </row>
    <row r="111" spans="1:15" x14ac:dyDescent="0.25">
      <c r="A111" s="61">
        <f>'A) Base RI'!A113</f>
        <v>5581</v>
      </c>
      <c r="B111" s="62" t="str">
        <f>'A) Base RI'!B113</f>
        <v>Belmont-sur-Lausanne</v>
      </c>
      <c r="C111" s="13">
        <f>'B) D RI'!U113</f>
        <v>173034.35179856114</v>
      </c>
      <c r="D111" s="42">
        <f>'B) D RI'!AR113</f>
        <v>3602</v>
      </c>
      <c r="E111" s="269">
        <f t="shared" si="13"/>
        <v>48.038409716424525</v>
      </c>
      <c r="F111" s="80">
        <f t="shared" si="11"/>
        <v>1.0572156868986033</v>
      </c>
      <c r="G111" s="361">
        <f t="shared" si="14"/>
        <v>0</v>
      </c>
      <c r="H111" s="361">
        <f t="shared" si="15"/>
        <v>0</v>
      </c>
      <c r="I111" s="361">
        <f t="shared" si="16"/>
        <v>0</v>
      </c>
      <c r="J111" s="361">
        <f t="shared" si="17"/>
        <v>0</v>
      </c>
      <c r="K111" s="362">
        <f t="shared" si="18"/>
        <v>0</v>
      </c>
      <c r="L111" s="74">
        <f>K111*D111*'B) D RI'!S113</f>
        <v>0</v>
      </c>
      <c r="M111" s="19">
        <f>(('B) D RI'!S113*C111)-(L111*$M$4))/'B) D RI'!S113</f>
        <v>173034.35179856114</v>
      </c>
      <c r="N111" s="349">
        <f t="shared" si="19"/>
        <v>48.038409716424525</v>
      </c>
      <c r="O111" s="80">
        <f t="shared" si="12"/>
        <v>1.0895036518634647</v>
      </c>
    </row>
    <row r="112" spans="1:15" x14ac:dyDescent="0.25">
      <c r="A112" s="61">
        <f>'A) Base RI'!A114</f>
        <v>5582</v>
      </c>
      <c r="B112" s="62" t="str">
        <f>'A) Base RI'!B114</f>
        <v>Cheseaux-sur-Lausanne</v>
      </c>
      <c r="C112" s="13">
        <f>'B) D RI'!U114</f>
        <v>165346.44872483221</v>
      </c>
      <c r="D112" s="42">
        <f>'B) D RI'!AR114</f>
        <v>4297</v>
      </c>
      <c r="E112" s="269">
        <f t="shared" si="13"/>
        <v>38.479508662981665</v>
      </c>
      <c r="F112" s="80">
        <f t="shared" si="11"/>
        <v>0.84684610549765715</v>
      </c>
      <c r="G112" s="361">
        <f t="shared" si="14"/>
        <v>0</v>
      </c>
      <c r="H112" s="361">
        <f t="shared" si="15"/>
        <v>0</v>
      </c>
      <c r="I112" s="361">
        <f t="shared" si="16"/>
        <v>0</v>
      </c>
      <c r="J112" s="361">
        <f t="shared" si="17"/>
        <v>0</v>
      </c>
      <c r="K112" s="362">
        <f t="shared" si="18"/>
        <v>0</v>
      </c>
      <c r="L112" s="74">
        <f>K112*D112*'B) D RI'!S114</f>
        <v>0</v>
      </c>
      <c r="M112" s="19">
        <f>(('B) D RI'!S114*C112)-(L112*$M$4))/'B) D RI'!S114</f>
        <v>165346.44872483221</v>
      </c>
      <c r="N112" s="349">
        <f t="shared" si="19"/>
        <v>38.479508662981665</v>
      </c>
      <c r="O112" s="80">
        <f t="shared" si="12"/>
        <v>0.87270926447626573</v>
      </c>
    </row>
    <row r="113" spans="1:15" x14ac:dyDescent="0.25">
      <c r="A113" s="61">
        <f>'A) Base RI'!A115</f>
        <v>5583</v>
      </c>
      <c r="B113" s="62" t="str">
        <f>'A) Base RI'!B115</f>
        <v>Crissier</v>
      </c>
      <c r="C113" s="13">
        <f>'B) D RI'!U115</f>
        <v>323925.7196923077</v>
      </c>
      <c r="D113" s="42">
        <f>'B) D RI'!AR115</f>
        <v>7542</v>
      </c>
      <c r="E113" s="269">
        <f t="shared" si="13"/>
        <v>42.949578320380233</v>
      </c>
      <c r="F113" s="80">
        <f t="shared" si="11"/>
        <v>0.94522212983377196</v>
      </c>
      <c r="G113" s="361">
        <f t="shared" si="14"/>
        <v>0</v>
      </c>
      <c r="H113" s="361">
        <f t="shared" si="15"/>
        <v>0</v>
      </c>
      <c r="I113" s="361">
        <f t="shared" si="16"/>
        <v>0</v>
      </c>
      <c r="J113" s="361">
        <f t="shared" si="17"/>
        <v>0</v>
      </c>
      <c r="K113" s="362">
        <f t="shared" si="18"/>
        <v>0</v>
      </c>
      <c r="L113" s="74">
        <f>K113*D113*'B) D RI'!S115</f>
        <v>0</v>
      </c>
      <c r="M113" s="19">
        <f>(('B) D RI'!S115*C113)-(L113*$M$4))/'B) D RI'!S115</f>
        <v>323925.7196923077</v>
      </c>
      <c r="N113" s="349">
        <f t="shared" si="19"/>
        <v>42.949578320380233</v>
      </c>
      <c r="O113" s="80">
        <f t="shared" si="12"/>
        <v>0.97408974823017902</v>
      </c>
    </row>
    <row r="114" spans="1:15" x14ac:dyDescent="0.25">
      <c r="A114" s="61">
        <f>'A) Base RI'!A116</f>
        <v>5584</v>
      </c>
      <c r="B114" s="62" t="str">
        <f>'A) Base RI'!B116</f>
        <v>Epalinges</v>
      </c>
      <c r="C114" s="13">
        <f>'B) D RI'!U116</f>
        <v>455923.60696969699</v>
      </c>
      <c r="D114" s="42">
        <f>'B) D RI'!AR116</f>
        <v>9185</v>
      </c>
      <c r="E114" s="269">
        <f t="shared" si="13"/>
        <v>49.637845070190203</v>
      </c>
      <c r="F114" s="80">
        <f t="shared" si="11"/>
        <v>1.0924156062165644</v>
      </c>
      <c r="G114" s="361">
        <f t="shared" si="14"/>
        <v>0</v>
      </c>
      <c r="H114" s="361">
        <f t="shared" si="15"/>
        <v>0</v>
      </c>
      <c r="I114" s="361">
        <f t="shared" si="16"/>
        <v>0</v>
      </c>
      <c r="J114" s="361">
        <f t="shared" si="17"/>
        <v>0</v>
      </c>
      <c r="K114" s="362">
        <f t="shared" si="18"/>
        <v>0</v>
      </c>
      <c r="L114" s="74">
        <f>K114*D114*'B) D RI'!S116</f>
        <v>0</v>
      </c>
      <c r="M114" s="19">
        <f>(('B) D RI'!S116*C114)-(L114*$M$4))/'B) D RI'!S116</f>
        <v>455923.60696969699</v>
      </c>
      <c r="N114" s="349">
        <f t="shared" si="19"/>
        <v>49.637845070190203</v>
      </c>
      <c r="O114" s="80">
        <f t="shared" si="12"/>
        <v>1.1257785966239995</v>
      </c>
    </row>
    <row r="115" spans="1:15" x14ac:dyDescent="0.25">
      <c r="A115" s="61">
        <f>'A) Base RI'!A117</f>
        <v>5585</v>
      </c>
      <c r="B115" s="62" t="str">
        <f>'A) Base RI'!B117</f>
        <v>Jouxtens-Mézery</v>
      </c>
      <c r="C115" s="13">
        <f>'B) D RI'!U117</f>
        <v>159177.88018867921</v>
      </c>
      <c r="D115" s="42">
        <f>'B) D RI'!AR117</f>
        <v>1405</v>
      </c>
      <c r="E115" s="269">
        <f t="shared" si="13"/>
        <v>113.29386490297452</v>
      </c>
      <c r="F115" s="80">
        <f t="shared" si="11"/>
        <v>2.4933392240052417</v>
      </c>
      <c r="G115" s="361">
        <f t="shared" si="14"/>
        <v>58.767534680976773</v>
      </c>
      <c r="H115" s="361">
        <f t="shared" si="15"/>
        <v>45.135952125477331</v>
      </c>
      <c r="I115" s="361">
        <f t="shared" si="16"/>
        <v>22.416647866311607</v>
      </c>
      <c r="J115" s="361">
        <f t="shared" si="17"/>
        <v>0</v>
      </c>
      <c r="K115" s="362">
        <f t="shared" si="18"/>
        <v>27.911572484330534</v>
      </c>
      <c r="L115" s="74">
        <f>K115*D115*'B) D RI'!S117</f>
        <v>2078435.2450456733</v>
      </c>
      <c r="M115" s="19">
        <f>(('B) D RI'!S117*C115)-(L115*$M$4))/'B) D RI'!S117</f>
        <v>133687.63661736436</v>
      </c>
      <c r="N115" s="349">
        <f t="shared" si="19"/>
        <v>95.151342788159681</v>
      </c>
      <c r="O115" s="80">
        <f t="shared" si="12"/>
        <v>2.1580176375399014</v>
      </c>
    </row>
    <row r="116" spans="1:15" x14ac:dyDescent="0.25">
      <c r="A116" s="61">
        <f>'A) Base RI'!A118</f>
        <v>5586</v>
      </c>
      <c r="B116" s="62" t="str">
        <f>'A) Base RI'!B118</f>
        <v>Lausanne</v>
      </c>
      <c r="C116" s="13">
        <f>'B) D RI'!U118</f>
        <v>5897479.10464135</v>
      </c>
      <c r="D116" s="42">
        <f>'B) D RI'!AR118</f>
        <v>134937</v>
      </c>
      <c r="E116" s="269">
        <f t="shared" si="13"/>
        <v>43.705426270343565</v>
      </c>
      <c r="F116" s="80">
        <f t="shared" si="11"/>
        <v>0.96185661699370328</v>
      </c>
      <c r="G116" s="361">
        <f t="shared" si="14"/>
        <v>0</v>
      </c>
      <c r="H116" s="361">
        <f t="shared" si="15"/>
        <v>0</v>
      </c>
      <c r="I116" s="361">
        <f t="shared" si="16"/>
        <v>0</v>
      </c>
      <c r="J116" s="361">
        <f t="shared" si="17"/>
        <v>0</v>
      </c>
      <c r="K116" s="362">
        <f t="shared" si="18"/>
        <v>0</v>
      </c>
      <c r="L116" s="74">
        <f>K116*D116*'B) D RI'!S118</f>
        <v>0</v>
      </c>
      <c r="M116" s="19">
        <f>(('B) D RI'!S118*C116)-(L116*$M$4))/'B) D RI'!S118</f>
        <v>5897479.10464135</v>
      </c>
      <c r="N116" s="349">
        <f t="shared" si="19"/>
        <v>43.705426270343565</v>
      </c>
      <c r="O116" s="80">
        <f t="shared" si="12"/>
        <v>0.99123226203527293</v>
      </c>
    </row>
    <row r="117" spans="1:15" x14ac:dyDescent="0.25">
      <c r="A117" s="61">
        <f>'A) Base RI'!A119</f>
        <v>5587</v>
      </c>
      <c r="B117" s="62" t="str">
        <f>'A) Base RI'!B119</f>
        <v>Le Mont-sur-Lausanne</v>
      </c>
      <c r="C117" s="13">
        <f>'B) D RI'!U119</f>
        <v>380449.00348888891</v>
      </c>
      <c r="D117" s="42">
        <f>'B) D RI'!AR119</f>
        <v>7271</v>
      </c>
      <c r="E117" s="269">
        <f t="shared" si="13"/>
        <v>52.324164968902338</v>
      </c>
      <c r="F117" s="80">
        <f t="shared" si="11"/>
        <v>1.1515353721228725</v>
      </c>
      <c r="G117" s="361">
        <f t="shared" si="14"/>
        <v>0</v>
      </c>
      <c r="H117" s="361">
        <f t="shared" si="15"/>
        <v>0</v>
      </c>
      <c r="I117" s="361">
        <f t="shared" si="16"/>
        <v>0</v>
      </c>
      <c r="J117" s="361">
        <f t="shared" si="17"/>
        <v>0</v>
      </c>
      <c r="K117" s="362">
        <f t="shared" si="18"/>
        <v>0</v>
      </c>
      <c r="L117" s="74">
        <f>K117*D117*'B) D RI'!S119</f>
        <v>0</v>
      </c>
      <c r="M117" s="19">
        <f>(('B) D RI'!S119*C117)-(L117*$M$4))/'B) D RI'!S119</f>
        <v>380449.00348888891</v>
      </c>
      <c r="N117" s="349">
        <f t="shared" si="19"/>
        <v>52.324164968902338</v>
      </c>
      <c r="O117" s="80">
        <f t="shared" si="12"/>
        <v>1.1867039136150757</v>
      </c>
    </row>
    <row r="118" spans="1:15" x14ac:dyDescent="0.25">
      <c r="A118" s="61">
        <f>'A) Base RI'!A120</f>
        <v>5588</v>
      </c>
      <c r="B118" s="62" t="str">
        <f>'A) Base RI'!B120</f>
        <v>Paudex</v>
      </c>
      <c r="C118" s="13">
        <f>'B) D RI'!U120</f>
        <v>152789.79231126595</v>
      </c>
      <c r="D118" s="42">
        <f>'B) D RI'!AR120</f>
        <v>1485</v>
      </c>
      <c r="E118" s="269">
        <f t="shared" si="13"/>
        <v>102.88874903115553</v>
      </c>
      <c r="F118" s="80">
        <f t="shared" si="11"/>
        <v>2.2643463870520324</v>
      </c>
      <c r="G118" s="361">
        <f t="shared" si="14"/>
        <v>48.362418809157781</v>
      </c>
      <c r="H118" s="361">
        <f t="shared" si="15"/>
        <v>34.730836253658339</v>
      </c>
      <c r="I118" s="361">
        <f t="shared" si="16"/>
        <v>12.011531994492614</v>
      </c>
      <c r="J118" s="361">
        <f t="shared" si="17"/>
        <v>0</v>
      </c>
      <c r="K118" s="362">
        <f t="shared" si="18"/>
        <v>22.084707596111897</v>
      </c>
      <c r="L118" s="74">
        <f>K118*D118*'B) D RI'!S120</f>
        <v>2016941.1329839095</v>
      </c>
      <c r="M118" s="19">
        <f>(('B) D RI'!S120*C118)-(L118*$M$4))/'B) D RI'!S120</f>
        <v>131472.52830411893</v>
      </c>
      <c r="N118" s="349">
        <f t="shared" si="19"/>
        <v>88.533689093682781</v>
      </c>
      <c r="O118" s="80">
        <f t="shared" si="12"/>
        <v>2.0079302822452232</v>
      </c>
    </row>
    <row r="119" spans="1:15" x14ac:dyDescent="0.25">
      <c r="A119" s="61">
        <f>'A) Base RI'!A121</f>
        <v>5589</v>
      </c>
      <c r="B119" s="62" t="str">
        <f>'A) Base RI'!B121</f>
        <v>Prilly</v>
      </c>
      <c r="C119" s="13">
        <f>'B) D RI'!U121</f>
        <v>462414.97306122456</v>
      </c>
      <c r="D119" s="42">
        <f>'B) D RI'!AR121</f>
        <v>11782</v>
      </c>
      <c r="E119" s="269">
        <f t="shared" si="13"/>
        <v>39.247578769413053</v>
      </c>
      <c r="F119" s="80">
        <f t="shared" si="11"/>
        <v>0.86374957440827582</v>
      </c>
      <c r="G119" s="361">
        <f t="shared" si="14"/>
        <v>0</v>
      </c>
      <c r="H119" s="361">
        <f t="shared" si="15"/>
        <v>0</v>
      </c>
      <c r="I119" s="361">
        <f t="shared" si="16"/>
        <v>0</v>
      </c>
      <c r="J119" s="361">
        <f t="shared" si="17"/>
        <v>0</v>
      </c>
      <c r="K119" s="362">
        <f t="shared" si="18"/>
        <v>0</v>
      </c>
      <c r="L119" s="74">
        <f>K119*D119*'B) D RI'!S121</f>
        <v>0</v>
      </c>
      <c r="M119" s="19">
        <f>(('B) D RI'!S121*C119)-(L119*$M$4))/'B) D RI'!S121</f>
        <v>462414.97306122456</v>
      </c>
      <c r="N119" s="349">
        <f t="shared" si="19"/>
        <v>39.247578769413053</v>
      </c>
      <c r="O119" s="80">
        <f t="shared" si="12"/>
        <v>0.89012897488683007</v>
      </c>
    </row>
    <row r="120" spans="1:15" x14ac:dyDescent="0.25">
      <c r="A120" s="61">
        <f>'A) Base RI'!A122</f>
        <v>5590</v>
      </c>
      <c r="B120" s="62" t="str">
        <f>'A) Base RI'!B122</f>
        <v>Pully</v>
      </c>
      <c r="C120" s="13">
        <f>'B) D RI'!U122</f>
        <v>1366683.426371882</v>
      </c>
      <c r="D120" s="42">
        <f>'B) D RI'!AR122</f>
        <v>17811</v>
      </c>
      <c r="E120" s="269">
        <f t="shared" si="13"/>
        <v>76.732548782880357</v>
      </c>
      <c r="F120" s="80">
        <f t="shared" si="11"/>
        <v>1.688708155574876</v>
      </c>
      <c r="G120" s="361">
        <f t="shared" si="14"/>
        <v>22.206218560882611</v>
      </c>
      <c r="H120" s="361">
        <f t="shared" si="15"/>
        <v>8.5746360053831694</v>
      </c>
      <c r="I120" s="361">
        <f t="shared" si="16"/>
        <v>0</v>
      </c>
      <c r="J120" s="361">
        <f t="shared" si="17"/>
        <v>0</v>
      </c>
      <c r="K120" s="362">
        <f t="shared" si="18"/>
        <v>8.8517022824560563</v>
      </c>
      <c r="L120" s="74">
        <f>K120*D120*'B) D RI'!S122</f>
        <v>9932433.1692279633</v>
      </c>
      <c r="M120" s="19">
        <f>(('B) D RI'!S122*C120)-(L120*$M$4))/'B) D RI'!S122</f>
        <v>1264205.9412925458</v>
      </c>
      <c r="N120" s="349">
        <f t="shared" si="19"/>
        <v>70.978942299283915</v>
      </c>
      <c r="O120" s="80">
        <f t="shared" si="12"/>
        <v>1.6097913585602295</v>
      </c>
    </row>
    <row r="121" spans="1:15" x14ac:dyDescent="0.25">
      <c r="A121" s="61">
        <f>'A) Base RI'!A123</f>
        <v>5591</v>
      </c>
      <c r="B121" s="62" t="str">
        <f>'A) Base RI'!B123</f>
        <v>Renens</v>
      </c>
      <c r="C121" s="13">
        <f>'B) D RI'!U123</f>
        <v>546895.28569608741</v>
      </c>
      <c r="D121" s="42">
        <f>'B) D RI'!AR123</f>
        <v>20362</v>
      </c>
      <c r="E121" s="269">
        <f t="shared" si="13"/>
        <v>26.858623204797535</v>
      </c>
      <c r="F121" s="80">
        <f t="shared" si="11"/>
        <v>0.59109695654438599</v>
      </c>
      <c r="G121" s="361">
        <f t="shared" si="14"/>
        <v>0</v>
      </c>
      <c r="H121" s="361">
        <f t="shared" si="15"/>
        <v>0</v>
      </c>
      <c r="I121" s="361">
        <f t="shared" si="16"/>
        <v>0</v>
      </c>
      <c r="J121" s="361">
        <f t="shared" si="17"/>
        <v>0</v>
      </c>
      <c r="K121" s="362">
        <f t="shared" si="18"/>
        <v>0</v>
      </c>
      <c r="L121" s="74">
        <f>K121*D121*'B) D RI'!S123</f>
        <v>0</v>
      </c>
      <c r="M121" s="19">
        <f>(('B) D RI'!S123*C121)-(L121*$M$4))/'B) D RI'!S123</f>
        <v>546895.28569608741</v>
      </c>
      <c r="N121" s="349">
        <f t="shared" si="19"/>
        <v>26.858623204797535</v>
      </c>
      <c r="O121" s="80">
        <f t="shared" si="12"/>
        <v>0.60914939188019612</v>
      </c>
    </row>
    <row r="122" spans="1:15" x14ac:dyDescent="0.25">
      <c r="A122" s="61">
        <f>'A) Base RI'!A124</f>
        <v>5592</v>
      </c>
      <c r="B122" s="62" t="str">
        <f>'A) Base RI'!B124</f>
        <v>Romanel-sur-Lausanne</v>
      </c>
      <c r="C122" s="13">
        <f>'B) D RI'!U124</f>
        <v>110273.83828571429</v>
      </c>
      <c r="D122" s="42">
        <f>'B) D RI'!AR124</f>
        <v>3351</v>
      </c>
      <c r="E122" s="269">
        <f t="shared" si="13"/>
        <v>32.907740461269555</v>
      </c>
      <c r="F122" s="80">
        <f t="shared" si="11"/>
        <v>0.72422421227959632</v>
      </c>
      <c r="G122" s="361">
        <f t="shared" si="14"/>
        <v>0</v>
      </c>
      <c r="H122" s="361">
        <f t="shared" si="15"/>
        <v>0</v>
      </c>
      <c r="I122" s="361">
        <f t="shared" si="16"/>
        <v>0</v>
      </c>
      <c r="J122" s="361">
        <f t="shared" si="17"/>
        <v>0</v>
      </c>
      <c r="K122" s="362">
        <f t="shared" si="18"/>
        <v>0</v>
      </c>
      <c r="L122" s="74">
        <f>K122*D122*'B) D RI'!S124</f>
        <v>0</v>
      </c>
      <c r="M122" s="19">
        <f>(('B) D RI'!S124*C122)-(L122*$M$4))/'B) D RI'!S124</f>
        <v>110273.83828571429</v>
      </c>
      <c r="N122" s="349">
        <f t="shared" si="19"/>
        <v>32.907740461269555</v>
      </c>
      <c r="O122" s="80">
        <f t="shared" si="12"/>
        <v>0.74634242929299033</v>
      </c>
    </row>
    <row r="123" spans="1:15" x14ac:dyDescent="0.25">
      <c r="A123" s="61">
        <f>'A) Base RI'!A125</f>
        <v>5601</v>
      </c>
      <c r="B123" s="62" t="str">
        <f>'A) Base RI'!B125</f>
        <v>Chexbres</v>
      </c>
      <c r="C123" s="13">
        <f>'B) D RI'!U125</f>
        <v>104474.96078125002</v>
      </c>
      <c r="D123" s="42">
        <f>'B) D RI'!AR125</f>
        <v>2218</v>
      </c>
      <c r="E123" s="269">
        <f t="shared" si="13"/>
        <v>47.103228485685307</v>
      </c>
      <c r="F123" s="80">
        <f t="shared" si="11"/>
        <v>1.0366344837932766</v>
      </c>
      <c r="G123" s="361">
        <f t="shared" si="14"/>
        <v>0</v>
      </c>
      <c r="H123" s="361">
        <f t="shared" si="15"/>
        <v>0</v>
      </c>
      <c r="I123" s="361">
        <f t="shared" si="16"/>
        <v>0</v>
      </c>
      <c r="J123" s="361">
        <f t="shared" si="17"/>
        <v>0</v>
      </c>
      <c r="K123" s="362">
        <f t="shared" si="18"/>
        <v>0</v>
      </c>
      <c r="L123" s="74">
        <f>K123*D123*'B) D RI'!S125</f>
        <v>0</v>
      </c>
      <c r="M123" s="19">
        <f>(('B) D RI'!S125*C123)-(L123*$M$4))/'B) D RI'!S125</f>
        <v>104474.96078125002</v>
      </c>
      <c r="N123" s="349">
        <f t="shared" si="19"/>
        <v>47.103228485685307</v>
      </c>
      <c r="O123" s="80">
        <f t="shared" si="12"/>
        <v>1.0682938871760173</v>
      </c>
    </row>
    <row r="124" spans="1:15" x14ac:dyDescent="0.25">
      <c r="A124" s="61">
        <f>'A) Base RI'!A126</f>
        <v>5604</v>
      </c>
      <c r="B124" s="62" t="str">
        <f>'A) Base RI'!B126</f>
        <v>Forel (Lavaux)</v>
      </c>
      <c r="C124" s="13">
        <f>'B) D RI'!U126</f>
        <v>65514.699852941172</v>
      </c>
      <c r="D124" s="42">
        <f>'B) D RI'!AR126</f>
        <v>2085</v>
      </c>
      <c r="E124" s="269">
        <f t="shared" si="13"/>
        <v>31.421918394696007</v>
      </c>
      <c r="F124" s="80">
        <f t="shared" si="11"/>
        <v>0.69152466194072282</v>
      </c>
      <c r="G124" s="361">
        <f t="shared" si="14"/>
        <v>0</v>
      </c>
      <c r="H124" s="361">
        <f t="shared" si="15"/>
        <v>0</v>
      </c>
      <c r="I124" s="361">
        <f t="shared" si="16"/>
        <v>0</v>
      </c>
      <c r="J124" s="361">
        <f t="shared" si="17"/>
        <v>0</v>
      </c>
      <c r="K124" s="362">
        <f t="shared" si="18"/>
        <v>0</v>
      </c>
      <c r="L124" s="74">
        <f>K124*D124*'B) D RI'!S126</f>
        <v>0</v>
      </c>
      <c r="M124" s="19">
        <f>(('B) D RI'!S126*C124)-(L124*$M$4))/'B) D RI'!S126</f>
        <v>65514.699852941172</v>
      </c>
      <c r="N124" s="349">
        <f t="shared" si="19"/>
        <v>31.421918394696007</v>
      </c>
      <c r="O124" s="80">
        <f t="shared" si="12"/>
        <v>0.71264421619419738</v>
      </c>
    </row>
    <row r="125" spans="1:15" x14ac:dyDescent="0.25">
      <c r="A125" s="61">
        <f>'A) Base RI'!A127</f>
        <v>5606</v>
      </c>
      <c r="B125" s="62" t="str">
        <f>'A) Base RI'!B127</f>
        <v>Lutry</v>
      </c>
      <c r="C125" s="13">
        <f>'B) D RI'!U127</f>
        <v>742470.65823979594</v>
      </c>
      <c r="D125" s="42">
        <f>'B) D RI'!AR127</f>
        <v>9739</v>
      </c>
      <c r="E125" s="269">
        <f t="shared" si="13"/>
        <v>76.236847544901522</v>
      </c>
      <c r="F125" s="80">
        <f t="shared" si="11"/>
        <v>1.6777989034181147</v>
      </c>
      <c r="G125" s="361">
        <f t="shared" si="14"/>
        <v>21.710517322903776</v>
      </c>
      <c r="H125" s="361">
        <f t="shared" si="15"/>
        <v>8.0789347674043341</v>
      </c>
      <c r="I125" s="361">
        <f t="shared" si="16"/>
        <v>0</v>
      </c>
      <c r="J125" s="361">
        <f t="shared" si="17"/>
        <v>0</v>
      </c>
      <c r="K125" s="362">
        <f t="shared" si="18"/>
        <v>8.6236797129857923</v>
      </c>
      <c r="L125" s="74">
        <f>K125*D125*'B) D RI'!S127</f>
        <v>4703216.9365870431</v>
      </c>
      <c r="M125" s="19">
        <f>(('B) D RI'!S127*C125)-(L125*$M$4))/'B) D RI'!S127</f>
        <v>687879.74736869638</v>
      </c>
      <c r="N125" s="349">
        <f t="shared" si="19"/>
        <v>70.631455731460761</v>
      </c>
      <c r="O125" s="80">
        <f t="shared" si="12"/>
        <v>1.6019104173123473</v>
      </c>
    </row>
    <row r="126" spans="1:15" x14ac:dyDescent="0.25">
      <c r="A126" s="61">
        <f>'A) Base RI'!A128</f>
        <v>5607</v>
      </c>
      <c r="B126" s="62" t="str">
        <f>'A) Base RI'!B128</f>
        <v>Puidoux</v>
      </c>
      <c r="C126" s="13">
        <f>'B) D RI'!U128</f>
        <v>100862.46201406649</v>
      </c>
      <c r="D126" s="42">
        <f>'B) D RI'!AR128</f>
        <v>2858</v>
      </c>
      <c r="E126" s="269">
        <f t="shared" si="13"/>
        <v>35.291274322626485</v>
      </c>
      <c r="F126" s="80">
        <f t="shared" si="11"/>
        <v>0.77668034901176175</v>
      </c>
      <c r="G126" s="361">
        <f t="shared" si="14"/>
        <v>0</v>
      </c>
      <c r="H126" s="361">
        <f t="shared" si="15"/>
        <v>0</v>
      </c>
      <c r="I126" s="361">
        <f t="shared" si="16"/>
        <v>0</v>
      </c>
      <c r="J126" s="361">
        <f t="shared" si="17"/>
        <v>0</v>
      </c>
      <c r="K126" s="362">
        <f t="shared" si="18"/>
        <v>0</v>
      </c>
      <c r="L126" s="74">
        <f>K126*D126*'B) D RI'!S128</f>
        <v>0</v>
      </c>
      <c r="M126" s="19">
        <f>(('B) D RI'!S128*C126)-(L126*$M$4))/'B) D RI'!S128</f>
        <v>100862.46201406649</v>
      </c>
      <c r="N126" s="349">
        <f t="shared" si="19"/>
        <v>35.291274322626485</v>
      </c>
      <c r="O126" s="80">
        <f t="shared" si="12"/>
        <v>0.80040060610646468</v>
      </c>
    </row>
    <row r="127" spans="1:15" x14ac:dyDescent="0.25">
      <c r="A127" s="61">
        <f>'A) Base RI'!A129</f>
        <v>5609</v>
      </c>
      <c r="B127" s="62" t="str">
        <f>'A) Base RI'!B129</f>
        <v>Rivaz</v>
      </c>
      <c r="C127" s="13">
        <f>'B) D RI'!U129</f>
        <v>16122.244409448818</v>
      </c>
      <c r="D127" s="42">
        <f>'B) D RI'!AR129</f>
        <v>360</v>
      </c>
      <c r="E127" s="269">
        <f t="shared" si="13"/>
        <v>44.78401224846894</v>
      </c>
      <c r="F127" s="80">
        <f t="shared" si="11"/>
        <v>0.98559383107873055</v>
      </c>
      <c r="G127" s="361">
        <f t="shared" si="14"/>
        <v>0</v>
      </c>
      <c r="H127" s="361">
        <f t="shared" si="15"/>
        <v>0</v>
      </c>
      <c r="I127" s="361">
        <f t="shared" si="16"/>
        <v>0</v>
      </c>
      <c r="J127" s="361">
        <f t="shared" si="17"/>
        <v>0</v>
      </c>
      <c r="K127" s="362">
        <f t="shared" si="18"/>
        <v>0</v>
      </c>
      <c r="L127" s="74">
        <f>K127*D127*'B) D RI'!S129</f>
        <v>0</v>
      </c>
      <c r="M127" s="19">
        <f>(('B) D RI'!S129*C127)-(L127*$M$4))/'B) D RI'!S129</f>
        <v>16122.244409448818</v>
      </c>
      <c r="N127" s="349">
        <f t="shared" si="19"/>
        <v>44.78401224846894</v>
      </c>
      <c r="O127" s="80">
        <f t="shared" si="12"/>
        <v>1.0156944240625587</v>
      </c>
    </row>
    <row r="128" spans="1:15" x14ac:dyDescent="0.25">
      <c r="A128" s="61">
        <f>'A) Base RI'!A130</f>
        <v>5610</v>
      </c>
      <c r="B128" s="62" t="str">
        <f>'A) Base RI'!B130</f>
        <v>St-Saphorin (Lavaux)</v>
      </c>
      <c r="C128" s="13">
        <f>'B) D RI'!U130</f>
        <v>20974.487096774192</v>
      </c>
      <c r="D128" s="42">
        <f>'B) D RI'!AR130</f>
        <v>383</v>
      </c>
      <c r="E128" s="269">
        <f t="shared" si="13"/>
        <v>54.763673881916951</v>
      </c>
      <c r="F128" s="80">
        <f t="shared" si="11"/>
        <v>1.205223391905222</v>
      </c>
      <c r="G128" s="361">
        <f t="shared" si="14"/>
        <v>0.2373436599192047</v>
      </c>
      <c r="H128" s="361">
        <f t="shared" si="15"/>
        <v>0</v>
      </c>
      <c r="I128" s="361">
        <f t="shared" si="16"/>
        <v>0</v>
      </c>
      <c r="J128" s="361">
        <f t="shared" si="17"/>
        <v>0</v>
      </c>
      <c r="K128" s="362">
        <f t="shared" si="18"/>
        <v>8.5443717570913694E-2</v>
      </c>
      <c r="L128" s="74">
        <f>K128*D128*'B) D RI'!S130</f>
        <v>2028.9465174389163</v>
      </c>
      <c r="M128" s="19">
        <f>(('B) D RI'!S130*C128)-(L128*$M$4))/'B) D RI'!S130</f>
        <v>20953.215883284913</v>
      </c>
      <c r="N128" s="349">
        <f t="shared" si="19"/>
        <v>54.708135465495857</v>
      </c>
      <c r="O128" s="80">
        <f t="shared" si="12"/>
        <v>1.2407719932477232</v>
      </c>
    </row>
    <row r="129" spans="1:15" x14ac:dyDescent="0.25">
      <c r="A129" s="61">
        <f>'A) Base RI'!A131</f>
        <v>5611</v>
      </c>
      <c r="B129" s="62" t="str">
        <f>'A) Base RI'!B131</f>
        <v>Savigny</v>
      </c>
      <c r="C129" s="13">
        <f>'B) D RI'!U131</f>
        <v>130312.40671641791</v>
      </c>
      <c r="D129" s="42">
        <f>'B) D RI'!AR131</f>
        <v>3304</v>
      </c>
      <c r="E129" s="269">
        <f t="shared" si="13"/>
        <v>39.440801064291136</v>
      </c>
      <c r="F129" s="80">
        <f t="shared" si="11"/>
        <v>0.86800195583408757</v>
      </c>
      <c r="G129" s="361">
        <f t="shared" si="14"/>
        <v>0</v>
      </c>
      <c r="H129" s="361">
        <f t="shared" si="15"/>
        <v>0</v>
      </c>
      <c r="I129" s="361">
        <f t="shared" si="16"/>
        <v>0</v>
      </c>
      <c r="J129" s="361">
        <f t="shared" si="17"/>
        <v>0</v>
      </c>
      <c r="K129" s="362">
        <f t="shared" si="18"/>
        <v>0</v>
      </c>
      <c r="L129" s="74">
        <f>K129*D129*'B) D RI'!S131</f>
        <v>0</v>
      </c>
      <c r="M129" s="19">
        <f>(('B) D RI'!S131*C129)-(L129*$M$4))/'B) D RI'!S131</f>
        <v>130312.40671641791</v>
      </c>
      <c r="N129" s="349">
        <f t="shared" si="19"/>
        <v>39.440801064291136</v>
      </c>
      <c r="O129" s="80">
        <f t="shared" si="12"/>
        <v>0.8945112264462346</v>
      </c>
    </row>
    <row r="130" spans="1:15" x14ac:dyDescent="0.25">
      <c r="A130" s="61">
        <f>'A) Base RI'!A132</f>
        <v>5613</v>
      </c>
      <c r="B130" s="62" t="str">
        <f>'A) Base RI'!B132</f>
        <v>Bourg-en-Lavaux</v>
      </c>
      <c r="C130" s="13">
        <f>'B) D RI'!U132</f>
        <v>295658.88923497271</v>
      </c>
      <c r="D130" s="42">
        <f>'B) D RI'!AR132</f>
        <v>5247</v>
      </c>
      <c r="E130" s="269">
        <f t="shared" si="13"/>
        <v>56.34817786067709</v>
      </c>
      <c r="F130" s="80">
        <f t="shared" si="11"/>
        <v>1.2400947057598461</v>
      </c>
      <c r="G130" s="361">
        <f t="shared" si="14"/>
        <v>1.8218476386793441</v>
      </c>
      <c r="H130" s="361">
        <f t="shared" si="15"/>
        <v>0</v>
      </c>
      <c r="I130" s="361">
        <f t="shared" si="16"/>
        <v>0</v>
      </c>
      <c r="J130" s="361">
        <f t="shared" si="17"/>
        <v>0</v>
      </c>
      <c r="K130" s="362">
        <f t="shared" si="18"/>
        <v>0.6558651499245638</v>
      </c>
      <c r="L130" s="74">
        <f>K130*D130*'B) D RI'!S132</f>
        <v>209920.79094090534</v>
      </c>
      <c r="M130" s="19">
        <f>(('B) D RI'!S132*C130)-(L130*$M$4))/'B) D RI'!S132</f>
        <v>293422.02834789746</v>
      </c>
      <c r="N130" s="349">
        <f t="shared" si="19"/>
        <v>55.921865513226123</v>
      </c>
      <c r="O130" s="80">
        <f t="shared" si="12"/>
        <v>1.2682992017291153</v>
      </c>
    </row>
    <row r="131" spans="1:15" x14ac:dyDescent="0.25">
      <c r="A131" s="61">
        <f>'A) Base RI'!A133</f>
        <v>5621</v>
      </c>
      <c r="B131" s="62" t="str">
        <f>'A) Base RI'!B133</f>
        <v>Aclens</v>
      </c>
      <c r="C131" s="13">
        <f>'B) D RI'!U133</f>
        <v>33759.339076246331</v>
      </c>
      <c r="D131" s="42">
        <f>'B) D RI'!AR133</f>
        <v>528</v>
      </c>
      <c r="E131" s="269">
        <f t="shared" si="13"/>
        <v>63.938142189860478</v>
      </c>
      <c r="F131" s="80">
        <f t="shared" si="11"/>
        <v>1.4071324865519526</v>
      </c>
      <c r="G131" s="361">
        <f t="shared" si="14"/>
        <v>9.4118119678627323</v>
      </c>
      <c r="H131" s="361">
        <f t="shared" si="15"/>
        <v>0</v>
      </c>
      <c r="I131" s="361">
        <f t="shared" si="16"/>
        <v>0</v>
      </c>
      <c r="J131" s="361">
        <f t="shared" si="17"/>
        <v>0</v>
      </c>
      <c r="K131" s="362">
        <f t="shared" si="18"/>
        <v>3.3882523084305833</v>
      </c>
      <c r="L131" s="74">
        <f>K131*D131*'B) D RI'!S133</f>
        <v>110917.82756878357</v>
      </c>
      <c r="M131" s="19">
        <f>(('B) D RI'!S133*C131)-(L131*$M$4))/'B) D RI'!S133</f>
        <v>32596.490883992956</v>
      </c>
      <c r="N131" s="349">
        <f t="shared" si="19"/>
        <v>61.735778189380596</v>
      </c>
      <c r="O131" s="80">
        <f t="shared" si="12"/>
        <v>1.4001578358861879</v>
      </c>
    </row>
    <row r="132" spans="1:15" x14ac:dyDescent="0.25">
      <c r="A132" s="61">
        <f>'A) Base RI'!A134</f>
        <v>5622</v>
      </c>
      <c r="B132" s="62" t="str">
        <f>'A) Base RI'!B134</f>
        <v>Bremblens</v>
      </c>
      <c r="C132" s="13">
        <f>'B) D RI'!U134</f>
        <v>28126.288636363635</v>
      </c>
      <c r="D132" s="42">
        <f>'B) D RI'!AR134</f>
        <v>511</v>
      </c>
      <c r="E132" s="269">
        <f t="shared" si="13"/>
        <v>55.041660736523745</v>
      </c>
      <c r="F132" s="80">
        <f t="shared" si="11"/>
        <v>1.2113412477038794</v>
      </c>
      <c r="G132" s="361">
        <f t="shared" si="14"/>
        <v>0.51533051452599921</v>
      </c>
      <c r="H132" s="361">
        <f t="shared" si="15"/>
        <v>0</v>
      </c>
      <c r="I132" s="361">
        <f t="shared" si="16"/>
        <v>0</v>
      </c>
      <c r="J132" s="361">
        <f t="shared" si="17"/>
        <v>0</v>
      </c>
      <c r="K132" s="362">
        <f t="shared" si="18"/>
        <v>0.1855189852293597</v>
      </c>
      <c r="L132" s="74">
        <f>K132*D132*'B) D RI'!S134</f>
        <v>6256.8132958453843</v>
      </c>
      <c r="M132" s="19">
        <f>(('B) D RI'!S134*C132)-(L132*$M$4))/'B) D RI'!S134</f>
        <v>28064.668505419701</v>
      </c>
      <c r="N132" s="349">
        <f t="shared" si="19"/>
        <v>54.921073396124662</v>
      </c>
      <c r="O132" s="80">
        <f t="shared" si="12"/>
        <v>1.2456013923558502</v>
      </c>
    </row>
    <row r="133" spans="1:15" x14ac:dyDescent="0.25">
      <c r="A133" s="61">
        <f>'A) Base RI'!A135</f>
        <v>5623</v>
      </c>
      <c r="B133" s="62" t="str">
        <f>'A) Base RI'!B135</f>
        <v>Buchillon</v>
      </c>
      <c r="C133" s="13">
        <f>'B) D RI'!U135</f>
        <v>86045.549622641513</v>
      </c>
      <c r="D133" s="42">
        <f>'B) D RI'!AR135</f>
        <v>624</v>
      </c>
      <c r="E133" s="269">
        <f t="shared" si="13"/>
        <v>137.89350901064344</v>
      </c>
      <c r="F133" s="80">
        <f t="shared" ref="F133:F196" si="20">E133/$E$314</f>
        <v>3.0347212097177798</v>
      </c>
      <c r="G133" s="361">
        <f t="shared" si="14"/>
        <v>83.367178788645703</v>
      </c>
      <c r="H133" s="361">
        <f t="shared" si="15"/>
        <v>69.735596233146254</v>
      </c>
      <c r="I133" s="361">
        <f t="shared" si="16"/>
        <v>47.016291973980529</v>
      </c>
      <c r="J133" s="361">
        <f t="shared" si="17"/>
        <v>1.5776834556490655</v>
      </c>
      <c r="K133" s="362">
        <f t="shared" si="18"/>
        <v>41.845141530190041</v>
      </c>
      <c r="L133" s="74">
        <f>K133*D133*'B) D RI'!S135</f>
        <v>1383902.5206864451</v>
      </c>
      <c r="M133" s="19">
        <f>(('B) D RI'!S135*C133)-(L133*$M$4))/'B) D RI'!S135</f>
        <v>69073.160217996425</v>
      </c>
      <c r="N133" s="349">
        <f t="shared" si="19"/>
        <v>110.69416701601992</v>
      </c>
      <c r="O133" s="80">
        <f t="shared" ref="O133:O196" si="21">N133/N$314</f>
        <v>2.5105264707108685</v>
      </c>
    </row>
    <row r="134" spans="1:15" x14ac:dyDescent="0.25">
      <c r="A134" s="61">
        <f>'A) Base RI'!A136</f>
        <v>5624</v>
      </c>
      <c r="B134" s="62" t="str">
        <f>'A) Base RI'!B136</f>
        <v>Bussigny</v>
      </c>
      <c r="C134" s="13">
        <f>'B) D RI'!U136</f>
        <v>312174.83774193545</v>
      </c>
      <c r="D134" s="42">
        <f>'B) D RI'!AR136</f>
        <v>8215</v>
      </c>
      <c r="E134" s="269">
        <f t="shared" ref="E134:E197" si="22">C134/D134</f>
        <v>38.000588891288551</v>
      </c>
      <c r="F134" s="80">
        <f t="shared" si="20"/>
        <v>0.83630617508803862</v>
      </c>
      <c r="G134" s="361">
        <f t="shared" ref="G134:G197" si="23">IF(E134-$G$2&lt;0,0,E134-$G$2)</f>
        <v>0</v>
      </c>
      <c r="H134" s="361">
        <f t="shared" ref="H134:H197" si="24">IF(E134-$H$2&lt;0,0,E134-$H$2)</f>
        <v>0</v>
      </c>
      <c r="I134" s="361">
        <f t="shared" ref="I134:I197" si="25">IF(E134-$I$2&lt;0,0,E134-$I$2)</f>
        <v>0</v>
      </c>
      <c r="J134" s="361">
        <f t="shared" ref="J134:J197" si="26">IF(E134-$J$2&lt;0,0,E134-$J$2)</f>
        <v>0</v>
      </c>
      <c r="K134" s="362">
        <f t="shared" ref="K134:K197" si="27">(G134-H134)*$G$3+(H134-I134)*$H$3+(I134-J134)*$I$3+(J134*$J$3)</f>
        <v>0</v>
      </c>
      <c r="L134" s="74">
        <f>K134*D134*'B) D RI'!S136</f>
        <v>0</v>
      </c>
      <c r="M134" s="19">
        <f>(('B) D RI'!S136*C134)-(L134*$M$4))/'B) D RI'!S136</f>
        <v>312174.83774193545</v>
      </c>
      <c r="N134" s="349">
        <f t="shared" ref="N134:N197" si="28">M134/D134</f>
        <v>38.000588891288551</v>
      </c>
      <c r="O134" s="80">
        <f t="shared" si="21"/>
        <v>0.86184743863129265</v>
      </c>
    </row>
    <row r="135" spans="1:15" x14ac:dyDescent="0.25">
      <c r="A135" s="61">
        <f>'A) Base RI'!A137</f>
        <v>5625</v>
      </c>
      <c r="B135" s="62" t="str">
        <f>'A) Base RI'!B137</f>
        <v>Bussy-Chardonney</v>
      </c>
      <c r="C135" s="13">
        <f>'B) D RI'!U137</f>
        <v>16172.617200854704</v>
      </c>
      <c r="D135" s="42">
        <f>'B) D RI'!AR137</f>
        <v>377</v>
      </c>
      <c r="E135" s="269">
        <f t="shared" si="22"/>
        <v>42.898188861683565</v>
      </c>
      <c r="F135" s="80">
        <f t="shared" si="20"/>
        <v>0.94409116521200243</v>
      </c>
      <c r="G135" s="361">
        <f t="shared" si="23"/>
        <v>0</v>
      </c>
      <c r="H135" s="361">
        <f t="shared" si="24"/>
        <v>0</v>
      </c>
      <c r="I135" s="361">
        <f t="shared" si="25"/>
        <v>0</v>
      </c>
      <c r="J135" s="361">
        <f t="shared" si="26"/>
        <v>0</v>
      </c>
      <c r="K135" s="362">
        <f t="shared" si="27"/>
        <v>0</v>
      </c>
      <c r="L135" s="74">
        <f>K135*D135*'B) D RI'!S137</f>
        <v>0</v>
      </c>
      <c r="M135" s="19">
        <f>(('B) D RI'!S137*C135)-(L135*$M$4))/'B) D RI'!S137</f>
        <v>16172.617200854704</v>
      </c>
      <c r="N135" s="349">
        <f t="shared" si="28"/>
        <v>42.898188861683565</v>
      </c>
      <c r="O135" s="80">
        <f t="shared" si="21"/>
        <v>0.97292424330926641</v>
      </c>
    </row>
    <row r="136" spans="1:15" x14ac:dyDescent="0.25">
      <c r="A136" s="61">
        <f>'A) Base RI'!A138</f>
        <v>5627</v>
      </c>
      <c r="B136" s="62" t="str">
        <f>'A) Base RI'!B138</f>
        <v>Chavannes-près-Renens</v>
      </c>
      <c r="C136" s="13">
        <f>'B) D RI'!U138</f>
        <v>162511.92244725736</v>
      </c>
      <c r="D136" s="42">
        <f>'B) D RI'!AR138</f>
        <v>7374</v>
      </c>
      <c r="E136" s="269">
        <f t="shared" si="22"/>
        <v>22.03850317972028</v>
      </c>
      <c r="F136" s="80">
        <f t="shared" si="20"/>
        <v>0.48501712306681244</v>
      </c>
      <c r="G136" s="361">
        <f t="shared" si="23"/>
        <v>0</v>
      </c>
      <c r="H136" s="361">
        <f t="shared" si="24"/>
        <v>0</v>
      </c>
      <c r="I136" s="361">
        <f t="shared" si="25"/>
        <v>0</v>
      </c>
      <c r="J136" s="361">
        <f t="shared" si="26"/>
        <v>0</v>
      </c>
      <c r="K136" s="362">
        <f t="shared" si="27"/>
        <v>0</v>
      </c>
      <c r="L136" s="74">
        <f>K136*D136*'B) D RI'!S138</f>
        <v>0</v>
      </c>
      <c r="M136" s="19">
        <f>(('B) D RI'!S138*C136)-(L136*$M$4))/'B) D RI'!S138</f>
        <v>162511.92244725736</v>
      </c>
      <c r="N136" s="349">
        <f t="shared" si="28"/>
        <v>22.03850317972028</v>
      </c>
      <c r="O136" s="80">
        <f t="shared" si="21"/>
        <v>0.49982982029691031</v>
      </c>
    </row>
    <row r="137" spans="1:15" x14ac:dyDescent="0.25">
      <c r="A137" s="61">
        <f>'A) Base RI'!A139</f>
        <v>5628</v>
      </c>
      <c r="B137" s="62" t="str">
        <f>'A) Base RI'!B139</f>
        <v>Chigny</v>
      </c>
      <c r="C137" s="13">
        <f>'B) D RI'!U139</f>
        <v>19064.278346774194</v>
      </c>
      <c r="D137" s="42">
        <f>'B) D RI'!AR139</f>
        <v>331</v>
      </c>
      <c r="E137" s="269">
        <f t="shared" si="22"/>
        <v>57.596007089952245</v>
      </c>
      <c r="F137" s="80">
        <f t="shared" si="20"/>
        <v>1.2675565772819846</v>
      </c>
      <c r="G137" s="361">
        <f t="shared" si="23"/>
        <v>3.0696768679544988</v>
      </c>
      <c r="H137" s="361">
        <f t="shared" si="24"/>
        <v>0</v>
      </c>
      <c r="I137" s="361">
        <f t="shared" si="25"/>
        <v>0</v>
      </c>
      <c r="J137" s="361">
        <f t="shared" si="26"/>
        <v>0</v>
      </c>
      <c r="K137" s="362">
        <f t="shared" si="27"/>
        <v>1.1050836724636195</v>
      </c>
      <c r="L137" s="74">
        <f>K137*D137*'B) D RI'!S139</f>
        <v>22678.527126298399</v>
      </c>
      <c r="M137" s="19">
        <f>(('B) D RI'!S139*C137)-(L137*$M$4))/'B) D RI'!S139</f>
        <v>18826.519594643647</v>
      </c>
      <c r="N137" s="349">
        <f t="shared" si="28"/>
        <v>56.877702702850897</v>
      </c>
      <c r="O137" s="80">
        <f t="shared" si="21"/>
        <v>1.2899774403475566</v>
      </c>
    </row>
    <row r="138" spans="1:15" x14ac:dyDescent="0.25">
      <c r="A138" s="61">
        <f>'A) Base RI'!A140</f>
        <v>5629</v>
      </c>
      <c r="B138" s="62" t="str">
        <f>'A) Base RI'!B140</f>
        <v>Clarmont</v>
      </c>
      <c r="C138" s="13">
        <f>'B) D RI'!U140</f>
        <v>7581.8990666666659</v>
      </c>
      <c r="D138" s="42">
        <f>'B) D RI'!AR140</f>
        <v>160</v>
      </c>
      <c r="E138" s="269">
        <f t="shared" si="22"/>
        <v>47.386869166666663</v>
      </c>
      <c r="F138" s="80">
        <f t="shared" si="20"/>
        <v>1.0428767673981305</v>
      </c>
      <c r="G138" s="361">
        <f t="shared" si="23"/>
        <v>0</v>
      </c>
      <c r="H138" s="361">
        <f t="shared" si="24"/>
        <v>0</v>
      </c>
      <c r="I138" s="361">
        <f t="shared" si="25"/>
        <v>0</v>
      </c>
      <c r="J138" s="361">
        <f t="shared" si="26"/>
        <v>0</v>
      </c>
      <c r="K138" s="362">
        <f t="shared" si="27"/>
        <v>0</v>
      </c>
      <c r="L138" s="74">
        <f>K138*D138*'B) D RI'!S140</f>
        <v>0</v>
      </c>
      <c r="M138" s="19">
        <f>(('B) D RI'!S140*C138)-(L138*$M$4))/'B) D RI'!S140</f>
        <v>7581.8990666666659</v>
      </c>
      <c r="N138" s="349">
        <f t="shared" si="28"/>
        <v>47.386869166666663</v>
      </c>
      <c r="O138" s="80">
        <f t="shared" si="21"/>
        <v>1.0747268136523609</v>
      </c>
    </row>
    <row r="139" spans="1:15" x14ac:dyDescent="0.25">
      <c r="A139" s="61">
        <f>'A) Base RI'!A141</f>
        <v>5631</v>
      </c>
      <c r="B139" s="62" t="str">
        <f>'A) Base RI'!B141</f>
        <v>Denens</v>
      </c>
      <c r="C139" s="13">
        <f>'B) D RI'!U141</f>
        <v>34218.35955882354</v>
      </c>
      <c r="D139" s="42">
        <f>'B) D RI'!AR141</f>
        <v>714</v>
      </c>
      <c r="E139" s="269">
        <f t="shared" si="22"/>
        <v>47.924873331685632</v>
      </c>
      <c r="F139" s="80">
        <f t="shared" si="20"/>
        <v>1.0547170103668806</v>
      </c>
      <c r="G139" s="361">
        <f t="shared" si="23"/>
        <v>0</v>
      </c>
      <c r="H139" s="361">
        <f t="shared" si="24"/>
        <v>0</v>
      </c>
      <c r="I139" s="361">
        <f t="shared" si="25"/>
        <v>0</v>
      </c>
      <c r="J139" s="361">
        <f t="shared" si="26"/>
        <v>0</v>
      </c>
      <c r="K139" s="362">
        <f t="shared" si="27"/>
        <v>0</v>
      </c>
      <c r="L139" s="74">
        <f>K139*D139*'B) D RI'!S141</f>
        <v>0</v>
      </c>
      <c r="M139" s="19">
        <f>(('B) D RI'!S141*C139)-(L139*$M$4))/'B) D RI'!S141</f>
        <v>34218.35955882354</v>
      </c>
      <c r="N139" s="349">
        <f t="shared" si="28"/>
        <v>47.924873331685632</v>
      </c>
      <c r="O139" s="80">
        <f t="shared" si="21"/>
        <v>1.086928664337387</v>
      </c>
    </row>
    <row r="140" spans="1:15" x14ac:dyDescent="0.25">
      <c r="A140" s="61">
        <f>'A) Base RI'!A142</f>
        <v>5632</v>
      </c>
      <c r="B140" s="62" t="str">
        <f>'A) Base RI'!B142</f>
        <v>Denges</v>
      </c>
      <c r="C140" s="13">
        <f>'B) D RI'!U142</f>
        <v>70599.599193548376</v>
      </c>
      <c r="D140" s="42">
        <f>'B) D RI'!AR142</f>
        <v>1651</v>
      </c>
      <c r="E140" s="269">
        <f t="shared" si="22"/>
        <v>42.761719681131666</v>
      </c>
      <c r="F140" s="80">
        <f t="shared" si="20"/>
        <v>0.94108779021875544</v>
      </c>
      <c r="G140" s="361">
        <f t="shared" si="23"/>
        <v>0</v>
      </c>
      <c r="H140" s="361">
        <f t="shared" si="24"/>
        <v>0</v>
      </c>
      <c r="I140" s="361">
        <f t="shared" si="25"/>
        <v>0</v>
      </c>
      <c r="J140" s="361">
        <f t="shared" si="26"/>
        <v>0</v>
      </c>
      <c r="K140" s="362">
        <f t="shared" si="27"/>
        <v>0</v>
      </c>
      <c r="L140" s="74">
        <f>K140*D140*'B) D RI'!S142</f>
        <v>0</v>
      </c>
      <c r="M140" s="19">
        <f>(('B) D RI'!S142*C140)-(L140*$M$4))/'B) D RI'!S142</f>
        <v>70599.599193548376</v>
      </c>
      <c r="N140" s="349">
        <f t="shared" si="28"/>
        <v>42.761719681131666</v>
      </c>
      <c r="O140" s="80">
        <f t="shared" si="21"/>
        <v>0.96982914354522753</v>
      </c>
    </row>
    <row r="141" spans="1:15" x14ac:dyDescent="0.25">
      <c r="A141" s="61">
        <f>'A) Base RI'!A143</f>
        <v>5633</v>
      </c>
      <c r="B141" s="62" t="str">
        <f>'A) Base RI'!B143</f>
        <v>Echandens</v>
      </c>
      <c r="C141" s="13">
        <f>'B) D RI'!U143</f>
        <v>123013.45645161292</v>
      </c>
      <c r="D141" s="42">
        <f>'B) D RI'!AR143</f>
        <v>2631</v>
      </c>
      <c r="E141" s="269">
        <f t="shared" si="22"/>
        <v>46.755399639533607</v>
      </c>
      <c r="F141" s="80">
        <f t="shared" si="20"/>
        <v>1.028979565267077</v>
      </c>
      <c r="G141" s="361">
        <f t="shared" si="23"/>
        <v>0</v>
      </c>
      <c r="H141" s="361">
        <f t="shared" si="24"/>
        <v>0</v>
      </c>
      <c r="I141" s="361">
        <f t="shared" si="25"/>
        <v>0</v>
      </c>
      <c r="J141" s="361">
        <f t="shared" si="26"/>
        <v>0</v>
      </c>
      <c r="K141" s="362">
        <f t="shared" si="27"/>
        <v>0</v>
      </c>
      <c r="L141" s="74">
        <f>K141*D141*'B) D RI'!S143</f>
        <v>0</v>
      </c>
      <c r="M141" s="19">
        <f>(('B) D RI'!S143*C141)-(L141*$M$4))/'B) D RI'!S143</f>
        <v>123013.45645161292</v>
      </c>
      <c r="N141" s="349">
        <f t="shared" si="28"/>
        <v>46.755399639533607</v>
      </c>
      <c r="O141" s="80">
        <f t="shared" si="21"/>
        <v>1.0604051831089432</v>
      </c>
    </row>
    <row r="142" spans="1:15" x14ac:dyDescent="0.25">
      <c r="A142" s="61">
        <f>'A) Base RI'!A144</f>
        <v>5634</v>
      </c>
      <c r="B142" s="62" t="str">
        <f>'A) Base RI'!B144</f>
        <v>Echichens</v>
      </c>
      <c r="C142" s="13">
        <f>'B) D RI'!U144</f>
        <v>121660.2017647059</v>
      </c>
      <c r="D142" s="42">
        <f>'B) D RI'!AR144</f>
        <v>2585</v>
      </c>
      <c r="E142" s="269">
        <f t="shared" si="22"/>
        <v>47.063907839344644</v>
      </c>
      <c r="F142" s="80">
        <f t="shared" si="20"/>
        <v>1.035769126168498</v>
      </c>
      <c r="G142" s="361">
        <f t="shared" si="23"/>
        <v>0</v>
      </c>
      <c r="H142" s="361">
        <f t="shared" si="24"/>
        <v>0</v>
      </c>
      <c r="I142" s="361">
        <f t="shared" si="25"/>
        <v>0</v>
      </c>
      <c r="J142" s="361">
        <f t="shared" si="26"/>
        <v>0</v>
      </c>
      <c r="K142" s="362">
        <f t="shared" si="27"/>
        <v>0</v>
      </c>
      <c r="L142" s="74">
        <f>K142*D142*'B) D RI'!S144</f>
        <v>0</v>
      </c>
      <c r="M142" s="19">
        <f>(('B) D RI'!S144*C142)-(L142*$M$4))/'B) D RI'!S144</f>
        <v>121660.2017647059</v>
      </c>
      <c r="N142" s="349">
        <f t="shared" si="28"/>
        <v>47.063907839344644</v>
      </c>
      <c r="O142" s="80">
        <f t="shared" si="21"/>
        <v>1.0674021010399926</v>
      </c>
    </row>
    <row r="143" spans="1:15" x14ac:dyDescent="0.25">
      <c r="A143" s="61">
        <f>'A) Base RI'!A145</f>
        <v>5635</v>
      </c>
      <c r="B143" s="62" t="str">
        <f>'A) Base RI'!B145</f>
        <v>Ecublens</v>
      </c>
      <c r="C143" s="13">
        <f>'B) D RI'!U145</f>
        <v>470087.75038200343</v>
      </c>
      <c r="D143" s="42">
        <f>'B) D RI'!AR145</f>
        <v>12288</v>
      </c>
      <c r="E143" s="269">
        <f t="shared" si="22"/>
        <v>38.255839061035438</v>
      </c>
      <c r="F143" s="80">
        <f t="shared" si="20"/>
        <v>0.84192364837936773</v>
      </c>
      <c r="G143" s="361">
        <f t="shared" si="23"/>
        <v>0</v>
      </c>
      <c r="H143" s="361">
        <f t="shared" si="24"/>
        <v>0</v>
      </c>
      <c r="I143" s="361">
        <f t="shared" si="25"/>
        <v>0</v>
      </c>
      <c r="J143" s="361">
        <f t="shared" si="26"/>
        <v>0</v>
      </c>
      <c r="K143" s="362">
        <f t="shared" si="27"/>
        <v>0</v>
      </c>
      <c r="L143" s="74">
        <f>K143*D143*'B) D RI'!S145</f>
        <v>0</v>
      </c>
      <c r="M143" s="19">
        <f>(('B) D RI'!S145*C143)-(L143*$M$4))/'B) D RI'!S145</f>
        <v>470087.75038200343</v>
      </c>
      <c r="N143" s="349">
        <f t="shared" si="28"/>
        <v>38.255839061035438</v>
      </c>
      <c r="O143" s="80">
        <f t="shared" si="21"/>
        <v>0.86763647273378752</v>
      </c>
    </row>
    <row r="144" spans="1:15" x14ac:dyDescent="0.25">
      <c r="A144" s="61">
        <f>'A) Base RI'!A146</f>
        <v>5636</v>
      </c>
      <c r="B144" s="62" t="str">
        <f>'A) Base RI'!B146</f>
        <v>Etoy</v>
      </c>
      <c r="C144" s="13">
        <f>'B) D RI'!U146</f>
        <v>158779.04229508198</v>
      </c>
      <c r="D144" s="42">
        <f>'B) D RI'!AR146</f>
        <v>2932</v>
      </c>
      <c r="E144" s="269">
        <f t="shared" si="22"/>
        <v>54.153834343479531</v>
      </c>
      <c r="F144" s="80">
        <f t="shared" si="20"/>
        <v>1.1918022164264133</v>
      </c>
      <c r="G144" s="361">
        <f t="shared" si="23"/>
        <v>0</v>
      </c>
      <c r="H144" s="361">
        <f t="shared" si="24"/>
        <v>0</v>
      </c>
      <c r="I144" s="361">
        <f t="shared" si="25"/>
        <v>0</v>
      </c>
      <c r="J144" s="361">
        <f t="shared" si="26"/>
        <v>0</v>
      </c>
      <c r="K144" s="362">
        <f t="shared" si="27"/>
        <v>0</v>
      </c>
      <c r="L144" s="74">
        <f>K144*D144*'B) D RI'!S146</f>
        <v>0</v>
      </c>
      <c r="M144" s="19">
        <f>(('B) D RI'!S146*C144)-(L144*$M$4))/'B) D RI'!S146</f>
        <v>158779.04229508198</v>
      </c>
      <c r="N144" s="349">
        <f t="shared" si="28"/>
        <v>54.153834343479531</v>
      </c>
      <c r="O144" s="80">
        <f t="shared" si="21"/>
        <v>1.228200530115747</v>
      </c>
    </row>
    <row r="145" spans="1:15" x14ac:dyDescent="0.25">
      <c r="A145" s="61">
        <f>'A) Base RI'!A147</f>
        <v>5637</v>
      </c>
      <c r="B145" s="62" t="str">
        <f>'A) Base RI'!B147</f>
        <v>Lavigny</v>
      </c>
      <c r="C145" s="13">
        <f>'B) D RI'!U147</f>
        <v>31075.388277404931</v>
      </c>
      <c r="D145" s="42">
        <f>'B) D RI'!AR147</f>
        <v>981</v>
      </c>
      <c r="E145" s="269">
        <f t="shared" si="22"/>
        <v>31.677256144143659</v>
      </c>
      <c r="F145" s="80">
        <f t="shared" si="20"/>
        <v>0.69714406266124973</v>
      </c>
      <c r="G145" s="361">
        <f t="shared" si="23"/>
        <v>0</v>
      </c>
      <c r="H145" s="361">
        <f t="shared" si="24"/>
        <v>0</v>
      </c>
      <c r="I145" s="361">
        <f t="shared" si="25"/>
        <v>0</v>
      </c>
      <c r="J145" s="361">
        <f t="shared" si="26"/>
        <v>0</v>
      </c>
      <c r="K145" s="362">
        <f t="shared" si="27"/>
        <v>0</v>
      </c>
      <c r="L145" s="74">
        <f>K145*D145*'B) D RI'!S147</f>
        <v>0</v>
      </c>
      <c r="M145" s="19">
        <f>(('B) D RI'!S147*C145)-(L145*$M$4))/'B) D RI'!S147</f>
        <v>31075.388277404931</v>
      </c>
      <c r="N145" s="349">
        <f t="shared" si="28"/>
        <v>31.677256144143659</v>
      </c>
      <c r="O145" s="80">
        <f t="shared" si="21"/>
        <v>0.71843523659066777</v>
      </c>
    </row>
    <row r="146" spans="1:15" x14ac:dyDescent="0.25">
      <c r="A146" s="61">
        <f>'A) Base RI'!A148</f>
        <v>5638</v>
      </c>
      <c r="B146" s="62" t="str">
        <f>'A) Base RI'!B148</f>
        <v>Lonay</v>
      </c>
      <c r="C146" s="13">
        <f>'B) D RI'!U148</f>
        <v>152475.57054545457</v>
      </c>
      <c r="D146" s="42">
        <f>'B) D RI'!AR148</f>
        <v>2536</v>
      </c>
      <c r="E146" s="269">
        <f t="shared" si="22"/>
        <v>60.124436334958425</v>
      </c>
      <c r="F146" s="80">
        <f t="shared" si="20"/>
        <v>1.3232015304936597</v>
      </c>
      <c r="G146" s="361">
        <f t="shared" si="23"/>
        <v>5.5981061129606786</v>
      </c>
      <c r="H146" s="361">
        <f t="shared" si="24"/>
        <v>0</v>
      </c>
      <c r="I146" s="361">
        <f t="shared" si="25"/>
        <v>0</v>
      </c>
      <c r="J146" s="361">
        <f t="shared" si="26"/>
        <v>0</v>
      </c>
      <c r="K146" s="362">
        <f t="shared" si="27"/>
        <v>2.0153182006658441</v>
      </c>
      <c r="L146" s="74">
        <f>K146*D146*'B) D RI'!S148</f>
        <v>281096.5826288719</v>
      </c>
      <c r="M146" s="19">
        <f>(('B) D RI'!S148*C146)-(L146*$M$4))/'B) D RI'!S148</f>
        <v>149153.52002347697</v>
      </c>
      <c r="N146" s="349">
        <f t="shared" si="28"/>
        <v>58.814479504525622</v>
      </c>
      <c r="O146" s="80">
        <f t="shared" si="21"/>
        <v>1.3339032366161119</v>
      </c>
    </row>
    <row r="147" spans="1:15" x14ac:dyDescent="0.25">
      <c r="A147" s="61">
        <f>'A) Base RI'!A149</f>
        <v>5639</v>
      </c>
      <c r="B147" s="62" t="str">
        <f>'A) Base RI'!B149</f>
        <v>Lully</v>
      </c>
      <c r="C147" s="13">
        <f>'B) D RI'!U149</f>
        <v>42318.428360655736</v>
      </c>
      <c r="D147" s="42">
        <f>'B) D RI'!AR149</f>
        <v>760</v>
      </c>
      <c r="E147" s="269">
        <f t="shared" si="22"/>
        <v>55.682142579810183</v>
      </c>
      <c r="F147" s="80">
        <f t="shared" si="20"/>
        <v>1.2254367903309835</v>
      </c>
      <c r="G147" s="361">
        <f t="shared" si="23"/>
        <v>1.1558123578124366</v>
      </c>
      <c r="H147" s="361">
        <f t="shared" si="24"/>
        <v>0</v>
      </c>
      <c r="I147" s="361">
        <f t="shared" si="25"/>
        <v>0</v>
      </c>
      <c r="J147" s="361">
        <f t="shared" si="26"/>
        <v>0</v>
      </c>
      <c r="K147" s="362">
        <f t="shared" si="27"/>
        <v>0.41609244881247714</v>
      </c>
      <c r="L147" s="74">
        <f>K147*D147*'B) D RI'!S149</f>
        <v>19290.045926946441</v>
      </c>
      <c r="M147" s="19">
        <f>(('B) D RI'!S149*C147)-(L147*$M$4))/'B) D RI'!S149</f>
        <v>42112.878690942372</v>
      </c>
      <c r="N147" s="349">
        <f t="shared" si="28"/>
        <v>55.411682488082072</v>
      </c>
      <c r="O147" s="80">
        <f t="shared" si="21"/>
        <v>1.2567283301641652</v>
      </c>
    </row>
    <row r="148" spans="1:15" x14ac:dyDescent="0.25">
      <c r="A148" s="61">
        <f>'A) Base RI'!A150</f>
        <v>5640</v>
      </c>
      <c r="B148" s="62" t="str">
        <f>'A) Base RI'!B150</f>
        <v>Lussy-sur-Morges</v>
      </c>
      <c r="C148" s="13">
        <f>'B) D RI'!U150</f>
        <v>45310.844393939391</v>
      </c>
      <c r="D148" s="42">
        <f>'B) D RI'!AR150</f>
        <v>646</v>
      </c>
      <c r="E148" s="269">
        <f t="shared" si="22"/>
        <v>70.140625996810201</v>
      </c>
      <c r="F148" s="80">
        <f t="shared" si="20"/>
        <v>1.5436349898019681</v>
      </c>
      <c r="G148" s="361">
        <f t="shared" si="23"/>
        <v>15.614295774812454</v>
      </c>
      <c r="H148" s="361">
        <f t="shared" si="24"/>
        <v>1.9827132193130126</v>
      </c>
      <c r="I148" s="361">
        <f t="shared" si="25"/>
        <v>0</v>
      </c>
      <c r="J148" s="361">
        <f t="shared" si="26"/>
        <v>0</v>
      </c>
      <c r="K148" s="362">
        <f t="shared" si="27"/>
        <v>5.8194178008637847</v>
      </c>
      <c r="L148" s="74">
        <f>K148*D148*'B) D RI'!S150</f>
        <v>248116.69735762832</v>
      </c>
      <c r="M148" s="19">
        <f>(('B) D RI'!S150*C148)-(L148*$M$4))/'B) D RI'!S150</f>
        <v>42867.270859356686</v>
      </c>
      <c r="N148" s="349">
        <f t="shared" si="28"/>
        <v>66.358004426248741</v>
      </c>
      <c r="O148" s="80">
        <f t="shared" si="21"/>
        <v>1.5049892071687629</v>
      </c>
    </row>
    <row r="149" spans="1:15" x14ac:dyDescent="0.25">
      <c r="A149" s="61">
        <f>'A) Base RI'!A151</f>
        <v>5642</v>
      </c>
      <c r="B149" s="62" t="str">
        <f>'A) Base RI'!B151</f>
        <v>Morges</v>
      </c>
      <c r="C149" s="13">
        <f>'B) D RI'!U151</f>
        <v>715380.13065693423</v>
      </c>
      <c r="D149" s="42">
        <f>'B) D RI'!AR151</f>
        <v>15623</v>
      </c>
      <c r="E149" s="269">
        <f t="shared" si="22"/>
        <v>45.790189506300599</v>
      </c>
      <c r="F149" s="80">
        <f t="shared" si="20"/>
        <v>1.0077374945983943</v>
      </c>
      <c r="G149" s="361">
        <f t="shared" si="23"/>
        <v>0</v>
      </c>
      <c r="H149" s="361">
        <f t="shared" si="24"/>
        <v>0</v>
      </c>
      <c r="I149" s="361">
        <f t="shared" si="25"/>
        <v>0</v>
      </c>
      <c r="J149" s="361">
        <f t="shared" si="26"/>
        <v>0</v>
      </c>
      <c r="K149" s="362">
        <f t="shared" si="27"/>
        <v>0</v>
      </c>
      <c r="L149" s="74">
        <f>K149*D149*'B) D RI'!S151</f>
        <v>0</v>
      </c>
      <c r="M149" s="19">
        <f>(('B) D RI'!S151*C149)-(L149*$M$4))/'B) D RI'!S151</f>
        <v>715380.13065693423</v>
      </c>
      <c r="N149" s="349">
        <f t="shared" si="28"/>
        <v>45.790189506300599</v>
      </c>
      <c r="O149" s="80">
        <f t="shared" si="21"/>
        <v>1.0385143675890147</v>
      </c>
    </row>
    <row r="150" spans="1:15" x14ac:dyDescent="0.25">
      <c r="A150" s="61">
        <f>'A) Base RI'!A152</f>
        <v>5643</v>
      </c>
      <c r="B150" s="62" t="str">
        <f>'A) Base RI'!B152</f>
        <v>Préverenges</v>
      </c>
      <c r="C150" s="13">
        <f>'B) D RI'!U152</f>
        <v>249793.53640625</v>
      </c>
      <c r="D150" s="42">
        <f>'B) D RI'!AR152</f>
        <v>5263</v>
      </c>
      <c r="E150" s="269">
        <f t="shared" si="22"/>
        <v>47.462195783060992</v>
      </c>
      <c r="F150" s="80">
        <f t="shared" si="20"/>
        <v>1.0445345341927263</v>
      </c>
      <c r="G150" s="361">
        <f t="shared" si="23"/>
        <v>0</v>
      </c>
      <c r="H150" s="361">
        <f t="shared" si="24"/>
        <v>0</v>
      </c>
      <c r="I150" s="361">
        <f t="shared" si="25"/>
        <v>0</v>
      </c>
      <c r="J150" s="361">
        <f t="shared" si="26"/>
        <v>0</v>
      </c>
      <c r="K150" s="362">
        <f t="shared" si="27"/>
        <v>0</v>
      </c>
      <c r="L150" s="74">
        <f>K150*D150*'B) D RI'!S152</f>
        <v>0</v>
      </c>
      <c r="M150" s="19">
        <f>(('B) D RI'!S152*C150)-(L150*$M$4))/'B) D RI'!S152</f>
        <v>249793.53640625</v>
      </c>
      <c r="N150" s="349">
        <f t="shared" si="28"/>
        <v>47.462195783060992</v>
      </c>
      <c r="O150" s="80">
        <f t="shared" si="21"/>
        <v>1.0764352095823801</v>
      </c>
    </row>
    <row r="151" spans="1:15" x14ac:dyDescent="0.25">
      <c r="A151" s="61">
        <f>'A) Base RI'!A153</f>
        <v>5644</v>
      </c>
      <c r="B151" s="62" t="str">
        <f>'A) Base RI'!B153</f>
        <v>Reverolle</v>
      </c>
      <c r="C151" s="13">
        <f>'B) D RI'!U153</f>
        <v>15594.857631578949</v>
      </c>
      <c r="D151" s="42">
        <f>'B) D RI'!AR153</f>
        <v>360</v>
      </c>
      <c r="E151" s="269">
        <f t="shared" si="22"/>
        <v>43.319048976608194</v>
      </c>
      <c r="F151" s="80">
        <f t="shared" si="20"/>
        <v>0.95335333517380572</v>
      </c>
      <c r="G151" s="361">
        <f t="shared" si="23"/>
        <v>0</v>
      </c>
      <c r="H151" s="361">
        <f t="shared" si="24"/>
        <v>0</v>
      </c>
      <c r="I151" s="361">
        <f t="shared" si="25"/>
        <v>0</v>
      </c>
      <c r="J151" s="361">
        <f t="shared" si="26"/>
        <v>0</v>
      </c>
      <c r="K151" s="362">
        <f t="shared" si="27"/>
        <v>0</v>
      </c>
      <c r="L151" s="74">
        <f>K151*D151*'B) D RI'!S153</f>
        <v>0</v>
      </c>
      <c r="M151" s="19">
        <f>(('B) D RI'!S153*C151)-(L151*$M$4))/'B) D RI'!S153</f>
        <v>15594.857631578949</v>
      </c>
      <c r="N151" s="349">
        <f t="shared" si="28"/>
        <v>43.319048976608194</v>
      </c>
      <c r="O151" s="80">
        <f t="shared" si="21"/>
        <v>0.98246928517973631</v>
      </c>
    </row>
    <row r="152" spans="1:15" x14ac:dyDescent="0.25">
      <c r="A152" s="61">
        <f>'A) Base RI'!A154</f>
        <v>5645</v>
      </c>
      <c r="B152" s="62" t="str">
        <f>'A) Base RI'!B154</f>
        <v>Romanel-sur-Morges</v>
      </c>
      <c r="C152" s="13">
        <f>'B) D RI'!U154</f>
        <v>25378.60526785714</v>
      </c>
      <c r="D152" s="42">
        <f>'B) D RI'!AR154</f>
        <v>459</v>
      </c>
      <c r="E152" s="269">
        <f t="shared" si="22"/>
        <v>55.291079014939299</v>
      </c>
      <c r="F152" s="80">
        <f t="shared" si="20"/>
        <v>1.2168303743859812</v>
      </c>
      <c r="G152" s="361">
        <f t="shared" si="23"/>
        <v>0.76474879294155329</v>
      </c>
      <c r="H152" s="361">
        <f t="shared" si="24"/>
        <v>0</v>
      </c>
      <c r="I152" s="361">
        <f t="shared" si="25"/>
        <v>0</v>
      </c>
      <c r="J152" s="361">
        <f t="shared" si="26"/>
        <v>0</v>
      </c>
      <c r="K152" s="362">
        <f t="shared" si="27"/>
        <v>0.27530956545895918</v>
      </c>
      <c r="L152" s="74">
        <f>K152*D152*'B) D RI'!S154</f>
        <v>7076.5570705570872</v>
      </c>
      <c r="M152" s="19">
        <f>(('B) D RI'!S154*C152)-(L152*$M$4))/'B) D RI'!S154</f>
        <v>25296.466659002461</v>
      </c>
      <c r="N152" s="349">
        <f t="shared" si="28"/>
        <v>55.112127797390983</v>
      </c>
      <c r="O152" s="80">
        <f t="shared" si="21"/>
        <v>1.2499344764257225</v>
      </c>
    </row>
    <row r="153" spans="1:15" x14ac:dyDescent="0.25">
      <c r="A153" s="61">
        <f>'A) Base RI'!A155</f>
        <v>5646</v>
      </c>
      <c r="B153" s="62" t="str">
        <f>'A) Base RI'!B155</f>
        <v>Saint-Prex</v>
      </c>
      <c r="C153" s="13">
        <f>'B) D RI'!U155</f>
        <v>307317.64145454549</v>
      </c>
      <c r="D153" s="42">
        <f>'B) D RI'!AR155</f>
        <v>5604</v>
      </c>
      <c r="E153" s="269">
        <f t="shared" si="22"/>
        <v>54.838979560054511</v>
      </c>
      <c r="F153" s="80">
        <f t="shared" si="20"/>
        <v>1.2068806978966056</v>
      </c>
      <c r="G153" s="361">
        <f t="shared" si="23"/>
        <v>0.3126493380567652</v>
      </c>
      <c r="H153" s="361">
        <f t="shared" si="24"/>
        <v>0</v>
      </c>
      <c r="I153" s="361">
        <f t="shared" si="25"/>
        <v>0</v>
      </c>
      <c r="J153" s="361">
        <f t="shared" si="26"/>
        <v>0</v>
      </c>
      <c r="K153" s="362">
        <f t="shared" si="27"/>
        <v>0.11255376170043546</v>
      </c>
      <c r="L153" s="74">
        <f>K153*D153*'B) D RI'!S155</f>
        <v>34691.320431308217</v>
      </c>
      <c r="M153" s="19">
        <f>(('B) D RI'!S155*C153)-(L153*$M$4))/'B) D RI'!S155</f>
        <v>306907.65312217548</v>
      </c>
      <c r="N153" s="349">
        <f t="shared" si="28"/>
        <v>54.76581961494923</v>
      </c>
      <c r="O153" s="80">
        <f t="shared" si="21"/>
        <v>1.2420802607747934</v>
      </c>
    </row>
    <row r="154" spans="1:15" x14ac:dyDescent="0.25">
      <c r="A154" s="61">
        <f>'A) Base RI'!A156</f>
        <v>5648</v>
      </c>
      <c r="B154" s="62" t="str">
        <f>'A) Base RI'!B156</f>
        <v>Saint-Sulpice</v>
      </c>
      <c r="C154" s="13">
        <f>'B) D RI'!U156</f>
        <v>307335.61263636366</v>
      </c>
      <c r="D154" s="42">
        <f>'B) D RI'!AR156</f>
        <v>3898</v>
      </c>
      <c r="E154" s="269">
        <f t="shared" si="22"/>
        <v>78.844436284341626</v>
      </c>
      <c r="F154" s="80">
        <f t="shared" si="20"/>
        <v>1.7351859763164432</v>
      </c>
      <c r="G154" s="361">
        <f t="shared" si="23"/>
        <v>24.31810606234388</v>
      </c>
      <c r="H154" s="361">
        <f t="shared" si="24"/>
        <v>10.686523506844438</v>
      </c>
      <c r="I154" s="361">
        <f t="shared" si="25"/>
        <v>0</v>
      </c>
      <c r="J154" s="361">
        <f t="shared" si="26"/>
        <v>0</v>
      </c>
      <c r="K154" s="362">
        <f t="shared" si="27"/>
        <v>9.8231705331282413</v>
      </c>
      <c r="L154" s="74">
        <f>K154*D154*'B) D RI'!S156</f>
        <v>2105989.5305973641</v>
      </c>
      <c r="M154" s="19">
        <f>(('B) D RI'!S156*C154)-(L154*$M$4))/'B) D RI'!S156</f>
        <v>282446.6454565766</v>
      </c>
      <c r="N154" s="349">
        <f t="shared" si="28"/>
        <v>72.459375437808262</v>
      </c>
      <c r="O154" s="80">
        <f t="shared" si="21"/>
        <v>1.6433673516100265</v>
      </c>
    </row>
    <row r="155" spans="1:15" x14ac:dyDescent="0.25">
      <c r="A155" s="61">
        <f>'A) Base RI'!A157</f>
        <v>5649</v>
      </c>
      <c r="B155" s="62" t="str">
        <f>'A) Base RI'!B157</f>
        <v>Tolochenaz</v>
      </c>
      <c r="C155" s="13">
        <f>'B) D RI'!U157</f>
        <v>109360.12415384616</v>
      </c>
      <c r="D155" s="42">
        <f>'B) D RI'!AR157</f>
        <v>1855</v>
      </c>
      <c r="E155" s="269">
        <f t="shared" si="22"/>
        <v>58.954244826871246</v>
      </c>
      <c r="F155" s="80">
        <f t="shared" si="20"/>
        <v>1.297448287904484</v>
      </c>
      <c r="G155" s="361">
        <f t="shared" si="23"/>
        <v>4.4279146048735001</v>
      </c>
      <c r="H155" s="361">
        <f t="shared" si="24"/>
        <v>0</v>
      </c>
      <c r="I155" s="361">
        <f t="shared" si="25"/>
        <v>0</v>
      </c>
      <c r="J155" s="361">
        <f t="shared" si="26"/>
        <v>0</v>
      </c>
      <c r="K155" s="362">
        <f t="shared" si="27"/>
        <v>1.59404925775446</v>
      </c>
      <c r="L155" s="74">
        <f>K155*D155*'B) D RI'!S157</f>
        <v>192202.48925374402</v>
      </c>
      <c r="M155" s="19">
        <f>(('B) D RI'!S157*C155)-(L155*$M$4))/'B) D RI'!S157</f>
        <v>107438.09926130871</v>
      </c>
      <c r="N155" s="349">
        <f t="shared" si="28"/>
        <v>57.918112809330843</v>
      </c>
      <c r="O155" s="80">
        <f t="shared" si="21"/>
        <v>1.3135737795506421</v>
      </c>
    </row>
    <row r="156" spans="1:15" x14ac:dyDescent="0.25">
      <c r="A156" s="61">
        <f>'A) Base RI'!A158</f>
        <v>5650</v>
      </c>
      <c r="B156" s="62" t="str">
        <f>'A) Base RI'!B158</f>
        <v>Vaux-sur-Morges</v>
      </c>
      <c r="C156" s="13">
        <f>'B) D RI'!U158</f>
        <v>185061.46846153846</v>
      </c>
      <c r="D156" s="42">
        <f>'B) D RI'!AR158</f>
        <v>203</v>
      </c>
      <c r="E156" s="269">
        <f t="shared" si="22"/>
        <v>911.63284956422888</v>
      </c>
      <c r="F156" s="80">
        <f t="shared" si="20"/>
        <v>20.062957015870008</v>
      </c>
      <c r="G156" s="361">
        <f t="shared" si="23"/>
        <v>857.10651934223108</v>
      </c>
      <c r="H156" s="361">
        <f t="shared" si="24"/>
        <v>843.47493678673163</v>
      </c>
      <c r="I156" s="361">
        <f t="shared" si="25"/>
        <v>820.75563252756592</v>
      </c>
      <c r="J156" s="361">
        <f t="shared" si="26"/>
        <v>775.3170240092345</v>
      </c>
      <c r="K156" s="362">
        <f t="shared" si="27"/>
        <v>552.51310629555644</v>
      </c>
      <c r="L156" s="74">
        <f>K156*D156*'B) D RI'!S158</f>
        <v>4374246.2625419199</v>
      </c>
      <c r="M156" s="19">
        <f>(('B) D RI'!S158*C156)-(L156*$M$4))/'B) D RI'!S158</f>
        <v>112157.36408583977</v>
      </c>
      <c r="N156" s="349">
        <f t="shared" si="28"/>
        <v>552.49933047211709</v>
      </c>
      <c r="O156" s="80">
        <f t="shared" si="21"/>
        <v>12.530598780327267</v>
      </c>
    </row>
    <row r="157" spans="1:15" x14ac:dyDescent="0.25">
      <c r="A157" s="61">
        <f>'A) Base RI'!A159</f>
        <v>5651</v>
      </c>
      <c r="B157" s="62" t="str">
        <f>'A) Base RI'!B159</f>
        <v>Villars-Sainte-Croix</v>
      </c>
      <c r="C157" s="13">
        <f>'B) D RI'!U159</f>
        <v>37823.297796610175</v>
      </c>
      <c r="D157" s="42">
        <f>'B) D RI'!AR159</f>
        <v>709</v>
      </c>
      <c r="E157" s="269">
        <f t="shared" si="22"/>
        <v>53.347387583371194</v>
      </c>
      <c r="F157" s="80">
        <f t="shared" si="20"/>
        <v>1.1740541650136376</v>
      </c>
      <c r="G157" s="361">
        <f t="shared" si="23"/>
        <v>0</v>
      </c>
      <c r="H157" s="361">
        <f t="shared" si="24"/>
        <v>0</v>
      </c>
      <c r="I157" s="361">
        <f t="shared" si="25"/>
        <v>0</v>
      </c>
      <c r="J157" s="361">
        <f t="shared" si="26"/>
        <v>0</v>
      </c>
      <c r="K157" s="362">
        <f t="shared" si="27"/>
        <v>0</v>
      </c>
      <c r="L157" s="74">
        <f>K157*D157*'B) D RI'!S159</f>
        <v>0</v>
      </c>
      <c r="M157" s="19">
        <f>(('B) D RI'!S159*C157)-(L157*$M$4))/'B) D RI'!S159</f>
        <v>37823.297796610175</v>
      </c>
      <c r="N157" s="349">
        <f t="shared" si="28"/>
        <v>53.347387583371194</v>
      </c>
      <c r="O157" s="80">
        <f t="shared" si="21"/>
        <v>1.209910443175773</v>
      </c>
    </row>
    <row r="158" spans="1:15" x14ac:dyDescent="0.25">
      <c r="A158" s="61">
        <f>'A) Base RI'!A160</f>
        <v>5652</v>
      </c>
      <c r="B158" s="62" t="str">
        <f>'A) Base RI'!B160</f>
        <v>Villars-sous-Yens</v>
      </c>
      <c r="C158" s="13">
        <f>'B) D RI'!U160</f>
        <v>23640.281403508772</v>
      </c>
      <c r="D158" s="42">
        <f>'B) D RI'!AR160</f>
        <v>564</v>
      </c>
      <c r="E158" s="269">
        <f t="shared" si="22"/>
        <v>41.915392559412716</v>
      </c>
      <c r="F158" s="80">
        <f t="shared" si="20"/>
        <v>0.92246206312639711</v>
      </c>
      <c r="G158" s="361">
        <f t="shared" si="23"/>
        <v>0</v>
      </c>
      <c r="H158" s="361">
        <f t="shared" si="24"/>
        <v>0</v>
      </c>
      <c r="I158" s="361">
        <f t="shared" si="25"/>
        <v>0</v>
      </c>
      <c r="J158" s="361">
        <f t="shared" si="26"/>
        <v>0</v>
      </c>
      <c r="K158" s="362">
        <f t="shared" si="27"/>
        <v>0</v>
      </c>
      <c r="L158" s="74">
        <f>K158*D158*'B) D RI'!S160</f>
        <v>0</v>
      </c>
      <c r="M158" s="19">
        <f>(('B) D RI'!S160*C158)-(L158*$M$4))/'B) D RI'!S160</f>
        <v>23640.281403508772</v>
      </c>
      <c r="N158" s="349">
        <f t="shared" si="28"/>
        <v>41.915392559412716</v>
      </c>
      <c r="O158" s="80">
        <f t="shared" si="21"/>
        <v>0.95063457621406489</v>
      </c>
    </row>
    <row r="159" spans="1:15" x14ac:dyDescent="0.25">
      <c r="A159" s="61">
        <f>'A) Base RI'!A161</f>
        <v>5653</v>
      </c>
      <c r="B159" s="62" t="str">
        <f>'A) Base RI'!B161</f>
        <v>Vufflens-le-Château</v>
      </c>
      <c r="C159" s="13">
        <f>'B) D RI'!U161</f>
        <v>59809.956818181818</v>
      </c>
      <c r="D159" s="42">
        <f>'B) D RI'!AR161</f>
        <v>821</v>
      </c>
      <c r="E159" s="269">
        <f t="shared" si="22"/>
        <v>72.850130107407821</v>
      </c>
      <c r="F159" s="80">
        <f t="shared" si="20"/>
        <v>1.6032649872633675</v>
      </c>
      <c r="G159" s="361">
        <f t="shared" si="23"/>
        <v>18.323799885410075</v>
      </c>
      <c r="H159" s="361">
        <f t="shared" si="24"/>
        <v>4.6922173299106333</v>
      </c>
      <c r="I159" s="361">
        <f t="shared" si="25"/>
        <v>0</v>
      </c>
      <c r="J159" s="361">
        <f t="shared" si="26"/>
        <v>0</v>
      </c>
      <c r="K159" s="362">
        <f t="shared" si="27"/>
        <v>7.06578969173869</v>
      </c>
      <c r="L159" s="74">
        <f>K159*D159*'B) D RI'!S161</f>
        <v>319055.73353046057</v>
      </c>
      <c r="M159" s="19">
        <f>(('B) D RI'!S161*C159)-(L159*$M$4))/'B) D RI'!S161</f>
        <v>56039.298149185466</v>
      </c>
      <c r="N159" s="349">
        <f t="shared" si="28"/>
        <v>68.257366807777672</v>
      </c>
      <c r="O159" s="80">
        <f t="shared" si="21"/>
        <v>1.5480664502145571</v>
      </c>
    </row>
    <row r="160" spans="1:15" x14ac:dyDescent="0.25">
      <c r="A160" s="61">
        <f>'A) Base RI'!A162</f>
        <v>5654</v>
      </c>
      <c r="B160" s="62" t="str">
        <f>'A) Base RI'!B162</f>
        <v>Vullierens</v>
      </c>
      <c r="C160" s="13">
        <f>'B) D RI'!U162</f>
        <v>16948.890394736845</v>
      </c>
      <c r="D160" s="42">
        <f>'B) D RI'!AR162</f>
        <v>460</v>
      </c>
      <c r="E160" s="269">
        <f t="shared" si="22"/>
        <v>36.845413901601837</v>
      </c>
      <c r="F160" s="80">
        <f t="shared" si="20"/>
        <v>0.81088341177386991</v>
      </c>
      <c r="G160" s="361">
        <f t="shared" si="23"/>
        <v>0</v>
      </c>
      <c r="H160" s="361">
        <f t="shared" si="24"/>
        <v>0</v>
      </c>
      <c r="I160" s="361">
        <f t="shared" si="25"/>
        <v>0</v>
      </c>
      <c r="J160" s="361">
        <f t="shared" si="26"/>
        <v>0</v>
      </c>
      <c r="K160" s="362">
        <f t="shared" si="27"/>
        <v>0</v>
      </c>
      <c r="L160" s="74">
        <f>K160*D160*'B) D RI'!S162</f>
        <v>0</v>
      </c>
      <c r="M160" s="19">
        <f>(('B) D RI'!S162*C160)-(L160*$M$4))/'B) D RI'!S162</f>
        <v>16948.890394736845</v>
      </c>
      <c r="N160" s="349">
        <f t="shared" si="28"/>
        <v>36.845413901601837</v>
      </c>
      <c r="O160" s="80">
        <f t="shared" si="21"/>
        <v>0.83564824974817886</v>
      </c>
    </row>
    <row r="161" spans="1:15" x14ac:dyDescent="0.25">
      <c r="A161" s="61">
        <f>'A) Base RI'!A163</f>
        <v>5655</v>
      </c>
      <c r="B161" s="62" t="str">
        <f>'A) Base RI'!B163</f>
        <v>Yens</v>
      </c>
      <c r="C161" s="13">
        <f>'B) D RI'!U163</f>
        <v>68107.282191780832</v>
      </c>
      <c r="D161" s="42">
        <f>'B) D RI'!AR163</f>
        <v>1405</v>
      </c>
      <c r="E161" s="269">
        <f t="shared" si="22"/>
        <v>48.474933944327994</v>
      </c>
      <c r="F161" s="80">
        <f t="shared" si="20"/>
        <v>1.0668225882130959</v>
      </c>
      <c r="G161" s="361">
        <f t="shared" si="23"/>
        <v>0</v>
      </c>
      <c r="H161" s="361">
        <f t="shared" si="24"/>
        <v>0</v>
      </c>
      <c r="I161" s="361">
        <f t="shared" si="25"/>
        <v>0</v>
      </c>
      <c r="J161" s="361">
        <f t="shared" si="26"/>
        <v>0</v>
      </c>
      <c r="K161" s="362">
        <f t="shared" si="27"/>
        <v>0</v>
      </c>
      <c r="L161" s="74">
        <f>K161*D161*'B) D RI'!S163</f>
        <v>0</v>
      </c>
      <c r="M161" s="19">
        <f>(('B) D RI'!S163*C161)-(L161*$M$4))/'B) D RI'!S163</f>
        <v>68107.282191780832</v>
      </c>
      <c r="N161" s="349">
        <f t="shared" si="28"/>
        <v>48.474933944327994</v>
      </c>
      <c r="O161" s="80">
        <f t="shared" si="21"/>
        <v>1.0994039533770907</v>
      </c>
    </row>
    <row r="162" spans="1:15" x14ac:dyDescent="0.25">
      <c r="A162" s="61">
        <f>'A) Base RI'!A164</f>
        <v>5661</v>
      </c>
      <c r="B162" s="62" t="str">
        <f>'A) Base RI'!B164</f>
        <v>Boulens</v>
      </c>
      <c r="C162" s="13">
        <f>'B) D RI'!U164</f>
        <v>7277.4751898734185</v>
      </c>
      <c r="D162" s="42">
        <f>'B) D RI'!AR164</f>
        <v>325</v>
      </c>
      <c r="E162" s="269">
        <f t="shared" si="22"/>
        <v>22.392231353456673</v>
      </c>
      <c r="F162" s="80">
        <f t="shared" si="20"/>
        <v>0.49280187232016354</v>
      </c>
      <c r="G162" s="361">
        <f t="shared" si="23"/>
        <v>0</v>
      </c>
      <c r="H162" s="361">
        <f t="shared" si="24"/>
        <v>0</v>
      </c>
      <c r="I162" s="361">
        <f t="shared" si="25"/>
        <v>0</v>
      </c>
      <c r="J162" s="361">
        <f t="shared" si="26"/>
        <v>0</v>
      </c>
      <c r="K162" s="362">
        <f t="shared" si="27"/>
        <v>0</v>
      </c>
      <c r="L162" s="74">
        <f>K162*D162*'B) D RI'!S164</f>
        <v>0</v>
      </c>
      <c r="M162" s="19">
        <f>(('B) D RI'!S164*C162)-(L162*$M$4))/'B) D RI'!S164</f>
        <v>7277.4751898734185</v>
      </c>
      <c r="N162" s="349">
        <f t="shared" si="28"/>
        <v>22.392231353456673</v>
      </c>
      <c r="O162" s="80">
        <f t="shared" si="21"/>
        <v>0.5078523201949664</v>
      </c>
    </row>
    <row r="163" spans="1:15" x14ac:dyDescent="0.25">
      <c r="A163" s="61">
        <f>'A) Base RI'!A165</f>
        <v>5663</v>
      </c>
      <c r="B163" s="62" t="str">
        <f>'A) Base RI'!B165</f>
        <v>Bussy-sur-Moudon</v>
      </c>
      <c r="C163" s="13">
        <f>'B) D RI'!U165</f>
        <v>4999.1039999999994</v>
      </c>
      <c r="D163" s="42">
        <f>'B) D RI'!AR165</f>
        <v>198</v>
      </c>
      <c r="E163" s="269">
        <f t="shared" si="22"/>
        <v>25.247999999999998</v>
      </c>
      <c r="F163" s="80">
        <f t="shared" si="20"/>
        <v>0.55565081817622364</v>
      </c>
      <c r="G163" s="361">
        <f t="shared" si="23"/>
        <v>0</v>
      </c>
      <c r="H163" s="361">
        <f t="shared" si="24"/>
        <v>0</v>
      </c>
      <c r="I163" s="361">
        <f t="shared" si="25"/>
        <v>0</v>
      </c>
      <c r="J163" s="361">
        <f t="shared" si="26"/>
        <v>0</v>
      </c>
      <c r="K163" s="362">
        <f t="shared" si="27"/>
        <v>0</v>
      </c>
      <c r="L163" s="74">
        <f>K163*D163*'B) D RI'!S165</f>
        <v>0</v>
      </c>
      <c r="M163" s="19">
        <f>(('B) D RI'!S165*C163)-(L163*$M$4))/'B) D RI'!S165</f>
        <v>4999.1039999999994</v>
      </c>
      <c r="N163" s="349">
        <f t="shared" si="28"/>
        <v>25.247999999999998</v>
      </c>
      <c r="O163" s="80">
        <f t="shared" si="21"/>
        <v>0.57262070840042245</v>
      </c>
    </row>
    <row r="164" spans="1:15" x14ac:dyDescent="0.25">
      <c r="A164" s="61">
        <f>'A) Base RI'!A166</f>
        <v>5665</v>
      </c>
      <c r="B164" s="62" t="str">
        <f>'A) Base RI'!B166</f>
        <v>Chavannes-sur-Moudon</v>
      </c>
      <c r="C164" s="13">
        <f>'B) D RI'!U166</f>
        <v>4834.5158333333329</v>
      </c>
      <c r="D164" s="42">
        <f>'B) D RI'!AR166</f>
        <v>224</v>
      </c>
      <c r="E164" s="269">
        <f t="shared" si="22"/>
        <v>21.582659970238094</v>
      </c>
      <c r="F164" s="80">
        <f t="shared" si="20"/>
        <v>0.47498505508880023</v>
      </c>
      <c r="G164" s="361">
        <f t="shared" si="23"/>
        <v>0</v>
      </c>
      <c r="H164" s="361">
        <f t="shared" si="24"/>
        <v>0</v>
      </c>
      <c r="I164" s="361">
        <f t="shared" si="25"/>
        <v>0</v>
      </c>
      <c r="J164" s="361">
        <f t="shared" si="26"/>
        <v>0</v>
      </c>
      <c r="K164" s="362">
        <f t="shared" si="27"/>
        <v>0</v>
      </c>
      <c r="L164" s="74">
        <f>K164*D164*'B) D RI'!S166</f>
        <v>0</v>
      </c>
      <c r="M164" s="19">
        <f>(('B) D RI'!S166*C164)-(L164*$M$4))/'B) D RI'!S166</f>
        <v>4834.5158333333329</v>
      </c>
      <c r="N164" s="349">
        <f t="shared" si="28"/>
        <v>21.582659970238094</v>
      </c>
      <c r="O164" s="80">
        <f t="shared" si="21"/>
        <v>0.48949136728941617</v>
      </c>
    </row>
    <row r="165" spans="1:15" x14ac:dyDescent="0.25">
      <c r="A165" s="61">
        <f>'A) Base RI'!A167</f>
        <v>5669</v>
      </c>
      <c r="B165" s="62" t="str">
        <f>'A) Base RI'!B167</f>
        <v>Curtilles</v>
      </c>
      <c r="C165" s="13">
        <f>'B) D RI'!U167</f>
        <v>8707.7998611111107</v>
      </c>
      <c r="D165" s="42">
        <f>'B) D RI'!AR167</f>
        <v>311</v>
      </c>
      <c r="E165" s="269">
        <f t="shared" si="22"/>
        <v>27.999356466595213</v>
      </c>
      <c r="F165" s="80">
        <f t="shared" si="20"/>
        <v>0.61620189040998763</v>
      </c>
      <c r="G165" s="361">
        <f t="shared" si="23"/>
        <v>0</v>
      </c>
      <c r="H165" s="361">
        <f t="shared" si="24"/>
        <v>0</v>
      </c>
      <c r="I165" s="361">
        <f t="shared" si="25"/>
        <v>0</v>
      </c>
      <c r="J165" s="361">
        <f t="shared" si="26"/>
        <v>0</v>
      </c>
      <c r="K165" s="362">
        <f t="shared" si="27"/>
        <v>0</v>
      </c>
      <c r="L165" s="74">
        <f>K165*D165*'B) D RI'!S167</f>
        <v>0</v>
      </c>
      <c r="M165" s="19">
        <f>(('B) D RI'!S167*C165)-(L165*$M$4))/'B) D RI'!S167</f>
        <v>8707.7998611111107</v>
      </c>
      <c r="N165" s="349">
        <f t="shared" si="28"/>
        <v>27.999356466595213</v>
      </c>
      <c r="O165" s="80">
        <f t="shared" si="21"/>
        <v>0.63502104462364162</v>
      </c>
    </row>
    <row r="166" spans="1:15" x14ac:dyDescent="0.25">
      <c r="A166" s="61">
        <f>'A) Base RI'!A168</f>
        <v>5671</v>
      </c>
      <c r="B166" s="62" t="str">
        <f>'A) Base RI'!B168</f>
        <v>Dompierre</v>
      </c>
      <c r="C166" s="13">
        <f>'B) D RI'!U168</f>
        <v>6226.6947500000006</v>
      </c>
      <c r="D166" s="42">
        <f>'B) D RI'!AR168</f>
        <v>247</v>
      </c>
      <c r="E166" s="269">
        <f t="shared" si="22"/>
        <v>25.20929048582996</v>
      </c>
      <c r="F166" s="80">
        <f t="shared" si="20"/>
        <v>0.55479891017480631</v>
      </c>
      <c r="G166" s="361">
        <f t="shared" si="23"/>
        <v>0</v>
      </c>
      <c r="H166" s="361">
        <f t="shared" si="24"/>
        <v>0</v>
      </c>
      <c r="I166" s="361">
        <f t="shared" si="25"/>
        <v>0</v>
      </c>
      <c r="J166" s="361">
        <f t="shared" si="26"/>
        <v>0</v>
      </c>
      <c r="K166" s="362">
        <f t="shared" si="27"/>
        <v>0</v>
      </c>
      <c r="L166" s="74">
        <f>K166*D166*'B) D RI'!S168</f>
        <v>0</v>
      </c>
      <c r="M166" s="19">
        <f>(('B) D RI'!S168*C166)-(L166*$M$4))/'B) D RI'!S168</f>
        <v>6226.6947500000006</v>
      </c>
      <c r="N166" s="349">
        <f t="shared" si="28"/>
        <v>25.20929048582996</v>
      </c>
      <c r="O166" s="80">
        <f t="shared" si="21"/>
        <v>0.57174278264686251</v>
      </c>
    </row>
    <row r="167" spans="1:15" x14ac:dyDescent="0.25">
      <c r="A167" s="61">
        <f>'A) Base RI'!A169</f>
        <v>5673</v>
      </c>
      <c r="B167" s="62" t="str">
        <f>'A) Base RI'!B169</f>
        <v>Hermenches</v>
      </c>
      <c r="C167" s="13">
        <f>'B) D RI'!U169</f>
        <v>8854.2944888888887</v>
      </c>
      <c r="D167" s="42">
        <f>'B) D RI'!AR169</f>
        <v>382</v>
      </c>
      <c r="E167" s="269">
        <f t="shared" si="22"/>
        <v>23.178781384525887</v>
      </c>
      <c r="F167" s="80">
        <f t="shared" si="20"/>
        <v>0.51011204216728578</v>
      </c>
      <c r="G167" s="361">
        <f t="shared" si="23"/>
        <v>0</v>
      </c>
      <c r="H167" s="361">
        <f t="shared" si="24"/>
        <v>0</v>
      </c>
      <c r="I167" s="361">
        <f t="shared" si="25"/>
        <v>0</v>
      </c>
      <c r="J167" s="361">
        <f t="shared" si="26"/>
        <v>0</v>
      </c>
      <c r="K167" s="362">
        <f t="shared" si="27"/>
        <v>0</v>
      </c>
      <c r="L167" s="74">
        <f>K167*D167*'B) D RI'!S169</f>
        <v>0</v>
      </c>
      <c r="M167" s="19">
        <f>(('B) D RI'!S169*C167)-(L167*$M$4))/'B) D RI'!S169</f>
        <v>8854.2944888888887</v>
      </c>
      <c r="N167" s="349">
        <f t="shared" si="28"/>
        <v>23.178781384525887</v>
      </c>
      <c r="O167" s="80">
        <f t="shared" si="21"/>
        <v>0.52569115241863673</v>
      </c>
    </row>
    <row r="168" spans="1:15" x14ac:dyDescent="0.25">
      <c r="A168" s="61">
        <f>'A) Base RI'!A170</f>
        <v>5674</v>
      </c>
      <c r="B168" s="62" t="str">
        <f>'A) Base RI'!B170</f>
        <v>Lovatens</v>
      </c>
      <c r="C168" s="13">
        <f>'B) D RI'!U170</f>
        <v>3347.4317333333333</v>
      </c>
      <c r="D168" s="42">
        <f>'B) D RI'!AR170</f>
        <v>151</v>
      </c>
      <c r="E168" s="269">
        <f t="shared" si="22"/>
        <v>22.168422075055187</v>
      </c>
      <c r="F168" s="80">
        <f t="shared" si="20"/>
        <v>0.4878763412420894</v>
      </c>
      <c r="G168" s="361">
        <f t="shared" si="23"/>
        <v>0</v>
      </c>
      <c r="H168" s="361">
        <f t="shared" si="24"/>
        <v>0</v>
      </c>
      <c r="I168" s="361">
        <f t="shared" si="25"/>
        <v>0</v>
      </c>
      <c r="J168" s="361">
        <f t="shared" si="26"/>
        <v>0</v>
      </c>
      <c r="K168" s="362">
        <f t="shared" si="27"/>
        <v>0</v>
      </c>
      <c r="L168" s="74">
        <f>K168*D168*'B) D RI'!S170</f>
        <v>0</v>
      </c>
      <c r="M168" s="19">
        <f>(('B) D RI'!S170*C168)-(L168*$M$4))/'B) D RI'!S170</f>
        <v>3347.4317333333333</v>
      </c>
      <c r="N168" s="349">
        <f t="shared" si="28"/>
        <v>22.168422075055187</v>
      </c>
      <c r="O168" s="80">
        <f t="shared" si="21"/>
        <v>0.5027763606122333</v>
      </c>
    </row>
    <row r="169" spans="1:15" x14ac:dyDescent="0.25">
      <c r="A169" s="61">
        <f>'A) Base RI'!A171</f>
        <v>5675</v>
      </c>
      <c r="B169" s="62" t="str">
        <f>'A) Base RI'!B171</f>
        <v>Lucens</v>
      </c>
      <c r="C169" s="13">
        <f>'B) D RI'!U171</f>
        <v>91702.321238938035</v>
      </c>
      <c r="D169" s="42">
        <f>'B) D RI'!AR171</f>
        <v>3890</v>
      </c>
      <c r="E169" s="269">
        <f t="shared" si="22"/>
        <v>23.573861501012349</v>
      </c>
      <c r="F169" s="80">
        <f t="shared" si="20"/>
        <v>0.51880685324027609</v>
      </c>
      <c r="G169" s="361">
        <f t="shared" si="23"/>
        <v>0</v>
      </c>
      <c r="H169" s="361">
        <f t="shared" si="24"/>
        <v>0</v>
      </c>
      <c r="I169" s="361">
        <f t="shared" si="25"/>
        <v>0</v>
      </c>
      <c r="J169" s="361">
        <f t="shared" si="26"/>
        <v>0</v>
      </c>
      <c r="K169" s="362">
        <f t="shared" si="27"/>
        <v>0</v>
      </c>
      <c r="L169" s="74">
        <f>K169*D169*'B) D RI'!S171</f>
        <v>0</v>
      </c>
      <c r="M169" s="19">
        <f>(('B) D RI'!S171*C169)-(L169*$M$4))/'B) D RI'!S171</f>
        <v>91702.321238938035</v>
      </c>
      <c r="N169" s="349">
        <f t="shared" si="28"/>
        <v>23.573861501012349</v>
      </c>
      <c r="O169" s="80">
        <f t="shared" si="21"/>
        <v>0.53465150793897098</v>
      </c>
    </row>
    <row r="170" spans="1:15" x14ac:dyDescent="0.25">
      <c r="A170" s="61">
        <f>'A) Base RI'!A172</f>
        <v>5678</v>
      </c>
      <c r="B170" s="62" t="str">
        <f>'A) Base RI'!B172</f>
        <v>Moudon</v>
      </c>
      <c r="C170" s="13">
        <f>'B) D RI'!U172</f>
        <v>122060.45639999998</v>
      </c>
      <c r="D170" s="42">
        <f>'B) D RI'!AR172</f>
        <v>5770</v>
      </c>
      <c r="E170" s="269">
        <f t="shared" si="22"/>
        <v>21.154325199306754</v>
      </c>
      <c r="F170" s="80">
        <f t="shared" si="20"/>
        <v>0.46555838501903929</v>
      </c>
      <c r="G170" s="361">
        <f t="shared" si="23"/>
        <v>0</v>
      </c>
      <c r="H170" s="361">
        <f t="shared" si="24"/>
        <v>0</v>
      </c>
      <c r="I170" s="361">
        <f t="shared" si="25"/>
        <v>0</v>
      </c>
      <c r="J170" s="361">
        <f t="shared" si="26"/>
        <v>0</v>
      </c>
      <c r="K170" s="362">
        <f t="shared" si="27"/>
        <v>0</v>
      </c>
      <c r="L170" s="74">
        <f>K170*D170*'B) D RI'!S172</f>
        <v>0</v>
      </c>
      <c r="M170" s="19">
        <f>(('B) D RI'!S172*C170)-(L170*$M$4))/'B) D RI'!S172</f>
        <v>122060.45639999998</v>
      </c>
      <c r="N170" s="349">
        <f t="shared" si="28"/>
        <v>21.154325199306754</v>
      </c>
      <c r="O170" s="80">
        <f t="shared" si="21"/>
        <v>0.47977680138466189</v>
      </c>
    </row>
    <row r="171" spans="1:15" x14ac:dyDescent="0.25">
      <c r="A171" s="61">
        <f>'A) Base RI'!A173</f>
        <v>5680</v>
      </c>
      <c r="B171" s="62" t="str">
        <f>'A) Base RI'!B173</f>
        <v>Ogens</v>
      </c>
      <c r="C171" s="13">
        <f>'B) D RI'!U173</f>
        <v>8163.3689316239324</v>
      </c>
      <c r="D171" s="42">
        <f>'B) D RI'!AR173</f>
        <v>283</v>
      </c>
      <c r="E171" s="269">
        <f t="shared" si="22"/>
        <v>28.845826613512127</v>
      </c>
      <c r="F171" s="80">
        <f t="shared" si="20"/>
        <v>0.63483076516030978</v>
      </c>
      <c r="G171" s="361">
        <f t="shared" si="23"/>
        <v>0</v>
      </c>
      <c r="H171" s="361">
        <f t="shared" si="24"/>
        <v>0</v>
      </c>
      <c r="I171" s="361">
        <f t="shared" si="25"/>
        <v>0</v>
      </c>
      <c r="J171" s="361">
        <f t="shared" si="26"/>
        <v>0</v>
      </c>
      <c r="K171" s="362">
        <f t="shared" si="27"/>
        <v>0</v>
      </c>
      <c r="L171" s="74">
        <f>K171*D171*'B) D RI'!S173</f>
        <v>0</v>
      </c>
      <c r="M171" s="19">
        <f>(('B) D RI'!S173*C171)-(L171*$M$4))/'B) D RI'!S173</f>
        <v>8163.3689316239324</v>
      </c>
      <c r="N171" s="349">
        <f t="shared" si="28"/>
        <v>28.845826613512127</v>
      </c>
      <c r="O171" s="80">
        <f t="shared" si="21"/>
        <v>0.65421885574402239</v>
      </c>
    </row>
    <row r="172" spans="1:15" x14ac:dyDescent="0.25">
      <c r="A172" s="61">
        <f>'A) Base RI'!A174</f>
        <v>5683</v>
      </c>
      <c r="B172" s="62" t="str">
        <f>'A) Base RI'!B174</f>
        <v>Prévonloup</v>
      </c>
      <c r="C172" s="13">
        <f>'B) D RI'!U174</f>
        <v>3618.5018918918922</v>
      </c>
      <c r="D172" s="42">
        <f>'B) D RI'!AR174</f>
        <v>172</v>
      </c>
      <c r="E172" s="269">
        <f t="shared" si="22"/>
        <v>21.037801697045886</v>
      </c>
      <c r="F172" s="80">
        <f t="shared" si="20"/>
        <v>0.46299396885268906</v>
      </c>
      <c r="G172" s="361">
        <f t="shared" si="23"/>
        <v>0</v>
      </c>
      <c r="H172" s="361">
        <f t="shared" si="24"/>
        <v>0</v>
      </c>
      <c r="I172" s="361">
        <f t="shared" si="25"/>
        <v>0</v>
      </c>
      <c r="J172" s="361">
        <f t="shared" si="26"/>
        <v>0</v>
      </c>
      <c r="K172" s="362">
        <f t="shared" si="27"/>
        <v>0</v>
      </c>
      <c r="L172" s="74">
        <f>K172*D172*'B) D RI'!S174</f>
        <v>0</v>
      </c>
      <c r="M172" s="19">
        <f>(('B) D RI'!S174*C172)-(L172*$M$4))/'B) D RI'!S174</f>
        <v>3618.5018918918922</v>
      </c>
      <c r="N172" s="349">
        <f t="shared" si="28"/>
        <v>21.037801697045886</v>
      </c>
      <c r="O172" s="80">
        <f t="shared" si="21"/>
        <v>0.47713406649833756</v>
      </c>
    </row>
    <row r="173" spans="1:15" x14ac:dyDescent="0.25">
      <c r="A173" s="61">
        <f>'A) Base RI'!A175</f>
        <v>5684</v>
      </c>
      <c r="B173" s="62" t="str">
        <f>'A) Base RI'!B175</f>
        <v>Rossenges</v>
      </c>
      <c r="C173" s="13">
        <f>'B) D RI'!U175</f>
        <v>2611.7396666666664</v>
      </c>
      <c r="D173" s="42">
        <f>'B) D RI'!AR175</f>
        <v>65</v>
      </c>
      <c r="E173" s="269">
        <f t="shared" si="22"/>
        <v>40.180610256410255</v>
      </c>
      <c r="F173" s="80">
        <f t="shared" si="20"/>
        <v>0.88428346656346335</v>
      </c>
      <c r="G173" s="361">
        <f t="shared" si="23"/>
        <v>0</v>
      </c>
      <c r="H173" s="361">
        <f t="shared" si="24"/>
        <v>0</v>
      </c>
      <c r="I173" s="361">
        <f t="shared" si="25"/>
        <v>0</v>
      </c>
      <c r="J173" s="361">
        <f t="shared" si="26"/>
        <v>0</v>
      </c>
      <c r="K173" s="362">
        <f t="shared" si="27"/>
        <v>0</v>
      </c>
      <c r="L173" s="74">
        <f>K173*D173*'B) D RI'!S175</f>
        <v>0</v>
      </c>
      <c r="M173" s="19">
        <f>(('B) D RI'!S175*C173)-(L173*$M$4))/'B) D RI'!S175</f>
        <v>2611.7396666666664</v>
      </c>
      <c r="N173" s="349">
        <f t="shared" si="28"/>
        <v>40.180610256410255</v>
      </c>
      <c r="O173" s="80">
        <f t="shared" si="21"/>
        <v>0.91128998372096504</v>
      </c>
    </row>
    <row r="174" spans="1:15" x14ac:dyDescent="0.25">
      <c r="A174" s="61">
        <f>'A) Base RI'!A176</f>
        <v>5688</v>
      </c>
      <c r="B174" s="62" t="str">
        <f>'A) Base RI'!B176</f>
        <v>Syens</v>
      </c>
      <c r="C174" s="13">
        <f>'B) D RI'!U176</f>
        <v>5385.636772486775</v>
      </c>
      <c r="D174" s="42">
        <f>'B) D RI'!AR176</f>
        <v>139</v>
      </c>
      <c r="E174" s="269">
        <f t="shared" si="22"/>
        <v>38.745588291271766</v>
      </c>
      <c r="F174" s="80">
        <f t="shared" si="20"/>
        <v>0.85270191043901566</v>
      </c>
      <c r="G174" s="361">
        <f t="shared" si="23"/>
        <v>0</v>
      </c>
      <c r="H174" s="361">
        <f t="shared" si="24"/>
        <v>0</v>
      </c>
      <c r="I174" s="361">
        <f t="shared" si="25"/>
        <v>0</v>
      </c>
      <c r="J174" s="361">
        <f t="shared" si="26"/>
        <v>0</v>
      </c>
      <c r="K174" s="362">
        <f t="shared" si="27"/>
        <v>0</v>
      </c>
      <c r="L174" s="74">
        <f>K174*D174*'B) D RI'!S176</f>
        <v>0</v>
      </c>
      <c r="M174" s="19">
        <f>(('B) D RI'!S176*C174)-(L174*$M$4))/'B) D RI'!S176</f>
        <v>5385.636772486775</v>
      </c>
      <c r="N174" s="349">
        <f t="shared" si="28"/>
        <v>38.745588291271766</v>
      </c>
      <c r="O174" s="80">
        <f t="shared" si="21"/>
        <v>0.87874390901216559</v>
      </c>
    </row>
    <row r="175" spans="1:15" x14ac:dyDescent="0.25">
      <c r="A175" s="61">
        <f>'A) Base RI'!A177</f>
        <v>5690</v>
      </c>
      <c r="B175" s="62" t="str">
        <f>'A) Base RI'!B177</f>
        <v>Villars-le-Comte</v>
      </c>
      <c r="C175" s="13">
        <f>'B) D RI'!U177</f>
        <v>3375.6488157894737</v>
      </c>
      <c r="D175" s="42">
        <f>'B) D RI'!AR177</f>
        <v>150</v>
      </c>
      <c r="E175" s="269">
        <f t="shared" si="22"/>
        <v>22.504325438596492</v>
      </c>
      <c r="F175" s="80">
        <f t="shared" si="20"/>
        <v>0.49526880713165972</v>
      </c>
      <c r="G175" s="361">
        <f t="shared" si="23"/>
        <v>0</v>
      </c>
      <c r="H175" s="361">
        <f t="shared" si="24"/>
        <v>0</v>
      </c>
      <c r="I175" s="361">
        <f t="shared" si="25"/>
        <v>0</v>
      </c>
      <c r="J175" s="361">
        <f t="shared" si="26"/>
        <v>0</v>
      </c>
      <c r="K175" s="362">
        <f t="shared" si="27"/>
        <v>0</v>
      </c>
      <c r="L175" s="74">
        <f>K175*D175*'B) D RI'!S177</f>
        <v>0</v>
      </c>
      <c r="M175" s="19">
        <f>(('B) D RI'!S177*C175)-(L175*$M$4))/'B) D RI'!S177</f>
        <v>3375.6488157894737</v>
      </c>
      <c r="N175" s="349">
        <f t="shared" si="28"/>
        <v>22.504325438596492</v>
      </c>
      <c r="O175" s="80">
        <f t="shared" si="21"/>
        <v>0.51039459659073083</v>
      </c>
    </row>
    <row r="176" spans="1:15" x14ac:dyDescent="0.25">
      <c r="A176" s="61">
        <f>'A) Base RI'!A178</f>
        <v>5692</v>
      </c>
      <c r="B176" s="62" t="str">
        <f>'A) Base RI'!B178</f>
        <v>Vucherens</v>
      </c>
      <c r="C176" s="13">
        <f>'B) D RI'!U178</f>
        <v>15125.888354430383</v>
      </c>
      <c r="D176" s="42">
        <f>'B) D RI'!AR178</f>
        <v>543</v>
      </c>
      <c r="E176" s="269">
        <f t="shared" si="22"/>
        <v>27.856147982376395</v>
      </c>
      <c r="F176" s="80">
        <f t="shared" si="20"/>
        <v>0.61305019873437128</v>
      </c>
      <c r="G176" s="361">
        <f t="shared" si="23"/>
        <v>0</v>
      </c>
      <c r="H176" s="361">
        <f t="shared" si="24"/>
        <v>0</v>
      </c>
      <c r="I176" s="361">
        <f t="shared" si="25"/>
        <v>0</v>
      </c>
      <c r="J176" s="361">
        <f t="shared" si="26"/>
        <v>0</v>
      </c>
      <c r="K176" s="362">
        <f t="shared" si="27"/>
        <v>0</v>
      </c>
      <c r="L176" s="74">
        <f>K176*D176*'B) D RI'!S178</f>
        <v>0</v>
      </c>
      <c r="M176" s="19">
        <f>(('B) D RI'!S178*C176)-(L176*$M$4))/'B) D RI'!S178</f>
        <v>15125.888354430383</v>
      </c>
      <c r="N176" s="349">
        <f t="shared" si="28"/>
        <v>27.856147982376395</v>
      </c>
      <c r="O176" s="80">
        <f t="shared" si="21"/>
        <v>0.63177309850187635</v>
      </c>
    </row>
    <row r="177" spans="1:15" x14ac:dyDescent="0.25">
      <c r="A177" s="61">
        <f>'A) Base RI'!A179</f>
        <v>5693</v>
      </c>
      <c r="B177" s="62" t="str">
        <f>'A) Base RI'!B179</f>
        <v>Montanaire</v>
      </c>
      <c r="C177" s="13">
        <f>'B) D RI'!U179</f>
        <v>62987.795555555575</v>
      </c>
      <c r="D177" s="42">
        <f>'B) D RI'!AR179</f>
        <v>2421</v>
      </c>
      <c r="E177" s="269">
        <f t="shared" si="22"/>
        <v>26.017263756941585</v>
      </c>
      <c r="F177" s="80">
        <f t="shared" si="20"/>
        <v>0.57258055660849183</v>
      </c>
      <c r="G177" s="361">
        <f t="shared" si="23"/>
        <v>0</v>
      </c>
      <c r="H177" s="361">
        <f t="shared" si="24"/>
        <v>0</v>
      </c>
      <c r="I177" s="361">
        <f t="shared" si="25"/>
        <v>0</v>
      </c>
      <c r="J177" s="361">
        <f t="shared" si="26"/>
        <v>0</v>
      </c>
      <c r="K177" s="362">
        <f t="shared" si="27"/>
        <v>0</v>
      </c>
      <c r="L177" s="74">
        <f>K177*D177*'B) D RI'!S179</f>
        <v>0</v>
      </c>
      <c r="M177" s="19">
        <f>(('B) D RI'!S179*C177)-(L177*$M$4))/'B) D RI'!S179</f>
        <v>62987.795555555575</v>
      </c>
      <c r="N177" s="349">
        <f t="shared" si="28"/>
        <v>26.017263756941585</v>
      </c>
      <c r="O177" s="80">
        <f t="shared" si="21"/>
        <v>0.5900674906186838</v>
      </c>
    </row>
    <row r="178" spans="1:15" x14ac:dyDescent="0.25">
      <c r="A178" s="61">
        <f>'A) Base RI'!A180</f>
        <v>5701</v>
      </c>
      <c r="B178" s="62" t="str">
        <f>'A) Base RI'!B180</f>
        <v>Arnex-sur-Nyon</v>
      </c>
      <c r="C178" s="13">
        <f>'B) D RI'!U180</f>
        <v>14386.456307692306</v>
      </c>
      <c r="D178" s="42">
        <f>'B) D RI'!AR180</f>
        <v>208</v>
      </c>
      <c r="E178" s="269">
        <f t="shared" si="22"/>
        <v>69.16565532544378</v>
      </c>
      <c r="F178" s="80">
        <f t="shared" si="20"/>
        <v>1.5221781119802567</v>
      </c>
      <c r="G178" s="361">
        <f t="shared" si="23"/>
        <v>14.639325103446033</v>
      </c>
      <c r="H178" s="361">
        <f t="shared" si="24"/>
        <v>1.0077425479465916</v>
      </c>
      <c r="I178" s="361">
        <f t="shared" si="25"/>
        <v>0</v>
      </c>
      <c r="J178" s="361">
        <f t="shared" si="26"/>
        <v>0</v>
      </c>
      <c r="K178" s="362">
        <f t="shared" si="27"/>
        <v>5.3709312920352303</v>
      </c>
      <c r="L178" s="74">
        <f>K178*D178*'B) D RI'!S180</f>
        <v>72614.991068316318</v>
      </c>
      <c r="M178" s="19">
        <f>(('B) D RI'!S180*C178)-(L178*$M$4))/'B) D RI'!S180</f>
        <v>13660.306397009143</v>
      </c>
      <c r="N178" s="349">
        <f t="shared" si="28"/>
        <v>65.674549985620871</v>
      </c>
      <c r="O178" s="80">
        <f t="shared" si="21"/>
        <v>1.4894885668823346</v>
      </c>
    </row>
    <row r="179" spans="1:15" x14ac:dyDescent="0.25">
      <c r="A179" s="61">
        <f>'A) Base RI'!A181</f>
        <v>5702</v>
      </c>
      <c r="B179" s="62" t="str">
        <f>'A) Base RI'!B181</f>
        <v>Arzier-Le Muids</v>
      </c>
      <c r="C179" s="13">
        <f>'B) D RI'!U181</f>
        <v>137336.67807291666</v>
      </c>
      <c r="D179" s="42">
        <f>'B) D RI'!AR181</f>
        <v>2506</v>
      </c>
      <c r="E179" s="269">
        <f t="shared" si="22"/>
        <v>54.80314368432429</v>
      </c>
      <c r="F179" s="80">
        <f t="shared" si="20"/>
        <v>1.2060920321143829</v>
      </c>
      <c r="G179" s="361">
        <f t="shared" si="23"/>
        <v>0.27681346232654391</v>
      </c>
      <c r="H179" s="361">
        <f t="shared" si="24"/>
        <v>0</v>
      </c>
      <c r="I179" s="361">
        <f t="shared" si="25"/>
        <v>0</v>
      </c>
      <c r="J179" s="361">
        <f t="shared" si="26"/>
        <v>0</v>
      </c>
      <c r="K179" s="362">
        <f t="shared" si="27"/>
        <v>9.96528464375558E-2</v>
      </c>
      <c r="L179" s="74">
        <f>K179*D179*'B) D RI'!S181</f>
        <v>15982.722123040949</v>
      </c>
      <c r="M179" s="19">
        <f>(('B) D RI'!S181*C179)-(L179*$M$4))/'B) D RI'!S181</f>
        <v>137174.35355135452</v>
      </c>
      <c r="N179" s="349">
        <f t="shared" si="28"/>
        <v>54.738369334139875</v>
      </c>
      <c r="O179" s="80">
        <f t="shared" si="21"/>
        <v>1.2414576926805743</v>
      </c>
    </row>
    <row r="180" spans="1:15" x14ac:dyDescent="0.25">
      <c r="A180" s="61">
        <f>'A) Base RI'!A182</f>
        <v>5703</v>
      </c>
      <c r="B180" s="62" t="str">
        <f>'A) Base RI'!B182</f>
        <v>Bassins</v>
      </c>
      <c r="C180" s="13">
        <f>'B) D RI'!U182</f>
        <v>51617.647746478862</v>
      </c>
      <c r="D180" s="42">
        <f>'B) D RI'!AR182</f>
        <v>1320</v>
      </c>
      <c r="E180" s="269">
        <f t="shared" si="22"/>
        <v>39.10427859581732</v>
      </c>
      <c r="F180" s="80">
        <f t="shared" si="20"/>
        <v>0.86059586485887529</v>
      </c>
      <c r="G180" s="361">
        <f t="shared" si="23"/>
        <v>0</v>
      </c>
      <c r="H180" s="361">
        <f t="shared" si="24"/>
        <v>0</v>
      </c>
      <c r="I180" s="361">
        <f t="shared" si="25"/>
        <v>0</v>
      </c>
      <c r="J180" s="361">
        <f t="shared" si="26"/>
        <v>0</v>
      </c>
      <c r="K180" s="362">
        <f t="shared" si="27"/>
        <v>0</v>
      </c>
      <c r="L180" s="74">
        <f>K180*D180*'B) D RI'!S182</f>
        <v>0</v>
      </c>
      <c r="M180" s="19">
        <f>(('B) D RI'!S182*C180)-(L180*$M$4))/'B) D RI'!S182</f>
        <v>51617.647746478862</v>
      </c>
      <c r="N180" s="349">
        <f t="shared" si="28"/>
        <v>39.10427859581732</v>
      </c>
      <c r="O180" s="80">
        <f t="shared" si="21"/>
        <v>0.88687894926427413</v>
      </c>
    </row>
    <row r="181" spans="1:15" x14ac:dyDescent="0.25">
      <c r="A181" s="61">
        <f>'A) Base RI'!A183</f>
        <v>5704</v>
      </c>
      <c r="B181" s="62" t="str">
        <f>'A) Base RI'!B183</f>
        <v>Begnins</v>
      </c>
      <c r="C181" s="13">
        <f>'B) D RI'!U183</f>
        <v>109192.54039800997</v>
      </c>
      <c r="D181" s="42">
        <f>'B) D RI'!AR183</f>
        <v>1802</v>
      </c>
      <c r="E181" s="269">
        <f t="shared" si="22"/>
        <v>60.595194449506089</v>
      </c>
      <c r="F181" s="80">
        <f t="shared" si="20"/>
        <v>1.3335618414692421</v>
      </c>
      <c r="G181" s="361">
        <f t="shared" si="23"/>
        <v>6.0688642275083424</v>
      </c>
      <c r="H181" s="361">
        <f t="shared" si="24"/>
        <v>0</v>
      </c>
      <c r="I181" s="361">
        <f t="shared" si="25"/>
        <v>0</v>
      </c>
      <c r="J181" s="361">
        <f t="shared" si="26"/>
        <v>0</v>
      </c>
      <c r="K181" s="362">
        <f t="shared" si="27"/>
        <v>2.1847911219030034</v>
      </c>
      <c r="L181" s="74">
        <f>K181*D181*'B) D RI'!S183</f>
        <v>263778.57131183724</v>
      </c>
      <c r="M181" s="19">
        <f>(('B) D RI'!S183*C181)-(L181*$M$4))/'B) D RI'!S183</f>
        <v>106633.49455692498</v>
      </c>
      <c r="N181" s="349">
        <f t="shared" si="28"/>
        <v>59.175080220269137</v>
      </c>
      <c r="O181" s="80">
        <f t="shared" si="21"/>
        <v>1.3420816046967026</v>
      </c>
    </row>
    <row r="182" spans="1:15" x14ac:dyDescent="0.25">
      <c r="A182" s="61">
        <f>'A) Base RI'!A184</f>
        <v>5705</v>
      </c>
      <c r="B182" s="62" t="str">
        <f>'A) Base RI'!B184</f>
        <v>Bogis-Bossey</v>
      </c>
      <c r="C182" s="13">
        <f>'B) D RI'!U184</f>
        <v>49393.857499999991</v>
      </c>
      <c r="D182" s="42">
        <f>'B) D RI'!AR184</f>
        <v>830</v>
      </c>
      <c r="E182" s="269">
        <f t="shared" si="22"/>
        <v>59.510671686746974</v>
      </c>
      <c r="F182" s="80">
        <f t="shared" si="20"/>
        <v>1.3096939723129588</v>
      </c>
      <c r="G182" s="361">
        <f t="shared" si="23"/>
        <v>4.9843414647492281</v>
      </c>
      <c r="H182" s="361">
        <f t="shared" si="24"/>
        <v>0</v>
      </c>
      <c r="I182" s="361">
        <f t="shared" si="25"/>
        <v>0</v>
      </c>
      <c r="J182" s="361">
        <f t="shared" si="26"/>
        <v>0</v>
      </c>
      <c r="K182" s="362">
        <f t="shared" si="27"/>
        <v>1.7943629273097221</v>
      </c>
      <c r="L182" s="74">
        <f>K182*D182*'B) D RI'!S184</f>
        <v>95316.558698692446</v>
      </c>
      <c r="M182" s="19">
        <f>(('B) D RI'!S184*C182)-(L182*$M$4))/'B) D RI'!S184</f>
        <v>48425.798700716397</v>
      </c>
      <c r="N182" s="349">
        <f t="shared" si="28"/>
        <v>58.34433578399566</v>
      </c>
      <c r="O182" s="80">
        <f t="shared" si="21"/>
        <v>1.3232404502449191</v>
      </c>
    </row>
    <row r="183" spans="1:15" x14ac:dyDescent="0.25">
      <c r="A183" s="61">
        <f>'A) Base RI'!A185</f>
        <v>5706</v>
      </c>
      <c r="B183" s="62" t="str">
        <f>'A) Base RI'!B185</f>
        <v>Borex</v>
      </c>
      <c r="C183" s="13">
        <f>'B) D RI'!U185</f>
        <v>61064.931696969696</v>
      </c>
      <c r="D183" s="42">
        <f>'B) D RI'!AR185</f>
        <v>1049</v>
      </c>
      <c r="E183" s="269">
        <f t="shared" si="22"/>
        <v>58.212518300257095</v>
      </c>
      <c r="F183" s="80">
        <f t="shared" si="20"/>
        <v>1.2811245810217144</v>
      </c>
      <c r="G183" s="361">
        <f t="shared" si="23"/>
        <v>3.6861880782593488</v>
      </c>
      <c r="H183" s="361">
        <f t="shared" si="24"/>
        <v>0</v>
      </c>
      <c r="I183" s="361">
        <f t="shared" si="25"/>
        <v>0</v>
      </c>
      <c r="J183" s="361">
        <f t="shared" si="26"/>
        <v>0</v>
      </c>
      <c r="K183" s="362">
        <f t="shared" si="27"/>
        <v>1.3270277081733655</v>
      </c>
      <c r="L183" s="74">
        <f>K183*D183*'B) D RI'!S185</f>
        <v>76562.863623062323</v>
      </c>
      <c r="M183" s="19">
        <f>(('B) D RI'!S185*C183)-(L183*$M$4))/'B) D RI'!S185</f>
        <v>60160.097854151689</v>
      </c>
      <c r="N183" s="349">
        <f t="shared" si="28"/>
        <v>57.34995028994441</v>
      </c>
      <c r="O183" s="80">
        <f t="shared" si="21"/>
        <v>1.3006879420847983</v>
      </c>
    </row>
    <row r="184" spans="1:15" x14ac:dyDescent="0.25">
      <c r="A184" s="61">
        <f>'A) Base RI'!A186</f>
        <v>5707</v>
      </c>
      <c r="B184" s="62" t="str">
        <f>'A) Base RI'!B186</f>
        <v>Chavannes-de-Bogis</v>
      </c>
      <c r="C184" s="13">
        <f>'B) D RI'!U186</f>
        <v>90099.169661016946</v>
      </c>
      <c r="D184" s="42">
        <f>'B) D RI'!AR186</f>
        <v>1155</v>
      </c>
      <c r="E184" s="269">
        <f t="shared" si="22"/>
        <v>78.007939100447572</v>
      </c>
      <c r="F184" s="80">
        <f t="shared" si="20"/>
        <v>1.7167765837058271</v>
      </c>
      <c r="G184" s="361">
        <f t="shared" si="23"/>
        <v>23.481608878449826</v>
      </c>
      <c r="H184" s="361">
        <f t="shared" si="24"/>
        <v>9.8500263229503844</v>
      </c>
      <c r="I184" s="361">
        <f t="shared" si="25"/>
        <v>0</v>
      </c>
      <c r="J184" s="361">
        <f t="shared" si="26"/>
        <v>0</v>
      </c>
      <c r="K184" s="362">
        <f t="shared" si="27"/>
        <v>9.4383818285369756</v>
      </c>
      <c r="L184" s="74">
        <f>K184*D184*'B) D RI'!S186</f>
        <v>643178.52970565215</v>
      </c>
      <c r="M184" s="19">
        <f>(('B) D RI'!S186*C184)-(L184*$M$4))/'B) D RI'!S186</f>
        <v>83013.30450324282</v>
      </c>
      <c r="N184" s="349">
        <f t="shared" si="28"/>
        <v>71.87299091189854</v>
      </c>
      <c r="O184" s="80">
        <f t="shared" si="21"/>
        <v>1.6300682418737513</v>
      </c>
    </row>
    <row r="185" spans="1:15" x14ac:dyDescent="0.25">
      <c r="A185" s="61">
        <f>'A) Base RI'!A187</f>
        <v>5708</v>
      </c>
      <c r="B185" s="62" t="str">
        <f>'A) Base RI'!B187</f>
        <v>Chavannes-des-Bois</v>
      </c>
      <c r="C185" s="13">
        <f>'B) D RI'!U187</f>
        <v>61956.418196721308</v>
      </c>
      <c r="D185" s="42">
        <f>'B) D RI'!AR187</f>
        <v>807</v>
      </c>
      <c r="E185" s="269">
        <f t="shared" si="22"/>
        <v>76.773752412294058</v>
      </c>
      <c r="F185" s="80">
        <f t="shared" si="20"/>
        <v>1.6896149533567022</v>
      </c>
      <c r="G185" s="361">
        <f t="shared" si="23"/>
        <v>22.247422190296312</v>
      </c>
      <c r="H185" s="361">
        <f t="shared" si="24"/>
        <v>8.6158396347968704</v>
      </c>
      <c r="I185" s="361">
        <f t="shared" si="25"/>
        <v>0</v>
      </c>
      <c r="J185" s="361">
        <f t="shared" si="26"/>
        <v>0</v>
      </c>
      <c r="K185" s="362">
        <f t="shared" si="27"/>
        <v>8.8706559519863593</v>
      </c>
      <c r="L185" s="74">
        <f>K185*D185*'B) D RI'!S187</f>
        <v>436675.78054843255</v>
      </c>
      <c r="M185" s="19">
        <f>(('B) D RI'!S187*C185)-(L185*$M$4))/'B) D RI'!S187</f>
        <v>57303.315617106862</v>
      </c>
      <c r="N185" s="349">
        <f t="shared" si="28"/>
        <v>71.007826043502931</v>
      </c>
      <c r="O185" s="80">
        <f t="shared" si="21"/>
        <v>1.6104464373813618</v>
      </c>
    </row>
    <row r="186" spans="1:15" x14ac:dyDescent="0.25">
      <c r="A186" s="61">
        <f>'A) Base RI'!A188</f>
        <v>5709</v>
      </c>
      <c r="B186" s="62" t="str">
        <f>'A) Base RI'!B188</f>
        <v>Chéserex</v>
      </c>
      <c r="C186" s="13">
        <f>'B) D RI'!U188</f>
        <v>115595.36230769231</v>
      </c>
      <c r="D186" s="42">
        <f>'B) D RI'!AR188</f>
        <v>1174</v>
      </c>
      <c r="E186" s="269">
        <f t="shared" si="22"/>
        <v>98.462829904337568</v>
      </c>
      <c r="F186" s="80">
        <f t="shared" si="20"/>
        <v>2.1669420150622432</v>
      </c>
      <c r="G186" s="361">
        <f t="shared" si="23"/>
        <v>43.936499682339822</v>
      </c>
      <c r="H186" s="361">
        <f t="shared" si="24"/>
        <v>30.30491712684038</v>
      </c>
      <c r="I186" s="361">
        <f t="shared" si="25"/>
        <v>7.585612867674655</v>
      </c>
      <c r="J186" s="361">
        <f t="shared" si="26"/>
        <v>0</v>
      </c>
      <c r="K186" s="362">
        <f t="shared" si="27"/>
        <v>19.60619288509384</v>
      </c>
      <c r="L186" s="74">
        <f>K186*D186*'B) D RI'!S188</f>
        <v>1196918.8632492088</v>
      </c>
      <c r="M186" s="19">
        <f>(('B) D RI'!S188*C186)-(L186*$M$4))/'B) D RI'!S188</f>
        <v>100633.87651707719</v>
      </c>
      <c r="N186" s="349">
        <f t="shared" si="28"/>
        <v>85.718804529026571</v>
      </c>
      <c r="O186" s="80">
        <f t="shared" si="21"/>
        <v>1.9440891386505286</v>
      </c>
    </row>
    <row r="187" spans="1:15" x14ac:dyDescent="0.25">
      <c r="A187" s="61">
        <f>'A) Base RI'!A189</f>
        <v>5710</v>
      </c>
      <c r="B187" s="62" t="str">
        <f>'A) Base RI'!B189</f>
        <v>Coinsins</v>
      </c>
      <c r="C187" s="13">
        <f>'B) D RI'!U189</f>
        <v>112738.70512195122</v>
      </c>
      <c r="D187" s="42">
        <f>'B) D RI'!AR189</f>
        <v>435</v>
      </c>
      <c r="E187" s="269">
        <f t="shared" si="22"/>
        <v>259.16943706195684</v>
      </c>
      <c r="F187" s="80">
        <f t="shared" si="20"/>
        <v>5.7037274140426026</v>
      </c>
      <c r="G187" s="361">
        <f t="shared" si="23"/>
        <v>204.6431068399591</v>
      </c>
      <c r="H187" s="361">
        <f t="shared" si="24"/>
        <v>191.01152428445965</v>
      </c>
      <c r="I187" s="361">
        <f t="shared" si="25"/>
        <v>168.29222002529394</v>
      </c>
      <c r="J187" s="361">
        <f t="shared" si="26"/>
        <v>122.85361150696247</v>
      </c>
      <c r="K187" s="362">
        <f t="shared" si="27"/>
        <v>121.88725404405689</v>
      </c>
      <c r="L187" s="74">
        <f>K187*D187*'B) D RI'!S189</f>
        <v>2173859.1758757546</v>
      </c>
      <c r="M187" s="19">
        <f>(('B) D RI'!S189*C187)-(L187*$M$4))/'B) D RI'!S189</f>
        <v>78275.084040994145</v>
      </c>
      <c r="N187" s="349">
        <f t="shared" si="28"/>
        <v>179.94272193331986</v>
      </c>
      <c r="O187" s="80">
        <f t="shared" si="21"/>
        <v>4.0810729129023242</v>
      </c>
    </row>
    <row r="188" spans="1:15" x14ac:dyDescent="0.25">
      <c r="A188" s="61">
        <f>'A) Base RI'!A190</f>
        <v>5711</v>
      </c>
      <c r="B188" s="62" t="str">
        <f>'A) Base RI'!B190</f>
        <v>Commugny</v>
      </c>
      <c r="C188" s="13">
        <f>'B) D RI'!U190</f>
        <v>236913.245596817</v>
      </c>
      <c r="D188" s="42">
        <f>'B) D RI'!AR190</f>
        <v>2591</v>
      </c>
      <c r="E188" s="269">
        <f t="shared" si="22"/>
        <v>91.436991739412193</v>
      </c>
      <c r="F188" s="80">
        <f t="shared" si="20"/>
        <v>2.0123193627842597</v>
      </c>
      <c r="G188" s="361">
        <f t="shared" si="23"/>
        <v>36.910661517414447</v>
      </c>
      <c r="H188" s="361">
        <f t="shared" si="24"/>
        <v>23.279078961915005</v>
      </c>
      <c r="I188" s="361">
        <f t="shared" si="25"/>
        <v>0.5597747027492801</v>
      </c>
      <c r="J188" s="361">
        <f t="shared" si="26"/>
        <v>0</v>
      </c>
      <c r="K188" s="362">
        <f t="shared" si="27"/>
        <v>15.671723512735628</v>
      </c>
      <c r="L188" s="74">
        <f>K188*D188*'B) D RI'!S190</f>
        <v>2355115.2660468849</v>
      </c>
      <c r="M188" s="19">
        <f>(('B) D RI'!S190*C188)-(L188*$M$4))/'B) D RI'!S190</f>
        <v>210519.71244284327</v>
      </c>
      <c r="N188" s="349">
        <f t="shared" si="28"/>
        <v>81.250371456134033</v>
      </c>
      <c r="O188" s="80">
        <f t="shared" si="21"/>
        <v>1.8427457723783642</v>
      </c>
    </row>
    <row r="189" spans="1:15" x14ac:dyDescent="0.25">
      <c r="A189" s="61">
        <f>'A) Base RI'!A191</f>
        <v>5712</v>
      </c>
      <c r="B189" s="62" t="str">
        <f>'A) Base RI'!B191</f>
        <v>Coppet</v>
      </c>
      <c r="C189" s="13">
        <f>'B) D RI'!U191</f>
        <v>309642.37182389939</v>
      </c>
      <c r="D189" s="42">
        <f>'B) D RI'!AR191</f>
        <v>2936</v>
      </c>
      <c r="E189" s="269">
        <f t="shared" si="22"/>
        <v>105.46402310078317</v>
      </c>
      <c r="F189" s="80">
        <f t="shared" si="20"/>
        <v>2.3210222878685962</v>
      </c>
      <c r="G189" s="361">
        <f t="shared" si="23"/>
        <v>50.93769287878542</v>
      </c>
      <c r="H189" s="361">
        <f t="shared" si="24"/>
        <v>37.306110323285978</v>
      </c>
      <c r="I189" s="361">
        <f t="shared" si="25"/>
        <v>14.586806064120253</v>
      </c>
      <c r="J189" s="361">
        <f t="shared" si="26"/>
        <v>0</v>
      </c>
      <c r="K189" s="362">
        <f t="shared" si="27"/>
        <v>23.526861075103376</v>
      </c>
      <c r="L189" s="74">
        <f>K189*D189*'B) D RI'!S191</f>
        <v>3660967.7981746858</v>
      </c>
      <c r="M189" s="19">
        <f>(('B) D RI'!S191*C189)-(L189*$M$4))/'B) D RI'!S191</f>
        <v>264743.7101481721</v>
      </c>
      <c r="N189" s="349">
        <f t="shared" si="28"/>
        <v>90.171563401965969</v>
      </c>
      <c r="O189" s="80">
        <f t="shared" si="21"/>
        <v>2.0450770165085301</v>
      </c>
    </row>
    <row r="190" spans="1:15" x14ac:dyDescent="0.25">
      <c r="A190" s="61">
        <f>'A) Base RI'!A192</f>
        <v>5713</v>
      </c>
      <c r="B190" s="62" t="str">
        <f>'A) Base RI'!B192</f>
        <v>Crans-près-Céligny</v>
      </c>
      <c r="C190" s="13">
        <f>'B) D RI'!U192</f>
        <v>259331.62150943396</v>
      </c>
      <c r="D190" s="42">
        <f>'B) D RI'!AR192</f>
        <v>2044</v>
      </c>
      <c r="E190" s="269">
        <f t="shared" si="22"/>
        <v>126.87457021009489</v>
      </c>
      <c r="F190" s="80">
        <f t="shared" si="20"/>
        <v>2.7922195319627678</v>
      </c>
      <c r="G190" s="361">
        <f t="shared" si="23"/>
        <v>72.348239988097134</v>
      </c>
      <c r="H190" s="361">
        <f t="shared" si="24"/>
        <v>58.7166574325977</v>
      </c>
      <c r="I190" s="361">
        <f t="shared" si="25"/>
        <v>35.997353173431975</v>
      </c>
      <c r="J190" s="361">
        <f t="shared" si="26"/>
        <v>0</v>
      </c>
      <c r="K190" s="362">
        <f t="shared" si="27"/>
        <v>35.516767456317936</v>
      </c>
      <c r="L190" s="74">
        <f>K190*D190*'B) D RI'!S192</f>
        <v>3847602.4520778349</v>
      </c>
      <c r="M190" s="19">
        <f>(('B) D RI'!S192*C190)-(L190*$M$4))/'B) D RI'!S192</f>
        <v>212144.04426696996</v>
      </c>
      <c r="N190" s="349">
        <f t="shared" si="28"/>
        <v>103.78867136348823</v>
      </c>
      <c r="O190" s="80">
        <f t="shared" si="21"/>
        <v>2.3539109046300415</v>
      </c>
    </row>
    <row r="191" spans="1:15" x14ac:dyDescent="0.25">
      <c r="A191" s="61">
        <f>'A) Base RI'!A193</f>
        <v>5714</v>
      </c>
      <c r="B191" s="62" t="str">
        <f>'A) Base RI'!B193</f>
        <v>Crassier</v>
      </c>
      <c r="C191" s="13">
        <f>'B) D RI'!U193</f>
        <v>74990.560937499991</v>
      </c>
      <c r="D191" s="42">
        <f>'B) D RI'!AR193</f>
        <v>1141</v>
      </c>
      <c r="E191" s="269">
        <f t="shared" si="22"/>
        <v>65.723541575372479</v>
      </c>
      <c r="F191" s="80">
        <f t="shared" si="20"/>
        <v>1.4464250495007434</v>
      </c>
      <c r="G191" s="361">
        <f t="shared" si="23"/>
        <v>11.197211353374733</v>
      </c>
      <c r="H191" s="361">
        <f t="shared" si="24"/>
        <v>0</v>
      </c>
      <c r="I191" s="361">
        <f t="shared" si="25"/>
        <v>0</v>
      </c>
      <c r="J191" s="361">
        <f t="shared" si="26"/>
        <v>0</v>
      </c>
      <c r="K191" s="362">
        <f t="shared" si="27"/>
        <v>4.0309960872149038</v>
      </c>
      <c r="L191" s="74">
        <f>K191*D191*'B) D RI'!S193</f>
        <v>294359.45827278111</v>
      </c>
      <c r="M191" s="19">
        <f>(('B) D RI'!S193*C191)-(L191*$M$4))/'B) D RI'!S193</f>
        <v>72000.97268941706</v>
      </c>
      <c r="N191" s="349">
        <f t="shared" si="28"/>
        <v>63.103394118682786</v>
      </c>
      <c r="O191" s="80">
        <f t="shared" si="21"/>
        <v>1.4311751521986373</v>
      </c>
    </row>
    <row r="192" spans="1:15" x14ac:dyDescent="0.25">
      <c r="A192" s="61">
        <f>'A) Base RI'!A194</f>
        <v>5715</v>
      </c>
      <c r="B192" s="62" t="str">
        <f>'A) Base RI'!B194</f>
        <v>Duillier</v>
      </c>
      <c r="C192" s="13">
        <f>'B) D RI'!U194</f>
        <v>58313.27166666666</v>
      </c>
      <c r="D192" s="42">
        <f>'B) D RI'!AR194</f>
        <v>998</v>
      </c>
      <c r="E192" s="269">
        <f t="shared" si="22"/>
        <v>58.430131930527715</v>
      </c>
      <c r="F192" s="80">
        <f t="shared" si="20"/>
        <v>1.2859137600341577</v>
      </c>
      <c r="G192" s="361">
        <f t="shared" si="23"/>
        <v>3.9038017085299686</v>
      </c>
      <c r="H192" s="361">
        <f t="shared" si="24"/>
        <v>0</v>
      </c>
      <c r="I192" s="361">
        <f t="shared" si="25"/>
        <v>0</v>
      </c>
      <c r="J192" s="361">
        <f t="shared" si="26"/>
        <v>0</v>
      </c>
      <c r="K192" s="362">
        <f t="shared" si="27"/>
        <v>1.4053686150707887</v>
      </c>
      <c r="L192" s="74">
        <f>K192*D192*'B) D RI'!S194</f>
        <v>92568.819937482709</v>
      </c>
      <c r="M192" s="19">
        <f>(('B) D RI'!S194*C192)-(L192*$M$4))/'B) D RI'!S194</f>
        <v>57401.609046070247</v>
      </c>
      <c r="N192" s="349">
        <f t="shared" si="28"/>
        <v>57.516642330731713</v>
      </c>
      <c r="O192" s="80">
        <f t="shared" si="21"/>
        <v>1.304468491612695</v>
      </c>
    </row>
    <row r="193" spans="1:15" x14ac:dyDescent="0.25">
      <c r="A193" s="61">
        <f>'A) Base RI'!A195</f>
        <v>5716</v>
      </c>
      <c r="B193" s="62" t="str">
        <f>'A) Base RI'!B195</f>
        <v>Eysins</v>
      </c>
      <c r="C193" s="13">
        <f>'B) D RI'!U195</f>
        <v>124360.51655737706</v>
      </c>
      <c r="D193" s="42">
        <f>'B) D RI'!AR195</f>
        <v>1469</v>
      </c>
      <c r="E193" s="269">
        <f t="shared" si="22"/>
        <v>84.656580365811479</v>
      </c>
      <c r="F193" s="80">
        <f t="shared" si="20"/>
        <v>1.8630979936733358</v>
      </c>
      <c r="G193" s="361">
        <f t="shared" si="23"/>
        <v>30.130250143813733</v>
      </c>
      <c r="H193" s="361">
        <f t="shared" si="24"/>
        <v>16.498667588314291</v>
      </c>
      <c r="I193" s="361">
        <f t="shared" si="25"/>
        <v>0</v>
      </c>
      <c r="J193" s="361">
        <f t="shared" si="26"/>
        <v>0</v>
      </c>
      <c r="K193" s="362">
        <f t="shared" si="27"/>
        <v>12.496756810604372</v>
      </c>
      <c r="L193" s="74">
        <f>K193*D193*'B) D RI'!S195</f>
        <v>1119821.8810414472</v>
      </c>
      <c r="M193" s="19">
        <f>(('B) D RI'!S195*C193)-(L193*$M$4))/'B) D RI'!S195</f>
        <v>112427.98831677147</v>
      </c>
      <c r="N193" s="349">
        <f t="shared" si="28"/>
        <v>76.533688438918631</v>
      </c>
      <c r="O193" s="80">
        <f t="shared" si="21"/>
        <v>1.7357721360262521</v>
      </c>
    </row>
    <row r="194" spans="1:15" x14ac:dyDescent="0.25">
      <c r="A194" s="61">
        <f>'A) Base RI'!A196</f>
        <v>5717</v>
      </c>
      <c r="B194" s="62" t="str">
        <f>'A) Base RI'!B196</f>
        <v>Founex</v>
      </c>
      <c r="C194" s="13">
        <f>'B) D RI'!U196</f>
        <v>345595.68736842106</v>
      </c>
      <c r="D194" s="42">
        <f>'B) D RI'!AR196</f>
        <v>3372</v>
      </c>
      <c r="E194" s="269">
        <f t="shared" si="22"/>
        <v>102.48982424923518</v>
      </c>
      <c r="F194" s="80">
        <f t="shared" si="20"/>
        <v>2.2555669636733562</v>
      </c>
      <c r="G194" s="361">
        <f t="shared" si="23"/>
        <v>47.963494027237438</v>
      </c>
      <c r="H194" s="361">
        <f t="shared" si="24"/>
        <v>34.331911471737996</v>
      </c>
      <c r="I194" s="361">
        <f t="shared" si="25"/>
        <v>11.612607212572271</v>
      </c>
      <c r="J194" s="361">
        <f t="shared" si="26"/>
        <v>0</v>
      </c>
      <c r="K194" s="362">
        <f t="shared" si="27"/>
        <v>21.861309718236505</v>
      </c>
      <c r="L194" s="74">
        <f>K194*D194*'B) D RI'!S196</f>
        <v>4201831.1730839293</v>
      </c>
      <c r="M194" s="19">
        <f>(('B) D RI'!S196*C194)-(L194*$M$4))/'B) D RI'!S196</f>
        <v>297680.06872799026</v>
      </c>
      <c r="N194" s="349">
        <f t="shared" si="28"/>
        <v>88.279972932381455</v>
      </c>
      <c r="O194" s="80">
        <f t="shared" si="21"/>
        <v>2.0021760392153993</v>
      </c>
    </row>
    <row r="195" spans="1:15" x14ac:dyDescent="0.25">
      <c r="A195" s="61">
        <f>'A) Base RI'!A197</f>
        <v>5718</v>
      </c>
      <c r="B195" s="62" t="str">
        <f>'A) Base RI'!B197</f>
        <v>Genolier</v>
      </c>
      <c r="C195" s="13">
        <f>'B) D RI'!U197</f>
        <v>147563.83054545455</v>
      </c>
      <c r="D195" s="42">
        <f>'B) D RI'!AR197</f>
        <v>1890</v>
      </c>
      <c r="E195" s="269">
        <f t="shared" si="22"/>
        <v>78.076100817700819</v>
      </c>
      <c r="F195" s="80">
        <f t="shared" si="20"/>
        <v>1.7182766674336496</v>
      </c>
      <c r="G195" s="361">
        <f t="shared" si="23"/>
        <v>23.549770595703073</v>
      </c>
      <c r="H195" s="361">
        <f t="shared" si="24"/>
        <v>9.9181880402036313</v>
      </c>
      <c r="I195" s="361">
        <f t="shared" si="25"/>
        <v>0</v>
      </c>
      <c r="J195" s="361">
        <f t="shared" si="26"/>
        <v>0</v>
      </c>
      <c r="K195" s="362">
        <f t="shared" si="27"/>
        <v>9.4697362184734679</v>
      </c>
      <c r="L195" s="74">
        <f>K195*D195*'B) D RI'!S197</f>
        <v>984379.07991031697</v>
      </c>
      <c r="M195" s="19">
        <f>(('B) D RI'!S197*C195)-(L195*$M$4))/'B) D RI'!S197</f>
        <v>135930.25960105986</v>
      </c>
      <c r="N195" s="349">
        <f t="shared" si="28"/>
        <v>71.920772275693054</v>
      </c>
      <c r="O195" s="80">
        <f t="shared" si="21"/>
        <v>1.631151915764133</v>
      </c>
    </row>
    <row r="196" spans="1:15" x14ac:dyDescent="0.25">
      <c r="A196" s="61">
        <f>'A) Base RI'!A198</f>
        <v>5719</v>
      </c>
      <c r="B196" s="62" t="str">
        <f>'A) Base RI'!B198</f>
        <v>Gingins</v>
      </c>
      <c r="C196" s="13">
        <f>'B) D RI'!U198</f>
        <v>96514.726140350875</v>
      </c>
      <c r="D196" s="42">
        <f>'B) D RI'!AR198</f>
        <v>1204</v>
      </c>
      <c r="E196" s="269">
        <f t="shared" si="22"/>
        <v>80.161732674710024</v>
      </c>
      <c r="F196" s="80">
        <f t="shared" si="20"/>
        <v>1.7641766614039269</v>
      </c>
      <c r="G196" s="361">
        <f t="shared" si="23"/>
        <v>25.635402452712277</v>
      </c>
      <c r="H196" s="361">
        <f t="shared" si="24"/>
        <v>12.003819897212836</v>
      </c>
      <c r="I196" s="361">
        <f t="shared" si="25"/>
        <v>0</v>
      </c>
      <c r="J196" s="361">
        <f t="shared" si="26"/>
        <v>0</v>
      </c>
      <c r="K196" s="362">
        <f t="shared" si="27"/>
        <v>10.429126872697704</v>
      </c>
      <c r="L196" s="74">
        <f>K196*D196*'B) D RI'!S198</f>
        <v>715730.11901949812</v>
      </c>
      <c r="M196" s="19">
        <f>(('B) D RI'!S198*C196)-(L196*$M$4))/'B) D RI'!S198</f>
        <v>88352.891449777657</v>
      </c>
      <c r="N196" s="349">
        <f t="shared" si="28"/>
        <v>73.382800207456526</v>
      </c>
      <c r="O196" s="80">
        <f t="shared" si="21"/>
        <v>1.6643104815906382</v>
      </c>
    </row>
    <row r="197" spans="1:15" x14ac:dyDescent="0.25">
      <c r="A197" s="61">
        <f>'A) Base RI'!A199</f>
        <v>5720</v>
      </c>
      <c r="B197" s="62" t="str">
        <f>'A) Base RI'!B199</f>
        <v>Givrins</v>
      </c>
      <c r="C197" s="13">
        <f>'B) D RI'!U199</f>
        <v>81037.865428051009</v>
      </c>
      <c r="D197" s="42">
        <f>'B) D RI'!AR199</f>
        <v>971</v>
      </c>
      <c r="E197" s="269">
        <f t="shared" si="22"/>
        <v>83.458151831154495</v>
      </c>
      <c r="F197" s="80">
        <f t="shared" ref="F197:F260" si="29">E197/$E$314</f>
        <v>1.8367233186175735</v>
      </c>
      <c r="G197" s="361">
        <f t="shared" si="23"/>
        <v>28.931821609156749</v>
      </c>
      <c r="H197" s="361">
        <f t="shared" si="24"/>
        <v>15.300239053657307</v>
      </c>
      <c r="I197" s="361">
        <f t="shared" si="25"/>
        <v>0</v>
      </c>
      <c r="J197" s="361">
        <f t="shared" si="26"/>
        <v>0</v>
      </c>
      <c r="K197" s="362">
        <f t="shared" si="27"/>
        <v>11.94547968466216</v>
      </c>
      <c r="L197" s="74">
        <f>K197*D197*'B) D RI'!S199</f>
        <v>707542.70720222441</v>
      </c>
      <c r="M197" s="19">
        <f>(('B) D RI'!S199*C197)-(L197*$M$4))/'B) D RI'!S199</f>
        <v>73498.475925076491</v>
      </c>
      <c r="N197" s="349">
        <f t="shared" si="28"/>
        <v>75.693590036124093</v>
      </c>
      <c r="O197" s="80">
        <f t="shared" ref="O197:O260" si="30">N197/N$314</f>
        <v>1.7167188350703637</v>
      </c>
    </row>
    <row r="198" spans="1:15" x14ac:dyDescent="0.25">
      <c r="A198" s="61">
        <f>'A) Base RI'!A200</f>
        <v>5721</v>
      </c>
      <c r="B198" s="62" t="str">
        <f>'A) Base RI'!B200</f>
        <v>Gland</v>
      </c>
      <c r="C198" s="13">
        <f>'B) D RI'!U200</f>
        <v>556574.85335272714</v>
      </c>
      <c r="D198" s="42">
        <f>'B) D RI'!AR200</f>
        <v>12663</v>
      </c>
      <c r="E198" s="269">
        <f t="shared" ref="E198:E261" si="31">C198/D198</f>
        <v>43.952843192981689</v>
      </c>
      <c r="F198" s="80">
        <f t="shared" si="29"/>
        <v>0.96730169840587521</v>
      </c>
      <c r="G198" s="361">
        <f t="shared" ref="G198:G261" si="32">IF(E198-$G$2&lt;0,0,E198-$G$2)</f>
        <v>0</v>
      </c>
      <c r="H198" s="361">
        <f t="shared" ref="H198:H261" si="33">IF(E198-$H$2&lt;0,0,E198-$H$2)</f>
        <v>0</v>
      </c>
      <c r="I198" s="361">
        <f t="shared" ref="I198:I261" si="34">IF(E198-$I$2&lt;0,0,E198-$I$2)</f>
        <v>0</v>
      </c>
      <c r="J198" s="361">
        <f t="shared" ref="J198:J261" si="35">IF(E198-$J$2&lt;0,0,E198-$J$2)</f>
        <v>0</v>
      </c>
      <c r="K198" s="362">
        <f t="shared" ref="K198:K261" si="36">(G198-H198)*$G$3+(H198-I198)*$H$3+(I198-J198)*$I$3+(J198*$J$3)</f>
        <v>0</v>
      </c>
      <c r="L198" s="74">
        <f>K198*D198*'B) D RI'!S200</f>
        <v>0</v>
      </c>
      <c r="M198" s="19">
        <f>(('B) D RI'!S200*C198)-(L198*$M$4))/'B) D RI'!S200</f>
        <v>556574.85335272714</v>
      </c>
      <c r="N198" s="349">
        <f t="shared" ref="N198:N261" si="37">M198/D198</f>
        <v>43.952843192981689</v>
      </c>
      <c r="O198" s="80">
        <f t="shared" si="30"/>
        <v>0.99684363931312836</v>
      </c>
    </row>
    <row r="199" spans="1:15" x14ac:dyDescent="0.25">
      <c r="A199" s="61">
        <f>'A) Base RI'!A201</f>
        <v>5722</v>
      </c>
      <c r="B199" s="62" t="str">
        <f>'A) Base RI'!B201</f>
        <v>Grens</v>
      </c>
      <c r="C199" s="13">
        <f>'B) D RI'!U201</f>
        <v>22888.286666666663</v>
      </c>
      <c r="D199" s="42">
        <f>'B) D RI'!AR201</f>
        <v>380</v>
      </c>
      <c r="E199" s="269">
        <f t="shared" si="31"/>
        <v>60.232333333333322</v>
      </c>
      <c r="F199" s="80">
        <f t="shared" si="29"/>
        <v>1.3255760970108401</v>
      </c>
      <c r="G199" s="361">
        <f t="shared" si="32"/>
        <v>5.7060031113355762</v>
      </c>
      <c r="H199" s="361">
        <f t="shared" si="33"/>
        <v>0</v>
      </c>
      <c r="I199" s="361">
        <f t="shared" si="34"/>
        <v>0</v>
      </c>
      <c r="J199" s="361">
        <f t="shared" si="35"/>
        <v>0</v>
      </c>
      <c r="K199" s="362">
        <f t="shared" si="36"/>
        <v>2.0541611200808072</v>
      </c>
      <c r="L199" s="74">
        <f>K199*D199*'B) D RI'!S201</f>
        <v>44493.129860950285</v>
      </c>
      <c r="M199" s="19">
        <f>(('B) D RI'!S201*C199)-(L199*$M$4))/'B) D RI'!S201</f>
        <v>22380.908870006704</v>
      </c>
      <c r="N199" s="349">
        <f t="shared" si="37"/>
        <v>58.897128605280798</v>
      </c>
      <c r="O199" s="80">
        <f t="shared" si="30"/>
        <v>1.3357777053511835</v>
      </c>
    </row>
    <row r="200" spans="1:15" x14ac:dyDescent="0.25">
      <c r="A200" s="61">
        <f>'A) Base RI'!A202</f>
        <v>5723</v>
      </c>
      <c r="B200" s="62" t="str">
        <f>'A) Base RI'!B202</f>
        <v>Mies</v>
      </c>
      <c r="C200" s="13">
        <f>'B) D RI'!U202</f>
        <v>265838.70510204078</v>
      </c>
      <c r="D200" s="42">
        <f>'B) D RI'!AR202</f>
        <v>1778</v>
      </c>
      <c r="E200" s="269">
        <f t="shared" si="31"/>
        <v>149.51558217212641</v>
      </c>
      <c r="F200" s="80">
        <f t="shared" si="29"/>
        <v>3.290496497308161</v>
      </c>
      <c r="G200" s="361">
        <f t="shared" si="32"/>
        <v>94.989251950128676</v>
      </c>
      <c r="H200" s="361">
        <f t="shared" si="33"/>
        <v>81.357669394629227</v>
      </c>
      <c r="I200" s="361">
        <f t="shared" si="34"/>
        <v>58.638365135463502</v>
      </c>
      <c r="J200" s="361">
        <f t="shared" si="35"/>
        <v>13.199756617132039</v>
      </c>
      <c r="K200" s="362">
        <f t="shared" si="36"/>
        <v>49.515709816768805</v>
      </c>
      <c r="L200" s="74">
        <f>K200*D200*'B) D RI'!S202</f>
        <v>4313907.670656532</v>
      </c>
      <c r="M200" s="19">
        <f>(('B) D RI'!S202*C200)-(L200*$M$4))/'B) D RI'!S202</f>
        <v>208613.39926680108</v>
      </c>
      <c r="N200" s="349">
        <f t="shared" si="37"/>
        <v>117.3303707912267</v>
      </c>
      <c r="O200" s="80">
        <f t="shared" si="30"/>
        <v>2.661034538947896</v>
      </c>
    </row>
    <row r="201" spans="1:15" x14ac:dyDescent="0.25">
      <c r="A201" s="61">
        <f>'A) Base RI'!A203</f>
        <v>5724</v>
      </c>
      <c r="B201" s="62" t="str">
        <f>'A) Base RI'!B203</f>
        <v>Nyon</v>
      </c>
      <c r="C201" s="13">
        <f>'B) D RI'!U203</f>
        <v>1373447.3453593946</v>
      </c>
      <c r="D201" s="42">
        <f>'B) D RI'!AR203</f>
        <v>19861</v>
      </c>
      <c r="E201" s="269">
        <f t="shared" si="31"/>
        <v>69.152980482321865</v>
      </c>
      <c r="F201" s="80">
        <f t="shared" si="29"/>
        <v>1.5218991676301716</v>
      </c>
      <c r="G201" s="361">
        <f t="shared" si="32"/>
        <v>14.626650260324119</v>
      </c>
      <c r="H201" s="361">
        <f t="shared" si="33"/>
        <v>0.99506770482467743</v>
      </c>
      <c r="I201" s="361">
        <f t="shared" si="34"/>
        <v>0</v>
      </c>
      <c r="J201" s="361">
        <f t="shared" si="35"/>
        <v>0</v>
      </c>
      <c r="K201" s="362">
        <f t="shared" si="36"/>
        <v>5.3651008641991504</v>
      </c>
      <c r="L201" s="74">
        <f>K201*D201*'B) D RI'!S203</f>
        <v>6499932.3640954187</v>
      </c>
      <c r="M201" s="19">
        <f>(('B) D RI'!S203*C201)-(L201*$M$4))/'B) D RI'!S203</f>
        <v>1304185.770987886</v>
      </c>
      <c r="N201" s="349">
        <f t="shared" si="37"/>
        <v>65.66566492059242</v>
      </c>
      <c r="O201" s="80">
        <f t="shared" si="30"/>
        <v>1.4892870549910651</v>
      </c>
    </row>
    <row r="202" spans="1:15" x14ac:dyDescent="0.25">
      <c r="A202" s="61">
        <f>'A) Base RI'!A204</f>
        <v>5725</v>
      </c>
      <c r="B202" s="62" t="str">
        <f>'A) Base RI'!B204</f>
        <v>Prangins</v>
      </c>
      <c r="C202" s="13">
        <f>'B) D RI'!U204</f>
        <v>279071.20818877552</v>
      </c>
      <c r="D202" s="42">
        <f>'B) D RI'!AR204</f>
        <v>3976</v>
      </c>
      <c r="E202" s="269">
        <f t="shared" si="31"/>
        <v>70.188935661160841</v>
      </c>
      <c r="F202" s="80">
        <f t="shared" si="29"/>
        <v>1.5446981751838698</v>
      </c>
      <c r="G202" s="361">
        <f t="shared" si="32"/>
        <v>15.662605439163094</v>
      </c>
      <c r="H202" s="361">
        <f t="shared" si="33"/>
        <v>2.0310228836636526</v>
      </c>
      <c r="I202" s="361">
        <f t="shared" si="34"/>
        <v>0</v>
      </c>
      <c r="J202" s="361">
        <f t="shared" si="35"/>
        <v>0</v>
      </c>
      <c r="K202" s="362">
        <f t="shared" si="36"/>
        <v>5.8416402464650785</v>
      </c>
      <c r="L202" s="74">
        <f>K202*D202*'B) D RI'!S204</f>
        <v>1300676.2507169286</v>
      </c>
      <c r="M202" s="19">
        <f>(('B) D RI'!S204*C202)-(L202*$M$4))/'B) D RI'!S204</f>
        <v>263974.0731358112</v>
      </c>
      <c r="N202" s="349">
        <f t="shared" si="37"/>
        <v>66.391869500958549</v>
      </c>
      <c r="O202" s="80">
        <f t="shared" si="30"/>
        <v>1.5057572617897375</v>
      </c>
    </row>
    <row r="203" spans="1:15" x14ac:dyDescent="0.25">
      <c r="A203" s="61">
        <f>'A) Base RI'!A205</f>
        <v>5726</v>
      </c>
      <c r="B203" s="62" t="str">
        <f>'A) Base RI'!B205</f>
        <v>La Rippe</v>
      </c>
      <c r="C203" s="13">
        <f>'B) D RI'!U205</f>
        <v>60430.074769230778</v>
      </c>
      <c r="D203" s="42">
        <f>'B) D RI'!AR205</f>
        <v>1104</v>
      </c>
      <c r="E203" s="269">
        <f t="shared" si="31"/>
        <v>54.737386566332226</v>
      </c>
      <c r="F203" s="80">
        <f t="shared" si="29"/>
        <v>1.2046448681246331</v>
      </c>
      <c r="G203" s="361">
        <f t="shared" si="32"/>
        <v>0.21105634433448017</v>
      </c>
      <c r="H203" s="361">
        <f t="shared" si="33"/>
        <v>0</v>
      </c>
      <c r="I203" s="361">
        <f t="shared" si="34"/>
        <v>0</v>
      </c>
      <c r="J203" s="361">
        <f t="shared" si="35"/>
        <v>0</v>
      </c>
      <c r="K203" s="362">
        <f t="shared" si="36"/>
        <v>7.5980283960412856E-2</v>
      </c>
      <c r="L203" s="74">
        <f>K203*D203*'B) D RI'!S205</f>
        <v>5452.3451769992271</v>
      </c>
      <c r="M203" s="19">
        <f>(('B) D RI'!S205*C203)-(L203*$M$4))/'B) D RI'!S205</f>
        <v>60375.551317460784</v>
      </c>
      <c r="N203" s="349">
        <f t="shared" si="37"/>
        <v>54.687999381757955</v>
      </c>
      <c r="O203" s="80">
        <f t="shared" si="30"/>
        <v>1.2403153100041235</v>
      </c>
    </row>
    <row r="204" spans="1:15" x14ac:dyDescent="0.25">
      <c r="A204" s="61">
        <f>'A) Base RI'!A206</f>
        <v>5727</v>
      </c>
      <c r="B204" s="62" t="str">
        <f>'A) Base RI'!B206</f>
        <v>Saint-Cergue</v>
      </c>
      <c r="C204" s="13">
        <f>'B) D RI'!U206</f>
        <v>92384.571565656559</v>
      </c>
      <c r="D204" s="42">
        <f>'B) D RI'!AR206</f>
        <v>2406</v>
      </c>
      <c r="E204" s="269">
        <f t="shared" si="31"/>
        <v>38.397577541835645</v>
      </c>
      <c r="F204" s="80">
        <f t="shared" si="29"/>
        <v>0.84504298863696004</v>
      </c>
      <c r="G204" s="361">
        <f t="shared" si="32"/>
        <v>0</v>
      </c>
      <c r="H204" s="361">
        <f t="shared" si="33"/>
        <v>0</v>
      </c>
      <c r="I204" s="361">
        <f t="shared" si="34"/>
        <v>0</v>
      </c>
      <c r="J204" s="361">
        <f t="shared" si="35"/>
        <v>0</v>
      </c>
      <c r="K204" s="362">
        <f t="shared" si="36"/>
        <v>0</v>
      </c>
      <c r="L204" s="74">
        <f>K204*D204*'B) D RI'!S206</f>
        <v>0</v>
      </c>
      <c r="M204" s="19">
        <f>(('B) D RI'!S206*C204)-(L204*$M$4))/'B) D RI'!S206</f>
        <v>92384.571565656559</v>
      </c>
      <c r="N204" s="349">
        <f t="shared" si="37"/>
        <v>38.397577541835645</v>
      </c>
      <c r="O204" s="80">
        <f t="shared" si="30"/>
        <v>0.87085107940692663</v>
      </c>
    </row>
    <row r="205" spans="1:15" x14ac:dyDescent="0.25">
      <c r="A205" s="61">
        <f>'A) Base RI'!A207</f>
        <v>5728</v>
      </c>
      <c r="B205" s="62" t="str">
        <f>'A) Base RI'!B207</f>
        <v>Signy-Avenex</v>
      </c>
      <c r="C205" s="13">
        <f>'B) D RI'!U207</f>
        <v>33632.696071428574</v>
      </c>
      <c r="D205" s="42">
        <f>'B) D RI'!AR207</f>
        <v>481</v>
      </c>
      <c r="E205" s="269">
        <f t="shared" si="31"/>
        <v>69.922445054945058</v>
      </c>
      <c r="F205" s="80">
        <f t="shared" si="29"/>
        <v>1.5388333255569655</v>
      </c>
      <c r="G205" s="361">
        <f t="shared" si="32"/>
        <v>15.396114832947312</v>
      </c>
      <c r="H205" s="361">
        <f t="shared" si="33"/>
        <v>1.76453227744787</v>
      </c>
      <c r="I205" s="361">
        <f t="shared" si="34"/>
        <v>0</v>
      </c>
      <c r="J205" s="361">
        <f t="shared" si="35"/>
        <v>0</v>
      </c>
      <c r="K205" s="362">
        <f t="shared" si="36"/>
        <v>5.7190545676058191</v>
      </c>
      <c r="L205" s="74">
        <f>K205*D205*'B) D RI'!S207</f>
        <v>154048.45383303033</v>
      </c>
      <c r="M205" s="19">
        <f>(('B) D RI'!S207*C205)-(L205*$M$4))/'B) D RI'!S207</f>
        <v>31844.633660866617</v>
      </c>
      <c r="N205" s="349">
        <f t="shared" si="37"/>
        <v>66.205059586001283</v>
      </c>
      <c r="O205" s="80">
        <f t="shared" si="30"/>
        <v>1.5015204420084063</v>
      </c>
    </row>
    <row r="206" spans="1:15" x14ac:dyDescent="0.25">
      <c r="A206" s="61">
        <f>'A) Base RI'!A208</f>
        <v>5729</v>
      </c>
      <c r="B206" s="62" t="str">
        <f>'A) Base RI'!B208</f>
        <v>Tannay</v>
      </c>
      <c r="C206" s="13">
        <f>'B) D RI'!U208</f>
        <v>138438.0717486339</v>
      </c>
      <c r="D206" s="42">
        <f>'B) D RI'!AR208</f>
        <v>1448</v>
      </c>
      <c r="E206" s="269">
        <f t="shared" si="31"/>
        <v>95.606403141321749</v>
      </c>
      <c r="F206" s="80">
        <f t="shared" si="29"/>
        <v>2.1040785855656412</v>
      </c>
      <c r="G206" s="361">
        <f t="shared" si="32"/>
        <v>41.080072919324003</v>
      </c>
      <c r="H206" s="361">
        <f t="shared" si="33"/>
        <v>27.448490363824561</v>
      </c>
      <c r="I206" s="361">
        <f t="shared" si="34"/>
        <v>4.7291861046588366</v>
      </c>
      <c r="J206" s="361">
        <f t="shared" si="35"/>
        <v>0</v>
      </c>
      <c r="K206" s="362">
        <f t="shared" si="36"/>
        <v>18.006593897804979</v>
      </c>
      <c r="L206" s="74">
        <f>K206*D206*'B) D RI'!S208</f>
        <v>1590486.4258053182</v>
      </c>
      <c r="M206" s="19">
        <f>(('B) D RI'!S208*C206)-(L206*$M$4))/'B) D RI'!S208</f>
        <v>121490.26557201984</v>
      </c>
      <c r="N206" s="349">
        <f t="shared" si="37"/>
        <v>83.902117107748509</v>
      </c>
      <c r="O206" s="80">
        <f t="shared" si="30"/>
        <v>1.9028869508291415</v>
      </c>
    </row>
    <row r="207" spans="1:15" x14ac:dyDescent="0.25">
      <c r="A207" s="61">
        <f>'A) Base RI'!A209</f>
        <v>5730</v>
      </c>
      <c r="B207" s="62" t="str">
        <f>'A) Base RI'!B209</f>
        <v>Trélex</v>
      </c>
      <c r="C207" s="13">
        <f>'B) D RI'!U209</f>
        <v>149022.17830188677</v>
      </c>
      <c r="D207" s="42">
        <f>'B) D RI'!AR209</f>
        <v>1394</v>
      </c>
      <c r="E207" s="269">
        <f t="shared" si="31"/>
        <v>106.90256693105221</v>
      </c>
      <c r="F207" s="80">
        <f t="shared" si="29"/>
        <v>2.3526813522012704</v>
      </c>
      <c r="G207" s="361">
        <f t="shared" si="32"/>
        <v>52.37623670905446</v>
      </c>
      <c r="H207" s="361">
        <f t="shared" si="33"/>
        <v>38.744654153555018</v>
      </c>
      <c r="I207" s="361">
        <f t="shared" si="34"/>
        <v>16.025349894389294</v>
      </c>
      <c r="J207" s="361">
        <f t="shared" si="35"/>
        <v>0</v>
      </c>
      <c r="K207" s="362">
        <f t="shared" si="36"/>
        <v>24.332445620054038</v>
      </c>
      <c r="L207" s="74">
        <f>K207*D207*'B) D RI'!S209</f>
        <v>1797729.7473008325</v>
      </c>
      <c r="M207" s="19">
        <f>(('B) D RI'!S209*C207)-(L207*$M$4))/'B) D RI'!S209</f>
        <v>126974.54932555581</v>
      </c>
      <c r="N207" s="349">
        <f t="shared" si="37"/>
        <v>91.086477278017085</v>
      </c>
      <c r="O207" s="80">
        <f t="shared" si="30"/>
        <v>2.0658271207476684</v>
      </c>
    </row>
    <row r="208" spans="1:15" x14ac:dyDescent="0.25">
      <c r="A208" s="61">
        <f>'A) Base RI'!A210</f>
        <v>5731</v>
      </c>
      <c r="B208" s="62" t="str">
        <f>'A) Base RI'!B210</f>
        <v>Le Vaud</v>
      </c>
      <c r="C208" s="13">
        <f>'B) D RI'!U210</f>
        <v>46449.882799999999</v>
      </c>
      <c r="D208" s="42">
        <f>'B) D RI'!AR210</f>
        <v>1243</v>
      </c>
      <c r="E208" s="269">
        <f t="shared" si="31"/>
        <v>37.369173612228479</v>
      </c>
      <c r="F208" s="80">
        <f t="shared" si="29"/>
        <v>0.82241016683317891</v>
      </c>
      <c r="G208" s="361">
        <f t="shared" si="32"/>
        <v>0</v>
      </c>
      <c r="H208" s="361">
        <f t="shared" si="33"/>
        <v>0</v>
      </c>
      <c r="I208" s="361">
        <f t="shared" si="34"/>
        <v>0</v>
      </c>
      <c r="J208" s="361">
        <f t="shared" si="35"/>
        <v>0</v>
      </c>
      <c r="K208" s="362">
        <f t="shared" si="36"/>
        <v>0</v>
      </c>
      <c r="L208" s="74">
        <f>K208*D208*'B) D RI'!S210</f>
        <v>0</v>
      </c>
      <c r="M208" s="19">
        <f>(('B) D RI'!S210*C208)-(L208*$M$4))/'B) D RI'!S210</f>
        <v>46449.882799999999</v>
      </c>
      <c r="N208" s="349">
        <f t="shared" si="37"/>
        <v>37.369173612228479</v>
      </c>
      <c r="O208" s="80">
        <f t="shared" si="30"/>
        <v>0.84752703842572286</v>
      </c>
    </row>
    <row r="209" spans="1:15" x14ac:dyDescent="0.25">
      <c r="A209" s="61">
        <f>'A) Base RI'!A211</f>
        <v>5732</v>
      </c>
      <c r="B209" s="62" t="str">
        <f>'A) Base RI'!B211</f>
        <v>Vich</v>
      </c>
      <c r="C209" s="13">
        <f>'B) D RI'!U211</f>
        <v>57292.894852941186</v>
      </c>
      <c r="D209" s="42">
        <f>'B) D RI'!AR211</f>
        <v>882</v>
      </c>
      <c r="E209" s="269">
        <f t="shared" si="31"/>
        <v>64.957930672268915</v>
      </c>
      <c r="F209" s="80">
        <f t="shared" si="29"/>
        <v>1.4295757020389985</v>
      </c>
      <c r="G209" s="361">
        <f t="shared" si="32"/>
        <v>10.431600450271169</v>
      </c>
      <c r="H209" s="361">
        <f t="shared" si="33"/>
        <v>0</v>
      </c>
      <c r="I209" s="361">
        <f t="shared" si="34"/>
        <v>0</v>
      </c>
      <c r="J209" s="361">
        <f t="shared" si="35"/>
        <v>0</v>
      </c>
      <c r="K209" s="362">
        <f t="shared" si="36"/>
        <v>3.7553761620976207</v>
      </c>
      <c r="L209" s="74">
        <f>K209*D209*'B) D RI'!S211</f>
        <v>225232.4406979669</v>
      </c>
      <c r="M209" s="19">
        <f>(('B) D RI'!S211*C209)-(L209*$M$4))/'B) D RI'!S211</f>
        <v>55139.937699210619</v>
      </c>
      <c r="N209" s="349">
        <f t="shared" si="37"/>
        <v>62.516936166905467</v>
      </c>
      <c r="O209" s="80">
        <f t="shared" si="30"/>
        <v>1.417874377175119</v>
      </c>
    </row>
    <row r="210" spans="1:15" x14ac:dyDescent="0.25">
      <c r="A210" s="61">
        <f>'A) Base RI'!A212</f>
        <v>5741</v>
      </c>
      <c r="B210" s="62" t="str">
        <f>'A) Base RI'!B212</f>
        <v>L'Abergement</v>
      </c>
      <c r="C210" s="13">
        <f>'B) D RI'!U212</f>
        <v>6994.8889917695487</v>
      </c>
      <c r="D210" s="42">
        <f>'B) D RI'!AR212</f>
        <v>250</v>
      </c>
      <c r="E210" s="269">
        <f t="shared" si="31"/>
        <v>27.979555967078195</v>
      </c>
      <c r="F210" s="80">
        <f t="shared" si="29"/>
        <v>0.61576612663634511</v>
      </c>
      <c r="G210" s="361">
        <f t="shared" si="32"/>
        <v>0</v>
      </c>
      <c r="H210" s="361">
        <f t="shared" si="33"/>
        <v>0</v>
      </c>
      <c r="I210" s="361">
        <f t="shared" si="34"/>
        <v>0</v>
      </c>
      <c r="J210" s="361">
        <f t="shared" si="35"/>
        <v>0</v>
      </c>
      <c r="K210" s="362">
        <f t="shared" si="36"/>
        <v>0</v>
      </c>
      <c r="L210" s="74">
        <f>K210*D210*'B) D RI'!S212</f>
        <v>0</v>
      </c>
      <c r="M210" s="19">
        <f>(('B) D RI'!S212*C210)-(L210*$M$4))/'B) D RI'!S212</f>
        <v>6994.8889917695487</v>
      </c>
      <c r="N210" s="349">
        <f t="shared" si="37"/>
        <v>27.979555967078195</v>
      </c>
      <c r="O210" s="80">
        <f t="shared" si="30"/>
        <v>0.63457197237791452</v>
      </c>
    </row>
    <row r="211" spans="1:15" x14ac:dyDescent="0.25">
      <c r="A211" s="61">
        <f>'A) Base RI'!A213</f>
        <v>5742</v>
      </c>
      <c r="B211" s="62" t="str">
        <f>'A) Base RI'!B213</f>
        <v>Agiez</v>
      </c>
      <c r="C211" s="13">
        <f>'B) D RI'!U213</f>
        <v>9274.0430263157905</v>
      </c>
      <c r="D211" s="42">
        <f>'B) D RI'!AR213</f>
        <v>308</v>
      </c>
      <c r="E211" s="269">
        <f t="shared" si="31"/>
        <v>30.110529306220098</v>
      </c>
      <c r="F211" s="80">
        <f t="shared" si="29"/>
        <v>0.6626639830766935</v>
      </c>
      <c r="G211" s="361">
        <f t="shared" si="32"/>
        <v>0</v>
      </c>
      <c r="H211" s="361">
        <f t="shared" si="33"/>
        <v>0</v>
      </c>
      <c r="I211" s="361">
        <f t="shared" si="34"/>
        <v>0</v>
      </c>
      <c r="J211" s="361">
        <f t="shared" si="35"/>
        <v>0</v>
      </c>
      <c r="K211" s="362">
        <f t="shared" si="36"/>
        <v>0</v>
      </c>
      <c r="L211" s="74">
        <f>K211*D211*'B) D RI'!S213</f>
        <v>0</v>
      </c>
      <c r="M211" s="19">
        <f>(('B) D RI'!S213*C211)-(L211*$M$4))/'B) D RI'!S213</f>
        <v>9274.0430263157905</v>
      </c>
      <c r="N211" s="349">
        <f t="shared" si="37"/>
        <v>30.110529306220098</v>
      </c>
      <c r="O211" s="80">
        <f t="shared" si="30"/>
        <v>0.68290211587608662</v>
      </c>
    </row>
    <row r="212" spans="1:15" x14ac:dyDescent="0.25">
      <c r="A212" s="61">
        <f>'A) Base RI'!A214</f>
        <v>5743</v>
      </c>
      <c r="B212" s="62" t="str">
        <f>'A) Base RI'!B214</f>
        <v>Arnex-sur-Orbe</v>
      </c>
      <c r="C212" s="13">
        <f>'B) D RI'!U214</f>
        <v>17348.834349315071</v>
      </c>
      <c r="D212" s="42">
        <f>'B) D RI'!AR214</f>
        <v>625</v>
      </c>
      <c r="E212" s="269">
        <f t="shared" si="31"/>
        <v>27.758134958904115</v>
      </c>
      <c r="F212" s="80">
        <f t="shared" si="29"/>
        <v>0.61089315593160287</v>
      </c>
      <c r="G212" s="361">
        <f t="shared" si="32"/>
        <v>0</v>
      </c>
      <c r="H212" s="361">
        <f t="shared" si="33"/>
        <v>0</v>
      </c>
      <c r="I212" s="361">
        <f t="shared" si="34"/>
        <v>0</v>
      </c>
      <c r="J212" s="361">
        <f t="shared" si="35"/>
        <v>0</v>
      </c>
      <c r="K212" s="362">
        <f t="shared" si="36"/>
        <v>0</v>
      </c>
      <c r="L212" s="74">
        <f>K212*D212*'B) D RI'!S214</f>
        <v>0</v>
      </c>
      <c r="M212" s="19">
        <f>(('B) D RI'!S214*C212)-(L212*$M$4))/'B) D RI'!S214</f>
        <v>17348.834349315071</v>
      </c>
      <c r="N212" s="349">
        <f t="shared" si="37"/>
        <v>27.758134958904115</v>
      </c>
      <c r="O212" s="80">
        <f t="shared" si="30"/>
        <v>0.62955017839203931</v>
      </c>
    </row>
    <row r="213" spans="1:15" x14ac:dyDescent="0.25">
      <c r="A213" s="61">
        <f>'A) Base RI'!A215</f>
        <v>5744</v>
      </c>
      <c r="B213" s="62" t="str">
        <f>'A) Base RI'!B215</f>
        <v>Ballaigues</v>
      </c>
      <c r="C213" s="13">
        <f>'B) D RI'!U215</f>
        <v>53212.458333333336</v>
      </c>
      <c r="D213" s="42">
        <f>'B) D RI'!AR215</f>
        <v>1069</v>
      </c>
      <c r="E213" s="269">
        <f t="shared" si="31"/>
        <v>49.777790770190208</v>
      </c>
      <c r="F213" s="80">
        <f t="shared" si="29"/>
        <v>1.0954954914631283</v>
      </c>
      <c r="G213" s="361">
        <f t="shared" si="32"/>
        <v>0</v>
      </c>
      <c r="H213" s="361">
        <f t="shared" si="33"/>
        <v>0</v>
      </c>
      <c r="I213" s="361">
        <f t="shared" si="34"/>
        <v>0</v>
      </c>
      <c r="J213" s="361">
        <f t="shared" si="35"/>
        <v>0</v>
      </c>
      <c r="K213" s="362">
        <f t="shared" si="36"/>
        <v>0</v>
      </c>
      <c r="L213" s="74">
        <f>K213*D213*'B) D RI'!S215</f>
        <v>0</v>
      </c>
      <c r="M213" s="19">
        <f>(('B) D RI'!S215*C213)-(L213*$M$4))/'B) D RI'!S215</f>
        <v>53212.458333333336</v>
      </c>
      <c r="N213" s="349">
        <f t="shared" si="37"/>
        <v>49.777790770190208</v>
      </c>
      <c r="O213" s="80">
        <f t="shared" si="30"/>
        <v>1.1289525433077603</v>
      </c>
    </row>
    <row r="214" spans="1:15" x14ac:dyDescent="0.25">
      <c r="A214" s="61">
        <f>'A) Base RI'!A216</f>
        <v>5745</v>
      </c>
      <c r="B214" s="62" t="str">
        <f>'A) Base RI'!B216</f>
        <v>Baulmes</v>
      </c>
      <c r="C214" s="13">
        <f>'B) D RI'!U216</f>
        <v>27522.151666666668</v>
      </c>
      <c r="D214" s="42">
        <f>'B) D RI'!AR216</f>
        <v>1034</v>
      </c>
      <c r="E214" s="269">
        <f t="shared" si="31"/>
        <v>26.617167956157321</v>
      </c>
      <c r="F214" s="80">
        <f t="shared" si="29"/>
        <v>0.58578307796153273</v>
      </c>
      <c r="G214" s="361">
        <f t="shared" si="32"/>
        <v>0</v>
      </c>
      <c r="H214" s="361">
        <f t="shared" si="33"/>
        <v>0</v>
      </c>
      <c r="I214" s="361">
        <f t="shared" si="34"/>
        <v>0</v>
      </c>
      <c r="J214" s="361">
        <f t="shared" si="35"/>
        <v>0</v>
      </c>
      <c r="K214" s="362">
        <f t="shared" si="36"/>
        <v>0</v>
      </c>
      <c r="L214" s="74">
        <f>K214*D214*'B) D RI'!S216</f>
        <v>0</v>
      </c>
      <c r="M214" s="19">
        <f>(('B) D RI'!S216*C214)-(L214*$M$4))/'B) D RI'!S216</f>
        <v>27522.151666666668</v>
      </c>
      <c r="N214" s="349">
        <f t="shared" si="37"/>
        <v>26.617167956157321</v>
      </c>
      <c r="O214" s="80">
        <f t="shared" si="30"/>
        <v>0.60367322444026583</v>
      </c>
    </row>
    <row r="215" spans="1:15" x14ac:dyDescent="0.25">
      <c r="A215" s="61">
        <f>'A) Base RI'!A217</f>
        <v>5746</v>
      </c>
      <c r="B215" s="62" t="str">
        <f>'A) Base RI'!B217</f>
        <v>Bavois</v>
      </c>
      <c r="C215" s="13">
        <f>'B) D RI'!U217</f>
        <v>23930.083584474884</v>
      </c>
      <c r="D215" s="42">
        <f>'B) D RI'!AR217</f>
        <v>939</v>
      </c>
      <c r="E215" s="269">
        <f t="shared" si="31"/>
        <v>25.484647054818833</v>
      </c>
      <c r="F215" s="80">
        <f t="shared" si="29"/>
        <v>0.56085887939410539</v>
      </c>
      <c r="G215" s="361">
        <f t="shared" si="32"/>
        <v>0</v>
      </c>
      <c r="H215" s="361">
        <f t="shared" si="33"/>
        <v>0</v>
      </c>
      <c r="I215" s="361">
        <f t="shared" si="34"/>
        <v>0</v>
      </c>
      <c r="J215" s="361">
        <f t="shared" si="35"/>
        <v>0</v>
      </c>
      <c r="K215" s="362">
        <f t="shared" si="36"/>
        <v>0</v>
      </c>
      <c r="L215" s="74">
        <f>K215*D215*'B) D RI'!S217</f>
        <v>0</v>
      </c>
      <c r="M215" s="19">
        <f>(('B) D RI'!S217*C215)-(L215*$M$4))/'B) D RI'!S217</f>
        <v>23930.083584474884</v>
      </c>
      <c r="N215" s="349">
        <f t="shared" si="37"/>
        <v>25.484647054818833</v>
      </c>
      <c r="O215" s="80">
        <f t="shared" si="30"/>
        <v>0.57798782675321225</v>
      </c>
    </row>
    <row r="216" spans="1:15" x14ac:dyDescent="0.25">
      <c r="A216" s="61">
        <f>'A) Base RI'!A218</f>
        <v>5747</v>
      </c>
      <c r="B216" s="62" t="str">
        <f>'A) Base RI'!B218</f>
        <v>Bofflens</v>
      </c>
      <c r="C216" s="13">
        <f>'B) D RI'!U218</f>
        <v>5183.441884057971</v>
      </c>
      <c r="D216" s="42">
        <f>'B) D RI'!AR218</f>
        <v>187</v>
      </c>
      <c r="E216" s="269">
        <f t="shared" si="31"/>
        <v>27.718940556459739</v>
      </c>
      <c r="F216" s="80">
        <f t="shared" si="29"/>
        <v>0.6100305766466636</v>
      </c>
      <c r="G216" s="361">
        <f t="shared" si="32"/>
        <v>0</v>
      </c>
      <c r="H216" s="361">
        <f t="shared" si="33"/>
        <v>0</v>
      </c>
      <c r="I216" s="361">
        <f t="shared" si="34"/>
        <v>0</v>
      </c>
      <c r="J216" s="361">
        <f t="shared" si="35"/>
        <v>0</v>
      </c>
      <c r="K216" s="362">
        <f t="shared" si="36"/>
        <v>0</v>
      </c>
      <c r="L216" s="74">
        <f>K216*D216*'B) D RI'!S218</f>
        <v>0</v>
      </c>
      <c r="M216" s="19">
        <f>(('B) D RI'!S218*C216)-(L216*$M$4))/'B) D RI'!S218</f>
        <v>5183.441884057971</v>
      </c>
      <c r="N216" s="349">
        <f t="shared" si="37"/>
        <v>27.718940556459739</v>
      </c>
      <c r="O216" s="80">
        <f t="shared" si="30"/>
        <v>0.62866125544792373</v>
      </c>
    </row>
    <row r="217" spans="1:15" x14ac:dyDescent="0.25">
      <c r="A217" s="61">
        <f>'A) Base RI'!A219</f>
        <v>5748</v>
      </c>
      <c r="B217" s="62" t="str">
        <f>'A) Base RI'!B219</f>
        <v>Bretonnières</v>
      </c>
      <c r="C217" s="13">
        <f>'B) D RI'!U219</f>
        <v>6140.8540277777784</v>
      </c>
      <c r="D217" s="42">
        <f>'B) D RI'!AR219</f>
        <v>252</v>
      </c>
      <c r="E217" s="269">
        <f t="shared" si="31"/>
        <v>24.368468364197533</v>
      </c>
      <c r="F217" s="80">
        <f t="shared" si="29"/>
        <v>0.53629433556193684</v>
      </c>
      <c r="G217" s="361">
        <f t="shared" si="32"/>
        <v>0</v>
      </c>
      <c r="H217" s="361">
        <f t="shared" si="33"/>
        <v>0</v>
      </c>
      <c r="I217" s="361">
        <f t="shared" si="34"/>
        <v>0</v>
      </c>
      <c r="J217" s="361">
        <f t="shared" si="35"/>
        <v>0</v>
      </c>
      <c r="K217" s="362">
        <f t="shared" si="36"/>
        <v>0</v>
      </c>
      <c r="L217" s="74">
        <f>K217*D217*'B) D RI'!S219</f>
        <v>0</v>
      </c>
      <c r="M217" s="19">
        <f>(('B) D RI'!S219*C217)-(L217*$M$4))/'B) D RI'!S219</f>
        <v>6140.8540277777784</v>
      </c>
      <c r="N217" s="349">
        <f t="shared" si="37"/>
        <v>24.368468364197533</v>
      </c>
      <c r="O217" s="80">
        <f t="shared" si="30"/>
        <v>0.55267306786042769</v>
      </c>
    </row>
    <row r="218" spans="1:15" x14ac:dyDescent="0.25">
      <c r="A218" s="61">
        <f>'A) Base RI'!A220</f>
        <v>5749</v>
      </c>
      <c r="B218" s="62" t="str">
        <f>'A) Base RI'!B220</f>
        <v>Chavornay</v>
      </c>
      <c r="C218" s="13">
        <f>'B) D RI'!U220</f>
        <v>124346.92667771333</v>
      </c>
      <c r="D218" s="42">
        <f>'B) D RI'!AR220</f>
        <v>4672</v>
      </c>
      <c r="E218" s="269">
        <f t="shared" si="31"/>
        <v>26.61535245670234</v>
      </c>
      <c r="F218" s="80">
        <f t="shared" si="29"/>
        <v>0.58574312296479802</v>
      </c>
      <c r="G218" s="361">
        <f t="shared" si="32"/>
        <v>0</v>
      </c>
      <c r="H218" s="361">
        <f t="shared" si="33"/>
        <v>0</v>
      </c>
      <c r="I218" s="361">
        <f t="shared" si="34"/>
        <v>0</v>
      </c>
      <c r="J218" s="361">
        <f t="shared" si="35"/>
        <v>0</v>
      </c>
      <c r="K218" s="362">
        <f t="shared" si="36"/>
        <v>0</v>
      </c>
      <c r="L218" s="74">
        <f>K218*D218*'B) D RI'!S220</f>
        <v>0</v>
      </c>
      <c r="M218" s="19">
        <f>(('B) D RI'!S220*C218)-(L218*$M$4))/'B) D RI'!S220</f>
        <v>124346.92667771333</v>
      </c>
      <c r="N218" s="349">
        <f t="shared" si="37"/>
        <v>26.61535245670234</v>
      </c>
      <c r="O218" s="80">
        <f t="shared" si="30"/>
        <v>0.60363204919533509</v>
      </c>
    </row>
    <row r="219" spans="1:15" x14ac:dyDescent="0.25">
      <c r="A219" s="61">
        <f>'A) Base RI'!A221</f>
        <v>5750</v>
      </c>
      <c r="B219" s="62" t="str">
        <f>'A) Base RI'!B221</f>
        <v>Les Clées</v>
      </c>
      <c r="C219" s="13">
        <f>'B) D RI'!U221</f>
        <v>4366.1146666666664</v>
      </c>
      <c r="D219" s="42">
        <f>'B) D RI'!AR221</f>
        <v>186</v>
      </c>
      <c r="E219" s="269">
        <f t="shared" si="31"/>
        <v>23.473734767025089</v>
      </c>
      <c r="F219" s="80">
        <f t="shared" si="29"/>
        <v>0.51660329249640202</v>
      </c>
      <c r="G219" s="361">
        <f t="shared" si="32"/>
        <v>0</v>
      </c>
      <c r="H219" s="361">
        <f t="shared" si="33"/>
        <v>0</v>
      </c>
      <c r="I219" s="361">
        <f t="shared" si="34"/>
        <v>0</v>
      </c>
      <c r="J219" s="361">
        <f t="shared" si="35"/>
        <v>0</v>
      </c>
      <c r="K219" s="362">
        <f t="shared" si="36"/>
        <v>0</v>
      </c>
      <c r="L219" s="74">
        <f>K219*D219*'B) D RI'!S221</f>
        <v>0</v>
      </c>
      <c r="M219" s="19">
        <f>(('B) D RI'!S221*C219)-(L219*$M$4))/'B) D RI'!S221</f>
        <v>4366.1146666666664</v>
      </c>
      <c r="N219" s="349">
        <f t="shared" si="37"/>
        <v>23.473734767025089</v>
      </c>
      <c r="O219" s="80">
        <f t="shared" si="30"/>
        <v>0.53238064920379968</v>
      </c>
    </row>
    <row r="220" spans="1:15" x14ac:dyDescent="0.25">
      <c r="A220" s="61">
        <f>'A) Base RI'!A222</f>
        <v>5752</v>
      </c>
      <c r="B220" s="62" t="str">
        <f>'A) Base RI'!B222</f>
        <v>Croy</v>
      </c>
      <c r="C220" s="13">
        <f>'B) D RI'!U222</f>
        <v>12886.326312741312</v>
      </c>
      <c r="D220" s="42">
        <f>'B) D RI'!AR222</f>
        <v>335</v>
      </c>
      <c r="E220" s="269">
        <f t="shared" si="31"/>
        <v>38.466645709675561</v>
      </c>
      <c r="F220" s="80">
        <f t="shared" si="29"/>
        <v>0.84656302127202743</v>
      </c>
      <c r="G220" s="361">
        <f t="shared" si="32"/>
        <v>0</v>
      </c>
      <c r="H220" s="361">
        <f t="shared" si="33"/>
        <v>0</v>
      </c>
      <c r="I220" s="361">
        <f t="shared" si="34"/>
        <v>0</v>
      </c>
      <c r="J220" s="361">
        <f t="shared" si="35"/>
        <v>0</v>
      </c>
      <c r="K220" s="362">
        <f t="shared" si="36"/>
        <v>0</v>
      </c>
      <c r="L220" s="74">
        <f>K220*D220*'B) D RI'!S222</f>
        <v>0</v>
      </c>
      <c r="M220" s="19">
        <f>(('B) D RI'!S222*C220)-(L220*$M$4))/'B) D RI'!S222</f>
        <v>12886.326312741312</v>
      </c>
      <c r="N220" s="349">
        <f t="shared" si="37"/>
        <v>38.466645709675561</v>
      </c>
      <c r="O220" s="80">
        <f t="shared" si="30"/>
        <v>0.87241753469829275</v>
      </c>
    </row>
    <row r="221" spans="1:15" x14ac:dyDescent="0.25">
      <c r="A221" s="61">
        <f>'A) Base RI'!A223</f>
        <v>5754</v>
      </c>
      <c r="B221" s="62" t="str">
        <f>'A) Base RI'!B223</f>
        <v>Juriens</v>
      </c>
      <c r="C221" s="13">
        <f>'B) D RI'!U223</f>
        <v>6475.8115189873415</v>
      </c>
      <c r="D221" s="42">
        <f>'B) D RI'!AR223</f>
        <v>302</v>
      </c>
      <c r="E221" s="269">
        <f t="shared" si="31"/>
        <v>21.443084499958083</v>
      </c>
      <c r="F221" s="80">
        <f t="shared" si="29"/>
        <v>0.47191331775283624</v>
      </c>
      <c r="G221" s="361">
        <f t="shared" si="32"/>
        <v>0</v>
      </c>
      <c r="H221" s="361">
        <f t="shared" si="33"/>
        <v>0</v>
      </c>
      <c r="I221" s="361">
        <f t="shared" si="34"/>
        <v>0</v>
      </c>
      <c r="J221" s="361">
        <f t="shared" si="35"/>
        <v>0</v>
      </c>
      <c r="K221" s="362">
        <f t="shared" si="36"/>
        <v>0</v>
      </c>
      <c r="L221" s="74">
        <f>K221*D221*'B) D RI'!S223</f>
        <v>0</v>
      </c>
      <c r="M221" s="19">
        <f>(('B) D RI'!S223*C221)-(L221*$M$4))/'B) D RI'!S223</f>
        <v>6475.8115189873415</v>
      </c>
      <c r="N221" s="349">
        <f t="shared" si="37"/>
        <v>21.443084499958083</v>
      </c>
      <c r="O221" s="80">
        <f t="shared" si="30"/>
        <v>0.48632581735805286</v>
      </c>
    </row>
    <row r="222" spans="1:15" x14ac:dyDescent="0.25">
      <c r="A222" s="61">
        <f>'A) Base RI'!A224</f>
        <v>5755</v>
      </c>
      <c r="B222" s="62" t="str">
        <f>'A) Base RI'!B224</f>
        <v>Lignerolle</v>
      </c>
      <c r="C222" s="13">
        <f>'B) D RI'!U224</f>
        <v>8871.4906525573169</v>
      </c>
      <c r="D222" s="42">
        <f>'B) D RI'!AR224</f>
        <v>394</v>
      </c>
      <c r="E222" s="269">
        <f t="shared" si="31"/>
        <v>22.516473737455119</v>
      </c>
      <c r="F222" s="80">
        <f t="shared" si="29"/>
        <v>0.49553616344504076</v>
      </c>
      <c r="G222" s="361">
        <f t="shared" si="32"/>
        <v>0</v>
      </c>
      <c r="H222" s="361">
        <f t="shared" si="33"/>
        <v>0</v>
      </c>
      <c r="I222" s="361">
        <f t="shared" si="34"/>
        <v>0</v>
      </c>
      <c r="J222" s="361">
        <f t="shared" si="35"/>
        <v>0</v>
      </c>
      <c r="K222" s="362">
        <f t="shared" si="36"/>
        <v>0</v>
      </c>
      <c r="L222" s="74">
        <f>K222*D222*'B) D RI'!S224</f>
        <v>0</v>
      </c>
      <c r="M222" s="19">
        <f>(('B) D RI'!S224*C222)-(L222*$M$4))/'B) D RI'!S224</f>
        <v>8871.4906525573169</v>
      </c>
      <c r="N222" s="349">
        <f t="shared" si="37"/>
        <v>22.516473737455119</v>
      </c>
      <c r="O222" s="80">
        <f t="shared" si="30"/>
        <v>0.5106701181171206</v>
      </c>
    </row>
    <row r="223" spans="1:15" x14ac:dyDescent="0.25">
      <c r="A223" s="61">
        <f>'A) Base RI'!A225</f>
        <v>5756</v>
      </c>
      <c r="B223" s="62" t="str">
        <f>'A) Base RI'!B225</f>
        <v>Montcherand</v>
      </c>
      <c r="C223" s="13">
        <f>'B) D RI'!U225</f>
        <v>14808.245169082125</v>
      </c>
      <c r="D223" s="42">
        <f>'B) D RI'!AR225</f>
        <v>474</v>
      </c>
      <c r="E223" s="269">
        <f t="shared" si="31"/>
        <v>31.241023563464399</v>
      </c>
      <c r="F223" s="80">
        <f t="shared" si="29"/>
        <v>0.68754357983609304</v>
      </c>
      <c r="G223" s="361">
        <f t="shared" si="32"/>
        <v>0</v>
      </c>
      <c r="H223" s="361">
        <f t="shared" si="33"/>
        <v>0</v>
      </c>
      <c r="I223" s="361">
        <f t="shared" si="34"/>
        <v>0</v>
      </c>
      <c r="J223" s="361">
        <f t="shared" si="35"/>
        <v>0</v>
      </c>
      <c r="K223" s="362">
        <f t="shared" si="36"/>
        <v>0</v>
      </c>
      <c r="L223" s="74">
        <f>K223*D223*'B) D RI'!S225</f>
        <v>0</v>
      </c>
      <c r="M223" s="19">
        <f>(('B) D RI'!S225*C223)-(L223*$M$4))/'B) D RI'!S225</f>
        <v>14808.245169082125</v>
      </c>
      <c r="N223" s="349">
        <f t="shared" si="37"/>
        <v>31.241023563464399</v>
      </c>
      <c r="O223" s="80">
        <f t="shared" si="30"/>
        <v>0.70854154959067162</v>
      </c>
    </row>
    <row r="224" spans="1:15" x14ac:dyDescent="0.25">
      <c r="A224" s="61">
        <f>'A) Base RI'!A226</f>
        <v>5757</v>
      </c>
      <c r="B224" s="62" t="str">
        <f>'A) Base RI'!B226</f>
        <v>Orbe</v>
      </c>
      <c r="C224" s="13">
        <f>'B) D RI'!U226</f>
        <v>210430.38166666671</v>
      </c>
      <c r="D224" s="42">
        <f>'B) D RI'!AR226</f>
        <v>6767</v>
      </c>
      <c r="E224" s="269">
        <f t="shared" si="31"/>
        <v>31.096554110634951</v>
      </c>
      <c r="F224" s="80">
        <f t="shared" si="29"/>
        <v>0.68436413712117883</v>
      </c>
      <c r="G224" s="361">
        <f t="shared" si="32"/>
        <v>0</v>
      </c>
      <c r="H224" s="361">
        <f t="shared" si="33"/>
        <v>0</v>
      </c>
      <c r="I224" s="361">
        <f t="shared" si="34"/>
        <v>0</v>
      </c>
      <c r="J224" s="361">
        <f t="shared" si="35"/>
        <v>0</v>
      </c>
      <c r="K224" s="362">
        <f t="shared" si="36"/>
        <v>0</v>
      </c>
      <c r="L224" s="74">
        <f>K224*D224*'B) D RI'!S226</f>
        <v>0</v>
      </c>
      <c r="M224" s="19">
        <f>(('B) D RI'!S226*C224)-(L224*$M$4))/'B) D RI'!S226</f>
        <v>210430.38166666671</v>
      </c>
      <c r="N224" s="349">
        <f t="shared" si="37"/>
        <v>31.096554110634951</v>
      </c>
      <c r="O224" s="80">
        <f t="shared" si="30"/>
        <v>0.70526500489717436</v>
      </c>
    </row>
    <row r="225" spans="1:15" x14ac:dyDescent="0.25">
      <c r="A225" s="61">
        <f>'A) Base RI'!A227</f>
        <v>5758</v>
      </c>
      <c r="B225" s="62" t="str">
        <f>'A) Base RI'!B227</f>
        <v>La Praz</v>
      </c>
      <c r="C225" s="13">
        <f>'B) D RI'!U227</f>
        <v>3864.2083668005353</v>
      </c>
      <c r="D225" s="42">
        <f>'B) D RI'!AR227</f>
        <v>160</v>
      </c>
      <c r="E225" s="269">
        <f t="shared" si="31"/>
        <v>24.151302292503345</v>
      </c>
      <c r="F225" s="80">
        <f t="shared" si="29"/>
        <v>0.53151500629161874</v>
      </c>
      <c r="G225" s="361">
        <f t="shared" si="32"/>
        <v>0</v>
      </c>
      <c r="H225" s="361">
        <f t="shared" si="33"/>
        <v>0</v>
      </c>
      <c r="I225" s="361">
        <f t="shared" si="34"/>
        <v>0</v>
      </c>
      <c r="J225" s="361">
        <f t="shared" si="35"/>
        <v>0</v>
      </c>
      <c r="K225" s="362">
        <f t="shared" si="36"/>
        <v>0</v>
      </c>
      <c r="L225" s="74">
        <f>K225*D225*'B) D RI'!S227</f>
        <v>0</v>
      </c>
      <c r="M225" s="19">
        <f>(('B) D RI'!S227*C225)-(L225*$M$4))/'B) D RI'!S227</f>
        <v>3864.2083668005353</v>
      </c>
      <c r="N225" s="349">
        <f t="shared" si="37"/>
        <v>24.151302292503345</v>
      </c>
      <c r="O225" s="80">
        <f t="shared" si="30"/>
        <v>0.54774777517134088</v>
      </c>
    </row>
    <row r="226" spans="1:15" x14ac:dyDescent="0.25">
      <c r="A226" s="61">
        <f>'A) Base RI'!A228</f>
        <v>5759</v>
      </c>
      <c r="B226" s="62" t="str">
        <f>'A) Base RI'!B228</f>
        <v>Premier</v>
      </c>
      <c r="C226" s="13">
        <f>'B) D RI'!U228</f>
        <v>4558.7250617283944</v>
      </c>
      <c r="D226" s="42">
        <f>'B) D RI'!AR228</f>
        <v>185</v>
      </c>
      <c r="E226" s="269">
        <f t="shared" si="31"/>
        <v>24.641757090423752</v>
      </c>
      <c r="F226" s="80">
        <f t="shared" si="29"/>
        <v>0.54230879628460549</v>
      </c>
      <c r="G226" s="361">
        <f t="shared" si="32"/>
        <v>0</v>
      </c>
      <c r="H226" s="361">
        <f t="shared" si="33"/>
        <v>0</v>
      </c>
      <c r="I226" s="361">
        <f t="shared" si="34"/>
        <v>0</v>
      </c>
      <c r="J226" s="361">
        <f t="shared" si="35"/>
        <v>0</v>
      </c>
      <c r="K226" s="362">
        <f t="shared" si="36"/>
        <v>0</v>
      </c>
      <c r="L226" s="74">
        <f>K226*D226*'B) D RI'!S228</f>
        <v>0</v>
      </c>
      <c r="M226" s="19">
        <f>(('B) D RI'!S228*C226)-(L226*$M$4))/'B) D RI'!S228</f>
        <v>4558.7250617283944</v>
      </c>
      <c r="N226" s="349">
        <f t="shared" si="37"/>
        <v>24.641757090423752</v>
      </c>
      <c r="O226" s="80">
        <f t="shared" si="30"/>
        <v>0.55887121361492331</v>
      </c>
    </row>
    <row r="227" spans="1:15" x14ac:dyDescent="0.25">
      <c r="A227" s="61">
        <f>'A) Base RI'!A229</f>
        <v>5760</v>
      </c>
      <c r="B227" s="62" t="str">
        <f>'A) Base RI'!B229</f>
        <v>Rances</v>
      </c>
      <c r="C227" s="13">
        <f>'B) D RI'!U229</f>
        <v>11470.274871794873</v>
      </c>
      <c r="D227" s="42">
        <f>'B) D RI'!AR229</f>
        <v>460</v>
      </c>
      <c r="E227" s="269">
        <f t="shared" si="31"/>
        <v>24.935380156075809</v>
      </c>
      <c r="F227" s="80">
        <f t="shared" si="29"/>
        <v>0.54877076937811686</v>
      </c>
      <c r="G227" s="361">
        <f t="shared" si="32"/>
        <v>0</v>
      </c>
      <c r="H227" s="361">
        <f t="shared" si="33"/>
        <v>0</v>
      </c>
      <c r="I227" s="361">
        <f t="shared" si="34"/>
        <v>0</v>
      </c>
      <c r="J227" s="361">
        <f t="shared" si="35"/>
        <v>0</v>
      </c>
      <c r="K227" s="362">
        <f t="shared" si="36"/>
        <v>0</v>
      </c>
      <c r="L227" s="74">
        <f>K227*D227*'B) D RI'!S229</f>
        <v>0</v>
      </c>
      <c r="M227" s="19">
        <f>(('B) D RI'!S229*C227)-(L227*$M$4))/'B) D RI'!S229</f>
        <v>11470.274871794873</v>
      </c>
      <c r="N227" s="349">
        <f t="shared" si="37"/>
        <v>24.935380156075809</v>
      </c>
      <c r="O227" s="80">
        <f t="shared" si="30"/>
        <v>0.56553053902114891</v>
      </c>
    </row>
    <row r="228" spans="1:15" x14ac:dyDescent="0.25">
      <c r="A228" s="61">
        <f>'A) Base RI'!A230</f>
        <v>5761</v>
      </c>
      <c r="B228" s="62" t="str">
        <f>'A) Base RI'!B230</f>
        <v>Romainmôtier-Envy</v>
      </c>
      <c r="C228" s="13">
        <f>'B) D RI'!U230</f>
        <v>11347.35572368421</v>
      </c>
      <c r="D228" s="42">
        <f>'B) D RI'!AR230</f>
        <v>525</v>
      </c>
      <c r="E228" s="269">
        <f t="shared" si="31"/>
        <v>21.614010902255639</v>
      </c>
      <c r="F228" s="80">
        <f t="shared" si="29"/>
        <v>0.4756750175026998</v>
      </c>
      <c r="G228" s="361">
        <f t="shared" si="32"/>
        <v>0</v>
      </c>
      <c r="H228" s="361">
        <f t="shared" si="33"/>
        <v>0</v>
      </c>
      <c r="I228" s="361">
        <f t="shared" si="34"/>
        <v>0</v>
      </c>
      <c r="J228" s="361">
        <f t="shared" si="35"/>
        <v>0</v>
      </c>
      <c r="K228" s="362">
        <f t="shared" si="36"/>
        <v>0</v>
      </c>
      <c r="L228" s="74">
        <f>K228*D228*'B) D RI'!S230</f>
        <v>0</v>
      </c>
      <c r="M228" s="19">
        <f>(('B) D RI'!S230*C228)-(L228*$M$4))/'B) D RI'!S230</f>
        <v>11347.35572368421</v>
      </c>
      <c r="N228" s="349">
        <f t="shared" si="37"/>
        <v>21.614010902255639</v>
      </c>
      <c r="O228" s="80">
        <f t="shared" si="30"/>
        <v>0.49020240154563055</v>
      </c>
    </row>
    <row r="229" spans="1:15" x14ac:dyDescent="0.25">
      <c r="A229" s="61">
        <f>'A) Base RI'!A231</f>
        <v>5762</v>
      </c>
      <c r="B229" s="62" t="str">
        <f>'A) Base RI'!B231</f>
        <v>Sergey</v>
      </c>
      <c r="C229" s="13">
        <f>'B) D RI'!U231</f>
        <v>3104.8092592592593</v>
      </c>
      <c r="D229" s="42">
        <f>'B) D RI'!AR231</f>
        <v>144</v>
      </c>
      <c r="E229" s="269">
        <f t="shared" si="31"/>
        <v>21.561175411522633</v>
      </c>
      <c r="F229" s="80">
        <f t="shared" si="29"/>
        <v>0.47451222901828372</v>
      </c>
      <c r="G229" s="361">
        <f t="shared" si="32"/>
        <v>0</v>
      </c>
      <c r="H229" s="361">
        <f t="shared" si="33"/>
        <v>0</v>
      </c>
      <c r="I229" s="361">
        <f t="shared" si="34"/>
        <v>0</v>
      </c>
      <c r="J229" s="361">
        <f t="shared" si="35"/>
        <v>0</v>
      </c>
      <c r="K229" s="362">
        <f t="shared" si="36"/>
        <v>0</v>
      </c>
      <c r="L229" s="74">
        <f>K229*D229*'B) D RI'!S231</f>
        <v>0</v>
      </c>
      <c r="M229" s="19">
        <f>(('B) D RI'!S231*C229)-(L229*$M$4))/'B) D RI'!S231</f>
        <v>3104.8092592592593</v>
      </c>
      <c r="N229" s="349">
        <f t="shared" si="37"/>
        <v>21.561175411522633</v>
      </c>
      <c r="O229" s="80">
        <f t="shared" si="30"/>
        <v>0.48900410084330886</v>
      </c>
    </row>
    <row r="230" spans="1:15" x14ac:dyDescent="0.25">
      <c r="A230" s="61">
        <f>'A) Base RI'!A232</f>
        <v>5763</v>
      </c>
      <c r="B230" s="62" t="str">
        <f>'A) Base RI'!B232</f>
        <v>Valeyres-sous-Rances</v>
      </c>
      <c r="C230" s="13">
        <f>'B) D RI'!U232</f>
        <v>16129.151764705883</v>
      </c>
      <c r="D230" s="42">
        <f>'B) D RI'!AR232</f>
        <v>600</v>
      </c>
      <c r="E230" s="269">
        <f t="shared" si="31"/>
        <v>26.881919607843137</v>
      </c>
      <c r="F230" s="80">
        <f t="shared" si="29"/>
        <v>0.59160965717068714</v>
      </c>
      <c r="G230" s="361">
        <f t="shared" si="32"/>
        <v>0</v>
      </c>
      <c r="H230" s="361">
        <f t="shared" si="33"/>
        <v>0</v>
      </c>
      <c r="I230" s="361">
        <f t="shared" si="34"/>
        <v>0</v>
      </c>
      <c r="J230" s="361">
        <f t="shared" si="35"/>
        <v>0</v>
      </c>
      <c r="K230" s="362">
        <f t="shared" si="36"/>
        <v>0</v>
      </c>
      <c r="L230" s="74">
        <f>K230*D230*'B) D RI'!S232</f>
        <v>0</v>
      </c>
      <c r="M230" s="19">
        <f>(('B) D RI'!S232*C230)-(L230*$M$4))/'B) D RI'!S232</f>
        <v>16129.151764705883</v>
      </c>
      <c r="N230" s="349">
        <f t="shared" si="37"/>
        <v>26.881919607843137</v>
      </c>
      <c r="O230" s="80">
        <f t="shared" si="30"/>
        <v>0.60967775067357199</v>
      </c>
    </row>
    <row r="231" spans="1:15" x14ac:dyDescent="0.25">
      <c r="A231" s="61">
        <f>'A) Base RI'!A233</f>
        <v>5764</v>
      </c>
      <c r="B231" s="62" t="str">
        <f>'A) Base RI'!B233</f>
        <v>Vallorbe</v>
      </c>
      <c r="C231" s="13">
        <f>'B) D RI'!U233</f>
        <v>84393.993513513502</v>
      </c>
      <c r="D231" s="42">
        <f>'B) D RI'!AR233</f>
        <v>3650</v>
      </c>
      <c r="E231" s="269">
        <f t="shared" si="31"/>
        <v>23.12164205849685</v>
      </c>
      <c r="F231" s="80">
        <f t="shared" si="29"/>
        <v>0.50885453609717834</v>
      </c>
      <c r="G231" s="361">
        <f t="shared" si="32"/>
        <v>0</v>
      </c>
      <c r="H231" s="361">
        <f t="shared" si="33"/>
        <v>0</v>
      </c>
      <c r="I231" s="361">
        <f t="shared" si="34"/>
        <v>0</v>
      </c>
      <c r="J231" s="361">
        <f t="shared" si="35"/>
        <v>0</v>
      </c>
      <c r="K231" s="362">
        <f t="shared" si="36"/>
        <v>0</v>
      </c>
      <c r="L231" s="74">
        <f>K231*D231*'B) D RI'!S233</f>
        <v>0</v>
      </c>
      <c r="M231" s="19">
        <f>(('B) D RI'!S233*C231)-(L231*$M$4))/'B) D RI'!S233</f>
        <v>84393.993513513502</v>
      </c>
      <c r="N231" s="349">
        <f t="shared" si="37"/>
        <v>23.12164205849685</v>
      </c>
      <c r="O231" s="80">
        <f t="shared" si="30"/>
        <v>0.52439524140199112</v>
      </c>
    </row>
    <row r="232" spans="1:15" x14ac:dyDescent="0.25">
      <c r="A232" s="61">
        <f>'A) Base RI'!A234</f>
        <v>5765</v>
      </c>
      <c r="B232" s="62" t="str">
        <f>'A) Base RI'!B234</f>
        <v>Vaulion</v>
      </c>
      <c r="C232" s="13">
        <f>'B) D RI'!U234</f>
        <v>9305.5603703703709</v>
      </c>
      <c r="D232" s="42">
        <f>'B) D RI'!AR234</f>
        <v>491</v>
      </c>
      <c r="E232" s="269">
        <f t="shared" si="31"/>
        <v>18.952261446782831</v>
      </c>
      <c r="F232" s="80">
        <f t="shared" si="29"/>
        <v>0.4170959909376814</v>
      </c>
      <c r="G232" s="361">
        <f t="shared" si="32"/>
        <v>0</v>
      </c>
      <c r="H232" s="361">
        <f t="shared" si="33"/>
        <v>0</v>
      </c>
      <c r="I232" s="361">
        <f t="shared" si="34"/>
        <v>0</v>
      </c>
      <c r="J232" s="361">
        <f t="shared" si="35"/>
        <v>0</v>
      </c>
      <c r="K232" s="362">
        <f t="shared" si="36"/>
        <v>0</v>
      </c>
      <c r="L232" s="74">
        <f>K232*D232*'B) D RI'!S234</f>
        <v>0</v>
      </c>
      <c r="M232" s="19">
        <f>(('B) D RI'!S234*C232)-(L232*$M$4))/'B) D RI'!S234</f>
        <v>9305.5603703703709</v>
      </c>
      <c r="N232" s="349">
        <f t="shared" si="37"/>
        <v>18.952261446782831</v>
      </c>
      <c r="O232" s="80">
        <f t="shared" si="30"/>
        <v>0.42983433838113128</v>
      </c>
    </row>
    <row r="233" spans="1:15" x14ac:dyDescent="0.25">
      <c r="A233" s="61">
        <f>'A) Base RI'!A235</f>
        <v>5766</v>
      </c>
      <c r="B233" s="62" t="str">
        <f>'A) Base RI'!B235</f>
        <v>Vuiteboeuf</v>
      </c>
      <c r="C233" s="13">
        <f>'B) D RI'!U235</f>
        <v>11614.965899814471</v>
      </c>
      <c r="D233" s="42">
        <f>'B) D RI'!AR235</f>
        <v>538</v>
      </c>
      <c r="E233" s="269">
        <f t="shared" si="31"/>
        <v>21.589155947610543</v>
      </c>
      <c r="F233" s="80">
        <f t="shared" si="29"/>
        <v>0.47512801671514115</v>
      </c>
      <c r="G233" s="361">
        <f t="shared" si="32"/>
        <v>0</v>
      </c>
      <c r="H233" s="361">
        <f t="shared" si="33"/>
        <v>0</v>
      </c>
      <c r="I233" s="361">
        <f t="shared" si="34"/>
        <v>0</v>
      </c>
      <c r="J233" s="361">
        <f t="shared" si="35"/>
        <v>0</v>
      </c>
      <c r="K233" s="362">
        <f t="shared" si="36"/>
        <v>0</v>
      </c>
      <c r="L233" s="74">
        <f>K233*D233*'B) D RI'!S235</f>
        <v>0</v>
      </c>
      <c r="M233" s="19">
        <f>(('B) D RI'!S235*C233)-(L233*$M$4))/'B) D RI'!S235</f>
        <v>11614.965899814471</v>
      </c>
      <c r="N233" s="349">
        <f t="shared" si="37"/>
        <v>21.589155947610543</v>
      </c>
      <c r="O233" s="80">
        <f t="shared" si="30"/>
        <v>0.48963869504467461</v>
      </c>
    </row>
    <row r="234" spans="1:15" x14ac:dyDescent="0.25">
      <c r="A234" s="61">
        <f>'A) Base RI'!A236</f>
        <v>5785</v>
      </c>
      <c r="B234" s="62" t="str">
        <f>'A) Base RI'!B236</f>
        <v>Corcelles-le-Jorat</v>
      </c>
      <c r="C234" s="13">
        <f>'B) D RI'!U236</f>
        <v>12293.058354430379</v>
      </c>
      <c r="D234" s="42">
        <f>'B) D RI'!AR236</f>
        <v>421</v>
      </c>
      <c r="E234" s="269">
        <f t="shared" si="31"/>
        <v>29.199663549715865</v>
      </c>
      <c r="F234" s="80">
        <f t="shared" si="29"/>
        <v>0.64261790802717345</v>
      </c>
      <c r="G234" s="361">
        <f t="shared" si="32"/>
        <v>0</v>
      </c>
      <c r="H234" s="361">
        <f t="shared" si="33"/>
        <v>0</v>
      </c>
      <c r="I234" s="361">
        <f t="shared" si="34"/>
        <v>0</v>
      </c>
      <c r="J234" s="361">
        <f t="shared" si="35"/>
        <v>0</v>
      </c>
      <c r="K234" s="362">
        <f t="shared" si="36"/>
        <v>0</v>
      </c>
      <c r="L234" s="74">
        <f>K234*D234*'B) D RI'!S236</f>
        <v>0</v>
      </c>
      <c r="M234" s="19">
        <f>(('B) D RI'!S236*C234)-(L234*$M$4))/'B) D RI'!S236</f>
        <v>12293.058354430379</v>
      </c>
      <c r="N234" s="349">
        <f t="shared" si="37"/>
        <v>29.199663549715865</v>
      </c>
      <c r="O234" s="80">
        <f t="shared" si="30"/>
        <v>0.66224382235790147</v>
      </c>
    </row>
    <row r="235" spans="1:15" x14ac:dyDescent="0.25">
      <c r="A235" s="61">
        <f>'A) Base RI'!A237</f>
        <v>5788</v>
      </c>
      <c r="B235" s="62" t="str">
        <f>'A) Base RI'!B237</f>
        <v>Essertes</v>
      </c>
      <c r="C235" s="13">
        <f>'B) D RI'!U237</f>
        <v>10412.319857142857</v>
      </c>
      <c r="D235" s="42">
        <f>'B) D RI'!AR237</f>
        <v>330</v>
      </c>
      <c r="E235" s="269">
        <f t="shared" si="31"/>
        <v>31.552484415584413</v>
      </c>
      <c r="F235" s="80">
        <f t="shared" si="29"/>
        <v>0.69439812187151562</v>
      </c>
      <c r="G235" s="361">
        <f t="shared" si="32"/>
        <v>0</v>
      </c>
      <c r="H235" s="361">
        <f t="shared" si="33"/>
        <v>0</v>
      </c>
      <c r="I235" s="361">
        <f t="shared" si="34"/>
        <v>0</v>
      </c>
      <c r="J235" s="361">
        <f t="shared" si="35"/>
        <v>0</v>
      </c>
      <c r="K235" s="362">
        <f t="shared" si="36"/>
        <v>0</v>
      </c>
      <c r="L235" s="74">
        <f>K235*D235*'B) D RI'!S237</f>
        <v>0</v>
      </c>
      <c r="M235" s="19">
        <f>(('B) D RI'!S237*C235)-(L235*$M$4))/'B) D RI'!S237</f>
        <v>10412.319857142857</v>
      </c>
      <c r="N235" s="349">
        <f t="shared" si="37"/>
        <v>31.552484415584413</v>
      </c>
      <c r="O235" s="80">
        <f t="shared" si="30"/>
        <v>0.71560543321630388</v>
      </c>
    </row>
    <row r="236" spans="1:15" x14ac:dyDescent="0.25">
      <c r="A236" s="61">
        <f>'A) Base RI'!A238</f>
        <v>5790</v>
      </c>
      <c r="B236" s="62" t="str">
        <f>'A) Base RI'!B238</f>
        <v>Maracon</v>
      </c>
      <c r="C236" s="13">
        <f>'B) D RI'!U238</f>
        <v>12107.709078947366</v>
      </c>
      <c r="D236" s="42">
        <f>'B) D RI'!AR238</f>
        <v>444</v>
      </c>
      <c r="E236" s="269">
        <f t="shared" si="31"/>
        <v>27.269615042674246</v>
      </c>
      <c r="F236" s="80">
        <f t="shared" si="29"/>
        <v>0.60014194826570821</v>
      </c>
      <c r="G236" s="361">
        <f t="shared" si="32"/>
        <v>0</v>
      </c>
      <c r="H236" s="361">
        <f t="shared" si="33"/>
        <v>0</v>
      </c>
      <c r="I236" s="361">
        <f t="shared" si="34"/>
        <v>0</v>
      </c>
      <c r="J236" s="361">
        <f t="shared" si="35"/>
        <v>0</v>
      </c>
      <c r="K236" s="362">
        <f t="shared" si="36"/>
        <v>0</v>
      </c>
      <c r="L236" s="74">
        <f>K236*D236*'B) D RI'!S238</f>
        <v>0</v>
      </c>
      <c r="M236" s="19">
        <f>(('B) D RI'!S238*C236)-(L236*$M$4))/'B) D RI'!S238</f>
        <v>12107.709078947366</v>
      </c>
      <c r="N236" s="349">
        <f t="shared" si="37"/>
        <v>27.269615042674246</v>
      </c>
      <c r="O236" s="80">
        <f t="shared" si="30"/>
        <v>0.61847062276389997</v>
      </c>
    </row>
    <row r="237" spans="1:15" x14ac:dyDescent="0.25">
      <c r="A237" s="61">
        <f>'A) Base RI'!A239</f>
        <v>5792</v>
      </c>
      <c r="B237" s="62" t="str">
        <f>'A) Base RI'!B239</f>
        <v>Montpreveyres</v>
      </c>
      <c r="C237" s="13">
        <f>'B) D RI'!U239</f>
        <v>19088.494155844161</v>
      </c>
      <c r="D237" s="42">
        <f>'B) D RI'!AR239</f>
        <v>628</v>
      </c>
      <c r="E237" s="269">
        <f t="shared" si="31"/>
        <v>30.395691330962038</v>
      </c>
      <c r="F237" s="80">
        <f t="shared" si="29"/>
        <v>0.6689397479832464</v>
      </c>
      <c r="G237" s="361">
        <f t="shared" si="32"/>
        <v>0</v>
      </c>
      <c r="H237" s="361">
        <f t="shared" si="33"/>
        <v>0</v>
      </c>
      <c r="I237" s="361">
        <f t="shared" si="34"/>
        <v>0</v>
      </c>
      <c r="J237" s="361">
        <f t="shared" si="35"/>
        <v>0</v>
      </c>
      <c r="K237" s="362">
        <f t="shared" si="36"/>
        <v>0</v>
      </c>
      <c r="L237" s="74">
        <f>K237*D237*'B) D RI'!S239</f>
        <v>0</v>
      </c>
      <c r="M237" s="19">
        <f>(('B) D RI'!S239*C237)-(L237*$M$4))/'B) D RI'!S239</f>
        <v>19088.494155844161</v>
      </c>
      <c r="N237" s="349">
        <f t="shared" si="37"/>
        <v>30.395691330962038</v>
      </c>
      <c r="O237" s="80">
        <f t="shared" si="30"/>
        <v>0.68936954619201773</v>
      </c>
    </row>
    <row r="238" spans="1:15" x14ac:dyDescent="0.25">
      <c r="A238" s="61">
        <f>'A) Base RI'!A240</f>
        <v>5798</v>
      </c>
      <c r="B238" s="62" t="str">
        <f>'A) Base RI'!B240</f>
        <v>Ropraz</v>
      </c>
      <c r="C238" s="13">
        <f>'B) D RI'!U240</f>
        <v>9558.3067096774193</v>
      </c>
      <c r="D238" s="42">
        <f>'B) D RI'!AR240</f>
        <v>405</v>
      </c>
      <c r="E238" s="269">
        <f t="shared" si="31"/>
        <v>23.60075730784548</v>
      </c>
      <c r="F238" s="80">
        <f t="shared" si="29"/>
        <v>0.51939876852355948</v>
      </c>
      <c r="G238" s="361">
        <f t="shared" si="32"/>
        <v>0</v>
      </c>
      <c r="H238" s="361">
        <f t="shared" si="33"/>
        <v>0</v>
      </c>
      <c r="I238" s="361">
        <f t="shared" si="34"/>
        <v>0</v>
      </c>
      <c r="J238" s="361">
        <f t="shared" si="35"/>
        <v>0</v>
      </c>
      <c r="K238" s="362">
        <f t="shared" si="36"/>
        <v>0</v>
      </c>
      <c r="L238" s="74">
        <f>K238*D238*'B) D RI'!S240</f>
        <v>0</v>
      </c>
      <c r="M238" s="19">
        <f>(('B) D RI'!S240*C238)-(L238*$M$4))/'B) D RI'!S240</f>
        <v>9558.3067096774193</v>
      </c>
      <c r="N238" s="349">
        <f t="shared" si="37"/>
        <v>23.60075730784548</v>
      </c>
      <c r="O238" s="80">
        <f t="shared" si="30"/>
        <v>0.53526150064975164</v>
      </c>
    </row>
    <row r="239" spans="1:15" x14ac:dyDescent="0.25">
      <c r="A239" s="61">
        <f>'A) Base RI'!A241</f>
        <v>5799</v>
      </c>
      <c r="B239" s="62" t="str">
        <f>'A) Base RI'!B241</f>
        <v>Servion</v>
      </c>
      <c r="C239" s="13">
        <f>'B) D RI'!U241</f>
        <v>51366.477681159435</v>
      </c>
      <c r="D239" s="42">
        <f>'B) D RI'!AR241</f>
        <v>1908</v>
      </c>
      <c r="E239" s="269">
        <f t="shared" si="31"/>
        <v>26.921634004800541</v>
      </c>
      <c r="F239" s="80">
        <f t="shared" si="29"/>
        <v>0.5924836803472856</v>
      </c>
      <c r="G239" s="361">
        <f t="shared" si="32"/>
        <v>0</v>
      </c>
      <c r="H239" s="361">
        <f t="shared" si="33"/>
        <v>0</v>
      </c>
      <c r="I239" s="361">
        <f t="shared" si="34"/>
        <v>0</v>
      </c>
      <c r="J239" s="361">
        <f t="shared" si="35"/>
        <v>0</v>
      </c>
      <c r="K239" s="362">
        <f t="shared" si="36"/>
        <v>0</v>
      </c>
      <c r="L239" s="74">
        <f>K239*D239*'B) D RI'!S241</f>
        <v>0</v>
      </c>
      <c r="M239" s="19">
        <f>(('B) D RI'!S241*C239)-(L239*$M$4))/'B) D RI'!S241</f>
        <v>51366.477681159435</v>
      </c>
      <c r="N239" s="349">
        <f t="shared" si="37"/>
        <v>26.921634004800541</v>
      </c>
      <c r="O239" s="80">
        <f t="shared" si="30"/>
        <v>0.61057846701226992</v>
      </c>
    </row>
    <row r="240" spans="1:15" x14ac:dyDescent="0.25">
      <c r="A240" s="61">
        <f>'A) Base RI'!A242</f>
        <v>5803</v>
      </c>
      <c r="B240" s="62" t="str">
        <f>'A) Base RI'!B242</f>
        <v>Vulliens</v>
      </c>
      <c r="C240" s="13">
        <f>'B) D RI'!U242</f>
        <v>12589.149382716048</v>
      </c>
      <c r="D240" s="42">
        <f>'B) D RI'!AR242</f>
        <v>462</v>
      </c>
      <c r="E240" s="269">
        <f t="shared" si="31"/>
        <v>27.249241088129974</v>
      </c>
      <c r="F240" s="80">
        <f t="shared" si="29"/>
        <v>0.59969356405658236</v>
      </c>
      <c r="G240" s="361">
        <f t="shared" si="32"/>
        <v>0</v>
      </c>
      <c r="H240" s="361">
        <f t="shared" si="33"/>
        <v>0</v>
      </c>
      <c r="I240" s="361">
        <f t="shared" si="34"/>
        <v>0</v>
      </c>
      <c r="J240" s="361">
        <f t="shared" si="35"/>
        <v>0</v>
      </c>
      <c r="K240" s="362">
        <f t="shared" si="36"/>
        <v>0</v>
      </c>
      <c r="L240" s="74">
        <f>K240*D240*'B) D RI'!S242</f>
        <v>0</v>
      </c>
      <c r="M240" s="19">
        <f>(('B) D RI'!S242*C240)-(L240*$M$4))/'B) D RI'!S242</f>
        <v>12589.149382716048</v>
      </c>
      <c r="N240" s="349">
        <f t="shared" si="37"/>
        <v>27.249241088129974</v>
      </c>
      <c r="O240" s="80">
        <f t="shared" si="30"/>
        <v>0.6180085446474527</v>
      </c>
    </row>
    <row r="241" spans="1:15" x14ac:dyDescent="0.25">
      <c r="A241" s="61">
        <f>'A) Base RI'!A243</f>
        <v>5804</v>
      </c>
      <c r="B241" s="62" t="str">
        <f>'A) Base RI'!B243</f>
        <v>Jorat-Menthue</v>
      </c>
      <c r="C241" s="13">
        <f>'B) D RI'!U243</f>
        <v>41163.666944444441</v>
      </c>
      <c r="D241" s="42">
        <f>'B) D RI'!AR243</f>
        <v>1518</v>
      </c>
      <c r="E241" s="269">
        <f t="shared" si="31"/>
        <v>27.117040147855363</v>
      </c>
      <c r="F241" s="80">
        <f t="shared" si="29"/>
        <v>0.59678412328395669</v>
      </c>
      <c r="G241" s="361">
        <f t="shared" si="32"/>
        <v>0</v>
      </c>
      <c r="H241" s="361">
        <f t="shared" si="33"/>
        <v>0</v>
      </c>
      <c r="I241" s="361">
        <f t="shared" si="34"/>
        <v>0</v>
      </c>
      <c r="J241" s="361">
        <f t="shared" si="35"/>
        <v>0</v>
      </c>
      <c r="K241" s="362">
        <f t="shared" si="36"/>
        <v>0</v>
      </c>
      <c r="L241" s="74">
        <f>K241*D241*'B) D RI'!S243</f>
        <v>0</v>
      </c>
      <c r="M241" s="19">
        <f>(('B) D RI'!S243*C241)-(L241*$M$4))/'B) D RI'!S243</f>
        <v>41163.666944444441</v>
      </c>
      <c r="N241" s="349">
        <f t="shared" si="37"/>
        <v>27.117040147855363</v>
      </c>
      <c r="O241" s="80">
        <f t="shared" si="30"/>
        <v>0.61501024790825554</v>
      </c>
    </row>
    <row r="242" spans="1:15" x14ac:dyDescent="0.25">
      <c r="A242" s="61">
        <f>'A) Base RI'!A244</f>
        <v>5805</v>
      </c>
      <c r="B242" s="62" t="str">
        <f>'A) Base RI'!B244</f>
        <v>Oron</v>
      </c>
      <c r="C242" s="13">
        <f>'B) D RI'!U244</f>
        <v>146504.50986824767</v>
      </c>
      <c r="D242" s="42">
        <f>'B) D RI'!AR244</f>
        <v>5297</v>
      </c>
      <c r="E242" s="269">
        <f t="shared" si="31"/>
        <v>27.65801583315984</v>
      </c>
      <c r="F242" s="80">
        <f t="shared" si="29"/>
        <v>0.60868976262778096</v>
      </c>
      <c r="G242" s="361">
        <f t="shared" si="32"/>
        <v>0</v>
      </c>
      <c r="H242" s="361">
        <f t="shared" si="33"/>
        <v>0</v>
      </c>
      <c r="I242" s="361">
        <f t="shared" si="34"/>
        <v>0</v>
      </c>
      <c r="J242" s="361">
        <f t="shared" si="35"/>
        <v>0</v>
      </c>
      <c r="K242" s="362">
        <f t="shared" si="36"/>
        <v>0</v>
      </c>
      <c r="L242" s="74">
        <f>K242*D242*'B) D RI'!S244</f>
        <v>0</v>
      </c>
      <c r="M242" s="19">
        <f>(('B) D RI'!S244*C242)-(L242*$M$4))/'B) D RI'!S244</f>
        <v>146504.50986824767</v>
      </c>
      <c r="N242" s="349">
        <f t="shared" si="37"/>
        <v>27.65801583315984</v>
      </c>
      <c r="O242" s="80">
        <f t="shared" si="30"/>
        <v>0.62727949221063417</v>
      </c>
    </row>
    <row r="243" spans="1:15" x14ac:dyDescent="0.25">
      <c r="A243" s="61">
        <f>'A) Base RI'!A245</f>
        <v>5806</v>
      </c>
      <c r="B243" s="62" t="str">
        <f>'A) Base RI'!B245</f>
        <v>Jorat-Mézières</v>
      </c>
      <c r="C243" s="13">
        <f>'B) D RI'!U245</f>
        <v>83059.358118759847</v>
      </c>
      <c r="D243" s="42">
        <f>'B) D RI'!AR245</f>
        <v>2755</v>
      </c>
      <c r="E243" s="269">
        <f t="shared" si="31"/>
        <v>30.148587338932792</v>
      </c>
      <c r="F243" s="80">
        <f t="shared" si="29"/>
        <v>0.66350155345909945</v>
      </c>
      <c r="G243" s="361">
        <f t="shared" si="32"/>
        <v>0</v>
      </c>
      <c r="H243" s="361">
        <f t="shared" si="33"/>
        <v>0</v>
      </c>
      <c r="I243" s="361">
        <f t="shared" si="34"/>
        <v>0</v>
      </c>
      <c r="J243" s="361">
        <f t="shared" si="35"/>
        <v>0</v>
      </c>
      <c r="K243" s="362">
        <f t="shared" si="36"/>
        <v>0</v>
      </c>
      <c r="L243" s="74">
        <f>K243*D243*'B) D RI'!S245</f>
        <v>0</v>
      </c>
      <c r="M243" s="19">
        <f>(('B) D RI'!S245*C243)-(L243*$M$4))/'B) D RI'!S245</f>
        <v>83059.358118759847</v>
      </c>
      <c r="N243" s="349">
        <f t="shared" si="37"/>
        <v>30.148587338932792</v>
      </c>
      <c r="O243" s="80">
        <f t="shared" si="30"/>
        <v>0.68376526613164235</v>
      </c>
    </row>
    <row r="244" spans="1:15" x14ac:dyDescent="0.25">
      <c r="A244" s="61">
        <f>'A) Base RI'!A246</f>
        <v>5812</v>
      </c>
      <c r="B244" s="62" t="str">
        <f>'A) Base RI'!B246</f>
        <v>Champtauroz</v>
      </c>
      <c r="C244" s="13">
        <f>'B) D RI'!U246</f>
        <v>2420.1879870129869</v>
      </c>
      <c r="D244" s="42">
        <f>'B) D RI'!AR246</f>
        <v>133</v>
      </c>
      <c r="E244" s="269">
        <f t="shared" si="31"/>
        <v>18.196902157992383</v>
      </c>
      <c r="F244" s="80">
        <f t="shared" si="29"/>
        <v>0.40047225809415232</v>
      </c>
      <c r="G244" s="361">
        <f t="shared" si="32"/>
        <v>0</v>
      </c>
      <c r="H244" s="361">
        <f t="shared" si="33"/>
        <v>0</v>
      </c>
      <c r="I244" s="361">
        <f t="shared" si="34"/>
        <v>0</v>
      </c>
      <c r="J244" s="361">
        <f t="shared" si="35"/>
        <v>0</v>
      </c>
      <c r="K244" s="362">
        <f t="shared" si="36"/>
        <v>0</v>
      </c>
      <c r="L244" s="74">
        <f>K244*D244*'B) D RI'!S246</f>
        <v>0</v>
      </c>
      <c r="M244" s="19">
        <f>(('B) D RI'!S246*C244)-(L244*$M$4))/'B) D RI'!S246</f>
        <v>2420.1879870129869</v>
      </c>
      <c r="N244" s="349">
        <f t="shared" si="37"/>
        <v>18.196902157992383</v>
      </c>
      <c r="O244" s="80">
        <f t="shared" si="30"/>
        <v>0.41270290733534443</v>
      </c>
    </row>
    <row r="245" spans="1:15" x14ac:dyDescent="0.25">
      <c r="A245" s="61">
        <f>'A) Base RI'!A247</f>
        <v>5813</v>
      </c>
      <c r="B245" s="62" t="str">
        <f>'A) Base RI'!B247</f>
        <v>Chevroux</v>
      </c>
      <c r="C245" s="13">
        <f>'B) D RI'!U247</f>
        <v>11590.298571428571</v>
      </c>
      <c r="D245" s="42">
        <f>'B) D RI'!AR247</f>
        <v>430</v>
      </c>
      <c r="E245" s="269">
        <f t="shared" si="31"/>
        <v>26.95418272425249</v>
      </c>
      <c r="F245" s="80">
        <f t="shared" si="29"/>
        <v>0.59320000332708844</v>
      </c>
      <c r="G245" s="361">
        <f t="shared" si="32"/>
        <v>0</v>
      </c>
      <c r="H245" s="361">
        <f t="shared" si="33"/>
        <v>0</v>
      </c>
      <c r="I245" s="361">
        <f t="shared" si="34"/>
        <v>0</v>
      </c>
      <c r="J245" s="361">
        <f t="shared" si="35"/>
        <v>0</v>
      </c>
      <c r="K245" s="362">
        <f t="shared" si="36"/>
        <v>0</v>
      </c>
      <c r="L245" s="74">
        <f>K245*D245*'B) D RI'!S247</f>
        <v>0</v>
      </c>
      <c r="M245" s="19">
        <f>(('B) D RI'!S247*C245)-(L245*$M$4))/'B) D RI'!S247</f>
        <v>11590.298571428571</v>
      </c>
      <c r="N245" s="349">
        <f t="shared" si="37"/>
        <v>26.95418272425249</v>
      </c>
      <c r="O245" s="80">
        <f t="shared" si="30"/>
        <v>0.61131666690097797</v>
      </c>
    </row>
    <row r="246" spans="1:15" x14ac:dyDescent="0.25">
      <c r="A246" s="61">
        <f>'A) Base RI'!A248</f>
        <v>5816</v>
      </c>
      <c r="B246" s="62" t="str">
        <f>'A) Base RI'!B248</f>
        <v>Corcelles-près-Payerne</v>
      </c>
      <c r="C246" s="13">
        <f>'B) D RI'!U248</f>
        <v>52953.608154761903</v>
      </c>
      <c r="D246" s="42">
        <f>'B) D RI'!AR248</f>
        <v>2229</v>
      </c>
      <c r="E246" s="269">
        <f t="shared" si="31"/>
        <v>23.756665838834412</v>
      </c>
      <c r="F246" s="80">
        <f t="shared" si="29"/>
        <v>0.52282995922399733</v>
      </c>
      <c r="G246" s="361">
        <f t="shared" si="32"/>
        <v>0</v>
      </c>
      <c r="H246" s="361">
        <f t="shared" si="33"/>
        <v>0</v>
      </c>
      <c r="I246" s="361">
        <f t="shared" si="34"/>
        <v>0</v>
      </c>
      <c r="J246" s="361">
        <f t="shared" si="35"/>
        <v>0</v>
      </c>
      <c r="K246" s="362">
        <f t="shared" si="36"/>
        <v>0</v>
      </c>
      <c r="L246" s="74">
        <f>K246*D246*'B) D RI'!S248</f>
        <v>0</v>
      </c>
      <c r="M246" s="19">
        <f>(('B) D RI'!S248*C246)-(L246*$M$4))/'B) D RI'!S248</f>
        <v>52953.608154761903</v>
      </c>
      <c r="N246" s="349">
        <f t="shared" si="37"/>
        <v>23.756665838834412</v>
      </c>
      <c r="O246" s="80">
        <f t="shared" si="30"/>
        <v>0.53879748185462129</v>
      </c>
    </row>
    <row r="247" spans="1:15" x14ac:dyDescent="0.25">
      <c r="A247" s="61">
        <f>'A) Base RI'!A249</f>
        <v>5817</v>
      </c>
      <c r="B247" s="62" t="str">
        <f>'A) Base RI'!B249</f>
        <v>Grandcour</v>
      </c>
      <c r="C247" s="13">
        <f>'B) D RI'!U249</f>
        <v>20895.78968553459</v>
      </c>
      <c r="D247" s="42">
        <f>'B) D RI'!AR249</f>
        <v>856</v>
      </c>
      <c r="E247" s="269">
        <f t="shared" si="31"/>
        <v>24.410969258802091</v>
      </c>
      <c r="F247" s="80">
        <f t="shared" si="29"/>
        <v>0.5372296831878971</v>
      </c>
      <c r="G247" s="361">
        <f t="shared" si="32"/>
        <v>0</v>
      </c>
      <c r="H247" s="361">
        <f t="shared" si="33"/>
        <v>0</v>
      </c>
      <c r="I247" s="361">
        <f t="shared" si="34"/>
        <v>0</v>
      </c>
      <c r="J247" s="361">
        <f t="shared" si="35"/>
        <v>0</v>
      </c>
      <c r="K247" s="362">
        <f t="shared" si="36"/>
        <v>0</v>
      </c>
      <c r="L247" s="74">
        <f>K247*D247*'B) D RI'!S249</f>
        <v>0</v>
      </c>
      <c r="M247" s="19">
        <f>(('B) D RI'!S249*C247)-(L247*$M$4))/'B) D RI'!S249</f>
        <v>20895.78968553459</v>
      </c>
      <c r="N247" s="349">
        <f t="shared" si="37"/>
        <v>24.410969258802091</v>
      </c>
      <c r="O247" s="80">
        <f t="shared" si="30"/>
        <v>0.5536369815318517</v>
      </c>
    </row>
    <row r="248" spans="1:15" x14ac:dyDescent="0.25">
      <c r="A248" s="61">
        <f>'A) Base RI'!A250</f>
        <v>5819</v>
      </c>
      <c r="B248" s="62" t="str">
        <f>'A) Base RI'!B250</f>
        <v>Henniez</v>
      </c>
      <c r="C248" s="13">
        <f>'B) D RI'!U250</f>
        <v>13106.979402985076</v>
      </c>
      <c r="D248" s="42">
        <f>'B) D RI'!AR250</f>
        <v>339</v>
      </c>
      <c r="E248" s="269">
        <f t="shared" si="31"/>
        <v>38.663656056003177</v>
      </c>
      <c r="F248" s="80">
        <f t="shared" si="29"/>
        <v>0.85089876905902528</v>
      </c>
      <c r="G248" s="361">
        <f t="shared" si="32"/>
        <v>0</v>
      </c>
      <c r="H248" s="361">
        <f t="shared" si="33"/>
        <v>0</v>
      </c>
      <c r="I248" s="361">
        <f t="shared" si="34"/>
        <v>0</v>
      </c>
      <c r="J248" s="361">
        <f t="shared" si="35"/>
        <v>0</v>
      </c>
      <c r="K248" s="362">
        <f t="shared" si="36"/>
        <v>0</v>
      </c>
      <c r="L248" s="74">
        <f>K248*D248*'B) D RI'!S250</f>
        <v>0</v>
      </c>
      <c r="M248" s="19">
        <f>(('B) D RI'!S250*C248)-(L248*$M$4))/'B) D RI'!S250</f>
        <v>13106.979402985076</v>
      </c>
      <c r="N248" s="349">
        <f t="shared" si="37"/>
        <v>38.663656056003177</v>
      </c>
      <c r="O248" s="80">
        <f t="shared" si="30"/>
        <v>0.87688569867470001</v>
      </c>
    </row>
    <row r="249" spans="1:15" x14ac:dyDescent="0.25">
      <c r="A249" s="61">
        <f>'A) Base RI'!A251</f>
        <v>5821</v>
      </c>
      <c r="B249" s="62" t="str">
        <f>'A) Base RI'!B251</f>
        <v>Missy</v>
      </c>
      <c r="C249" s="13">
        <f>'B) D RI'!U251</f>
        <v>7313.8070833333331</v>
      </c>
      <c r="D249" s="42">
        <f>'B) D RI'!AR251</f>
        <v>350</v>
      </c>
      <c r="E249" s="269">
        <f t="shared" si="31"/>
        <v>20.896591666666666</v>
      </c>
      <c r="F249" s="80">
        <f t="shared" si="29"/>
        <v>0.4598862585819784</v>
      </c>
      <c r="G249" s="361">
        <f t="shared" si="32"/>
        <v>0</v>
      </c>
      <c r="H249" s="361">
        <f t="shared" si="33"/>
        <v>0</v>
      </c>
      <c r="I249" s="361">
        <f t="shared" si="34"/>
        <v>0</v>
      </c>
      <c r="J249" s="361">
        <f t="shared" si="35"/>
        <v>0</v>
      </c>
      <c r="K249" s="362">
        <f t="shared" si="36"/>
        <v>0</v>
      </c>
      <c r="L249" s="74">
        <f>K249*D249*'B) D RI'!S251</f>
        <v>0</v>
      </c>
      <c r="M249" s="19">
        <f>(('B) D RI'!S251*C249)-(L249*$M$4))/'B) D RI'!S251</f>
        <v>7313.8070833333331</v>
      </c>
      <c r="N249" s="349">
        <f t="shared" si="37"/>
        <v>20.896591666666666</v>
      </c>
      <c r="O249" s="80">
        <f t="shared" si="30"/>
        <v>0.47393144499845663</v>
      </c>
    </row>
    <row r="250" spans="1:15" x14ac:dyDescent="0.25">
      <c r="A250" s="61">
        <f>'A) Base RI'!A252</f>
        <v>5822</v>
      </c>
      <c r="B250" s="62" t="str">
        <f>'A) Base RI'!B252</f>
        <v>Payerne</v>
      </c>
      <c r="C250" s="13">
        <f>'B) D RI'!U252</f>
        <v>224445.50853333328</v>
      </c>
      <c r="D250" s="42">
        <f>'B) D RI'!AR252</f>
        <v>9302</v>
      </c>
      <c r="E250" s="269">
        <f t="shared" si="31"/>
        <v>24.128736673116887</v>
      </c>
      <c r="F250" s="80">
        <f t="shared" si="29"/>
        <v>0.53101838854467887</v>
      </c>
      <c r="G250" s="361">
        <f t="shared" si="32"/>
        <v>0</v>
      </c>
      <c r="H250" s="361">
        <f t="shared" si="33"/>
        <v>0</v>
      </c>
      <c r="I250" s="361">
        <f t="shared" si="34"/>
        <v>0</v>
      </c>
      <c r="J250" s="361">
        <f t="shared" si="35"/>
        <v>0</v>
      </c>
      <c r="K250" s="362">
        <f t="shared" si="36"/>
        <v>0</v>
      </c>
      <c r="L250" s="74">
        <f>K250*D250*'B) D RI'!S252</f>
        <v>0</v>
      </c>
      <c r="M250" s="19">
        <f>(('B) D RI'!S252*C250)-(L250*$M$4))/'B) D RI'!S252</f>
        <v>224445.50853333328</v>
      </c>
      <c r="N250" s="349">
        <f t="shared" si="37"/>
        <v>24.128736673116887</v>
      </c>
      <c r="O250" s="80">
        <f t="shared" si="30"/>
        <v>0.54723599043755733</v>
      </c>
    </row>
    <row r="251" spans="1:15" x14ac:dyDescent="0.25">
      <c r="A251" s="61">
        <f>'A) Base RI'!A253</f>
        <v>5827</v>
      </c>
      <c r="B251" s="62" t="str">
        <f>'A) Base RI'!B253</f>
        <v>Trey</v>
      </c>
      <c r="C251" s="13">
        <f>'B) D RI'!U253</f>
        <v>6544.3336250000011</v>
      </c>
      <c r="D251" s="42">
        <f>'B) D RI'!AR253</f>
        <v>255</v>
      </c>
      <c r="E251" s="269">
        <f t="shared" si="31"/>
        <v>25.664053431372555</v>
      </c>
      <c r="F251" s="80">
        <f t="shared" si="29"/>
        <v>0.56480720401063378</v>
      </c>
      <c r="G251" s="361">
        <f t="shared" si="32"/>
        <v>0</v>
      </c>
      <c r="H251" s="361">
        <f t="shared" si="33"/>
        <v>0</v>
      </c>
      <c r="I251" s="361">
        <f t="shared" si="34"/>
        <v>0</v>
      </c>
      <c r="J251" s="361">
        <f t="shared" si="35"/>
        <v>0</v>
      </c>
      <c r="K251" s="362">
        <f t="shared" si="36"/>
        <v>0</v>
      </c>
      <c r="L251" s="74">
        <f>K251*D251*'B) D RI'!S253</f>
        <v>0</v>
      </c>
      <c r="M251" s="19">
        <f>(('B) D RI'!S253*C251)-(L251*$M$4))/'B) D RI'!S253</f>
        <v>6544.3336250000011</v>
      </c>
      <c r="N251" s="349">
        <f t="shared" si="37"/>
        <v>25.664053431372555</v>
      </c>
      <c r="O251" s="80">
        <f t="shared" si="30"/>
        <v>0.58205673543642455</v>
      </c>
    </row>
    <row r="252" spans="1:15" x14ac:dyDescent="0.25">
      <c r="A252" s="61">
        <f>'A) Base RI'!A254</f>
        <v>5828</v>
      </c>
      <c r="B252" s="62" t="str">
        <f>'A) Base RI'!B254</f>
        <v>Treytorrens (Payerne)</v>
      </c>
      <c r="C252" s="13">
        <f>'B) D RI'!U254</f>
        <v>2136.5168650793653</v>
      </c>
      <c r="D252" s="42">
        <f>'B) D RI'!AR254</f>
        <v>124</v>
      </c>
      <c r="E252" s="269">
        <f t="shared" si="31"/>
        <v>17.229974718381978</v>
      </c>
      <c r="F252" s="80">
        <f t="shared" si="29"/>
        <v>0.37919239343411737</v>
      </c>
      <c r="G252" s="361">
        <f t="shared" si="32"/>
        <v>0</v>
      </c>
      <c r="H252" s="361">
        <f t="shared" si="33"/>
        <v>0</v>
      </c>
      <c r="I252" s="361">
        <f t="shared" si="34"/>
        <v>0</v>
      </c>
      <c r="J252" s="361">
        <f t="shared" si="35"/>
        <v>0</v>
      </c>
      <c r="K252" s="362">
        <f t="shared" si="36"/>
        <v>0</v>
      </c>
      <c r="L252" s="74">
        <f>K252*D252*'B) D RI'!S254</f>
        <v>0</v>
      </c>
      <c r="M252" s="19">
        <f>(('B) D RI'!S254*C252)-(L252*$M$4))/'B) D RI'!S254</f>
        <v>2136.5168650793653</v>
      </c>
      <c r="N252" s="349">
        <f t="shared" si="37"/>
        <v>17.229974718381978</v>
      </c>
      <c r="O252" s="80">
        <f t="shared" si="30"/>
        <v>0.39077314357419435</v>
      </c>
    </row>
    <row r="253" spans="1:15" x14ac:dyDescent="0.25">
      <c r="A253" s="61">
        <f>'A) Base RI'!A255</f>
        <v>5830</v>
      </c>
      <c r="B253" s="62" t="str">
        <f>'A) Base RI'!B255</f>
        <v>Villarzel</v>
      </c>
      <c r="C253" s="13">
        <f>'B) D RI'!U255</f>
        <v>10236.981518987341</v>
      </c>
      <c r="D253" s="42">
        <f>'B) D RI'!AR255</f>
        <v>415</v>
      </c>
      <c r="E253" s="269">
        <f t="shared" si="31"/>
        <v>24.667425346957447</v>
      </c>
      <c r="F253" s="80">
        <f t="shared" si="29"/>
        <v>0.54287369598929913</v>
      </c>
      <c r="G253" s="361">
        <f t="shared" si="32"/>
        <v>0</v>
      </c>
      <c r="H253" s="361">
        <f t="shared" si="33"/>
        <v>0</v>
      </c>
      <c r="I253" s="361">
        <f t="shared" si="34"/>
        <v>0</v>
      </c>
      <c r="J253" s="361">
        <f t="shared" si="35"/>
        <v>0</v>
      </c>
      <c r="K253" s="362">
        <f t="shared" si="36"/>
        <v>0</v>
      </c>
      <c r="L253" s="74">
        <f>K253*D253*'B) D RI'!S255</f>
        <v>0</v>
      </c>
      <c r="M253" s="19">
        <f>(('B) D RI'!S255*C253)-(L253*$M$4))/'B) D RI'!S255</f>
        <v>10236.981518987341</v>
      </c>
      <c r="N253" s="349">
        <f t="shared" si="37"/>
        <v>24.667425346957447</v>
      </c>
      <c r="O253" s="80">
        <f t="shared" si="30"/>
        <v>0.55945336567606596</v>
      </c>
    </row>
    <row r="254" spans="1:15" x14ac:dyDescent="0.25">
      <c r="A254" s="61">
        <f>'A) Base RI'!A256</f>
        <v>5831</v>
      </c>
      <c r="B254" s="62" t="str">
        <f>'A) Base RI'!B256</f>
        <v>Valbroye</v>
      </c>
      <c r="C254" s="13">
        <f>'B) D RI'!U256</f>
        <v>78037.716438356161</v>
      </c>
      <c r="D254" s="42">
        <f>'B) D RI'!AR256</f>
        <v>2960</v>
      </c>
      <c r="E254" s="269">
        <f t="shared" si="31"/>
        <v>26.364093391336542</v>
      </c>
      <c r="F254" s="80">
        <f t="shared" si="29"/>
        <v>0.5802134847659427</v>
      </c>
      <c r="G254" s="361">
        <f t="shared" si="32"/>
        <v>0</v>
      </c>
      <c r="H254" s="361">
        <f t="shared" si="33"/>
        <v>0</v>
      </c>
      <c r="I254" s="361">
        <f t="shared" si="34"/>
        <v>0</v>
      </c>
      <c r="J254" s="361">
        <f t="shared" si="35"/>
        <v>0</v>
      </c>
      <c r="K254" s="362">
        <f t="shared" si="36"/>
        <v>0</v>
      </c>
      <c r="L254" s="74">
        <f>K254*D254*'B) D RI'!S256</f>
        <v>0</v>
      </c>
      <c r="M254" s="19">
        <f>(('B) D RI'!S256*C254)-(L254*$M$4))/'B) D RI'!S256</f>
        <v>78037.716438356161</v>
      </c>
      <c r="N254" s="349">
        <f t="shared" si="37"/>
        <v>26.364093391336542</v>
      </c>
      <c r="O254" s="80">
        <f t="shared" si="30"/>
        <v>0.59793353271871152</v>
      </c>
    </row>
    <row r="255" spans="1:15" x14ac:dyDescent="0.25">
      <c r="A255" s="61">
        <f>'A) Base RI'!A257</f>
        <v>5841</v>
      </c>
      <c r="B255" s="62" t="str">
        <f>'A) Base RI'!B257</f>
        <v>Château-d'Oex</v>
      </c>
      <c r="C255" s="13">
        <f>'B) D RI'!U257</f>
        <v>107525.73574297188</v>
      </c>
      <c r="D255" s="42">
        <f>'B) D RI'!AR257</f>
        <v>3408</v>
      </c>
      <c r="E255" s="269">
        <f t="shared" si="31"/>
        <v>31.550978797820388</v>
      </c>
      <c r="F255" s="80">
        <f t="shared" si="29"/>
        <v>0.69436498666308555</v>
      </c>
      <c r="G255" s="361">
        <f t="shared" si="32"/>
        <v>0</v>
      </c>
      <c r="H255" s="361">
        <f t="shared" si="33"/>
        <v>0</v>
      </c>
      <c r="I255" s="361">
        <f t="shared" si="34"/>
        <v>0</v>
      </c>
      <c r="J255" s="361">
        <f t="shared" si="35"/>
        <v>0</v>
      </c>
      <c r="K255" s="362">
        <f t="shared" si="36"/>
        <v>0</v>
      </c>
      <c r="L255" s="74">
        <f>K255*D255*'B) D RI'!S257</f>
        <v>0</v>
      </c>
      <c r="M255" s="19">
        <f>(('B) D RI'!S257*C255)-(L255*$M$4))/'B) D RI'!S257</f>
        <v>107525.73574297188</v>
      </c>
      <c r="N255" s="349">
        <f t="shared" si="37"/>
        <v>31.550978797820388</v>
      </c>
      <c r="O255" s="80">
        <f t="shared" si="30"/>
        <v>0.71557128603986941</v>
      </c>
    </row>
    <row r="256" spans="1:15" x14ac:dyDescent="0.25">
      <c r="A256" s="61">
        <f>'A) Base RI'!A258</f>
        <v>5842</v>
      </c>
      <c r="B256" s="62" t="str">
        <f>'A) Base RI'!B258</f>
        <v>Rossinière</v>
      </c>
      <c r="C256" s="13">
        <f>'B) D RI'!U258</f>
        <v>16554.125349794238</v>
      </c>
      <c r="D256" s="42">
        <f>'B) D RI'!AR258</f>
        <v>565</v>
      </c>
      <c r="E256" s="269">
        <f t="shared" si="31"/>
        <v>29.299336902290687</v>
      </c>
      <c r="F256" s="80">
        <f t="shared" si="29"/>
        <v>0.64481149088160028</v>
      </c>
      <c r="G256" s="361">
        <f t="shared" si="32"/>
        <v>0</v>
      </c>
      <c r="H256" s="361">
        <f t="shared" si="33"/>
        <v>0</v>
      </c>
      <c r="I256" s="361">
        <f t="shared" si="34"/>
        <v>0</v>
      </c>
      <c r="J256" s="361">
        <f t="shared" si="35"/>
        <v>0</v>
      </c>
      <c r="K256" s="362">
        <f t="shared" si="36"/>
        <v>0</v>
      </c>
      <c r="L256" s="74">
        <f>K256*D256*'B) D RI'!S258</f>
        <v>0</v>
      </c>
      <c r="M256" s="19">
        <f>(('B) D RI'!S258*C256)-(L256*$M$4))/'B) D RI'!S258</f>
        <v>16554.125349794238</v>
      </c>
      <c r="N256" s="349">
        <f t="shared" si="37"/>
        <v>29.299336902290687</v>
      </c>
      <c r="O256" s="80">
        <f t="shared" si="30"/>
        <v>0.66450439847323883</v>
      </c>
    </row>
    <row r="257" spans="1:15" x14ac:dyDescent="0.25">
      <c r="A257" s="61">
        <f>'A) Base RI'!A259</f>
        <v>5843</v>
      </c>
      <c r="B257" s="62" t="str">
        <f>'A) Base RI'!B259</f>
        <v>Rougemont</v>
      </c>
      <c r="C257" s="13">
        <f>'B) D RI'!U259</f>
        <v>92297.453816425128</v>
      </c>
      <c r="D257" s="42">
        <f>'B) D RI'!AR259</f>
        <v>881</v>
      </c>
      <c r="E257" s="269">
        <f t="shared" si="31"/>
        <v>104.7644197689275</v>
      </c>
      <c r="F257" s="80">
        <f t="shared" si="29"/>
        <v>2.3056256163007727</v>
      </c>
      <c r="G257" s="361">
        <f t="shared" si="32"/>
        <v>50.23808954692975</v>
      </c>
      <c r="H257" s="361">
        <f t="shared" si="33"/>
        <v>36.606506991430308</v>
      </c>
      <c r="I257" s="361">
        <f t="shared" si="34"/>
        <v>13.887202732264583</v>
      </c>
      <c r="J257" s="361">
        <f t="shared" si="35"/>
        <v>0</v>
      </c>
      <c r="K257" s="362">
        <f t="shared" si="36"/>
        <v>23.135083209264199</v>
      </c>
      <c r="L257" s="74">
        <f>K257*D257*'B) D RI'!S259</f>
        <v>1406358.5732079614</v>
      </c>
      <c r="M257" s="19">
        <f>(('B) D RI'!S259*C257)-(L257*$M$4))/'B) D RI'!S259</f>
        <v>79049.148416639975</v>
      </c>
      <c r="N257" s="349">
        <f t="shared" si="37"/>
        <v>89.726615682905759</v>
      </c>
      <c r="O257" s="80">
        <f t="shared" si="30"/>
        <v>2.0349856715271688</v>
      </c>
    </row>
    <row r="258" spans="1:15" x14ac:dyDescent="0.25">
      <c r="A258" s="61">
        <f>'A) Base RI'!A260</f>
        <v>5851</v>
      </c>
      <c r="B258" s="62" t="str">
        <f>'A) Base RI'!B260</f>
        <v>Allaman</v>
      </c>
      <c r="C258" s="13">
        <f>'B) D RI'!U260</f>
        <v>26311.895293255133</v>
      </c>
      <c r="D258" s="42">
        <f>'B) D RI'!AR260</f>
        <v>393</v>
      </c>
      <c r="E258" s="269">
        <f t="shared" si="31"/>
        <v>66.951387514644111</v>
      </c>
      <c r="F258" s="80">
        <f t="shared" si="29"/>
        <v>1.4734471344480913</v>
      </c>
      <c r="G258" s="361">
        <f t="shared" si="32"/>
        <v>12.425057292646365</v>
      </c>
      <c r="H258" s="361">
        <f t="shared" si="33"/>
        <v>0</v>
      </c>
      <c r="I258" s="361">
        <f t="shared" si="34"/>
        <v>0</v>
      </c>
      <c r="J258" s="361">
        <f t="shared" si="35"/>
        <v>0</v>
      </c>
      <c r="K258" s="362">
        <f t="shared" si="36"/>
        <v>4.4730206253526914</v>
      </c>
      <c r="L258" s="74">
        <f>K258*D258*'B) D RI'!S260</f>
        <v>108989.62055734367</v>
      </c>
      <c r="M258" s="19">
        <f>(('B) D RI'!S260*C258)-(L258*$M$4))/'B) D RI'!S260</f>
        <v>25169.262174508789</v>
      </c>
      <c r="N258" s="349">
        <f t="shared" si="37"/>
        <v>64.043924108164859</v>
      </c>
      <c r="O258" s="80">
        <f t="shared" si="30"/>
        <v>1.4525062259014678</v>
      </c>
    </row>
    <row r="259" spans="1:15" x14ac:dyDescent="0.25">
      <c r="A259" s="61">
        <f>'A) Base RI'!A261</f>
        <v>5852</v>
      </c>
      <c r="B259" s="62" t="str">
        <f>'A) Base RI'!B261</f>
        <v>Bursinel</v>
      </c>
      <c r="C259" s="13">
        <f>'B) D RI'!U261</f>
        <v>31632.546141732284</v>
      </c>
      <c r="D259" s="42">
        <f>'B) D RI'!AR261</f>
        <v>477</v>
      </c>
      <c r="E259" s="269">
        <f t="shared" si="31"/>
        <v>66.315610360025758</v>
      </c>
      <c r="F259" s="80">
        <f t="shared" si="29"/>
        <v>1.4594551312739215</v>
      </c>
      <c r="G259" s="361">
        <f t="shared" si="32"/>
        <v>11.789280138028012</v>
      </c>
      <c r="H259" s="361">
        <f t="shared" si="33"/>
        <v>0</v>
      </c>
      <c r="I259" s="361">
        <f t="shared" si="34"/>
        <v>0</v>
      </c>
      <c r="J259" s="361">
        <f t="shared" si="35"/>
        <v>0</v>
      </c>
      <c r="K259" s="362">
        <f t="shared" si="36"/>
        <v>4.2441408496900843</v>
      </c>
      <c r="L259" s="74">
        <f>K259*D259*'B) D RI'!S261</f>
        <v>128552.90426668781</v>
      </c>
      <c r="M259" s="19">
        <f>(('B) D RI'!S261*C259)-(L259*$M$4))/'B) D RI'!S261</f>
        <v>30316.650271285871</v>
      </c>
      <c r="N259" s="349">
        <f t="shared" si="37"/>
        <v>63.556918807727193</v>
      </c>
      <c r="O259" s="80">
        <f t="shared" si="30"/>
        <v>1.441461021523641</v>
      </c>
    </row>
    <row r="260" spans="1:15" x14ac:dyDescent="0.25">
      <c r="A260" s="61">
        <f>'A) Base RI'!A262</f>
        <v>5853</v>
      </c>
      <c r="B260" s="62" t="str">
        <f>'A) Base RI'!B262</f>
        <v>Bursins</v>
      </c>
      <c r="C260" s="13">
        <f>'B) D RI'!U262</f>
        <v>37118.734366197183</v>
      </c>
      <c r="D260" s="42">
        <f>'B) D RI'!AR262</f>
        <v>772</v>
      </c>
      <c r="E260" s="269">
        <f t="shared" si="31"/>
        <v>48.08126213237977</v>
      </c>
      <c r="F260" s="80">
        <f t="shared" si="29"/>
        <v>1.0581587707066817</v>
      </c>
      <c r="G260" s="361">
        <f t="shared" si="32"/>
        <v>0</v>
      </c>
      <c r="H260" s="361">
        <f t="shared" si="33"/>
        <v>0</v>
      </c>
      <c r="I260" s="361">
        <f t="shared" si="34"/>
        <v>0</v>
      </c>
      <c r="J260" s="361">
        <f t="shared" si="35"/>
        <v>0</v>
      </c>
      <c r="K260" s="362">
        <f t="shared" si="36"/>
        <v>0</v>
      </c>
      <c r="L260" s="74">
        <f>K260*D260*'B) D RI'!S262</f>
        <v>0</v>
      </c>
      <c r="M260" s="19">
        <f>(('B) D RI'!S262*C260)-(L260*$M$4))/'B) D RI'!S262</f>
        <v>37118.734366197183</v>
      </c>
      <c r="N260" s="349">
        <f t="shared" si="37"/>
        <v>48.08126213237977</v>
      </c>
      <c r="O260" s="80">
        <f t="shared" si="30"/>
        <v>1.0904755379843836</v>
      </c>
    </row>
    <row r="261" spans="1:15" x14ac:dyDescent="0.25">
      <c r="A261" s="61">
        <f>'A) Base RI'!A263</f>
        <v>5854</v>
      </c>
      <c r="B261" s="62" t="str">
        <f>'A) Base RI'!B263</f>
        <v>Burtigny</v>
      </c>
      <c r="C261" s="13">
        <f>'B) D RI'!U263</f>
        <v>10244.164041666669</v>
      </c>
      <c r="D261" s="42">
        <f>'B) D RI'!AR263</f>
        <v>352</v>
      </c>
      <c r="E261" s="269">
        <f t="shared" si="31"/>
        <v>29.102738754734855</v>
      </c>
      <c r="F261" s="80">
        <f t="shared" ref="F261:F313" si="38">E261/$E$314</f>
        <v>0.64048481464818263</v>
      </c>
      <c r="G261" s="361">
        <f t="shared" si="32"/>
        <v>0</v>
      </c>
      <c r="H261" s="361">
        <f t="shared" si="33"/>
        <v>0</v>
      </c>
      <c r="I261" s="361">
        <f t="shared" si="34"/>
        <v>0</v>
      </c>
      <c r="J261" s="361">
        <f t="shared" si="35"/>
        <v>0</v>
      </c>
      <c r="K261" s="362">
        <f t="shared" si="36"/>
        <v>0</v>
      </c>
      <c r="L261" s="74">
        <f>K261*D261*'B) D RI'!S263</f>
        <v>0</v>
      </c>
      <c r="M261" s="19">
        <f>(('B) D RI'!S263*C261)-(L261*$M$4))/'B) D RI'!S263</f>
        <v>10244.164041666669</v>
      </c>
      <c r="N261" s="349">
        <f t="shared" si="37"/>
        <v>29.102738754734855</v>
      </c>
      <c r="O261" s="80">
        <f t="shared" ref="O261:O313" si="39">N261/N$314</f>
        <v>0.66004558310078831</v>
      </c>
    </row>
    <row r="262" spans="1:15" x14ac:dyDescent="0.25">
      <c r="A262" s="61">
        <f>'A) Base RI'!A264</f>
        <v>5855</v>
      </c>
      <c r="B262" s="62" t="str">
        <f>'A) Base RI'!B264</f>
        <v>Dully</v>
      </c>
      <c r="C262" s="13">
        <f>'B) D RI'!U264</f>
        <v>65353.176326530607</v>
      </c>
      <c r="D262" s="42">
        <f>'B) D RI'!AR264</f>
        <v>636</v>
      </c>
      <c r="E262" s="269">
        <f t="shared" ref="E262:E313" si="40">C262/D262</f>
        <v>102.75656655114875</v>
      </c>
      <c r="F262" s="80">
        <f t="shared" si="38"/>
        <v>2.2614373525477416</v>
      </c>
      <c r="G262" s="361">
        <f t="shared" ref="G262:G313" si="41">IF(E262-$G$2&lt;0,0,E262-$G$2)</f>
        <v>48.230236329151005</v>
      </c>
      <c r="H262" s="361">
        <f t="shared" ref="H262:H313" si="42">IF(E262-$H$2&lt;0,0,E262-$H$2)</f>
        <v>34.598653773651563</v>
      </c>
      <c r="I262" s="361">
        <f t="shared" ref="I262:I313" si="43">IF(E262-$I$2&lt;0,0,E262-$I$2)</f>
        <v>11.879349514485838</v>
      </c>
      <c r="J262" s="361">
        <f t="shared" ref="J262:J313" si="44">IF(E262-$J$2&lt;0,0,E262-$J$2)</f>
        <v>0</v>
      </c>
      <c r="K262" s="362">
        <f t="shared" ref="K262:K313" si="45">(G262-H262)*$G$3+(H262-I262)*$H$3+(I262-J262)*$I$3+(J262*$J$3)</f>
        <v>22.010685407308102</v>
      </c>
      <c r="L262" s="74">
        <f>K262*D262*'B) D RI'!S264</f>
        <v>685941.00003334961</v>
      </c>
      <c r="M262" s="19">
        <f>(('B) D RI'!S264*C262)-(L262*$M$4))/'B) D RI'!S264</f>
        <v>56253.958979149436</v>
      </c>
      <c r="N262" s="349">
        <f t="shared" ref="N262:N313" si="46">M262/D262</f>
        <v>88.449621036398483</v>
      </c>
      <c r="O262" s="80">
        <f t="shared" si="39"/>
        <v>2.0060236317970301</v>
      </c>
    </row>
    <row r="263" spans="1:15" x14ac:dyDescent="0.25">
      <c r="A263" s="61">
        <f>'A) Base RI'!A265</f>
        <v>5856</v>
      </c>
      <c r="B263" s="62" t="str">
        <f>'A) Base RI'!B265</f>
        <v>Essertines-sur-Rolle</v>
      </c>
      <c r="C263" s="13">
        <f>'B) D RI'!U265</f>
        <v>28766.256402714938</v>
      </c>
      <c r="D263" s="42">
        <f>'B) D RI'!AR265</f>
        <v>700</v>
      </c>
      <c r="E263" s="269">
        <f t="shared" si="40"/>
        <v>41.094652003878487</v>
      </c>
      <c r="F263" s="80">
        <f t="shared" si="38"/>
        <v>0.90439943792071731</v>
      </c>
      <c r="G263" s="361">
        <f t="shared" si="41"/>
        <v>0</v>
      </c>
      <c r="H263" s="361">
        <f t="shared" si="42"/>
        <v>0</v>
      </c>
      <c r="I263" s="361">
        <f t="shared" si="43"/>
        <v>0</v>
      </c>
      <c r="J263" s="361">
        <f t="shared" si="44"/>
        <v>0</v>
      </c>
      <c r="K263" s="362">
        <f t="shared" si="45"/>
        <v>0</v>
      </c>
      <c r="L263" s="74">
        <f>K263*D263*'B) D RI'!S265</f>
        <v>0</v>
      </c>
      <c r="M263" s="19">
        <f>(('B) D RI'!S265*C263)-(L263*$M$4))/'B) D RI'!S265</f>
        <v>28766.256402714938</v>
      </c>
      <c r="N263" s="349">
        <f t="shared" si="46"/>
        <v>41.094652003878487</v>
      </c>
      <c r="O263" s="80">
        <f t="shared" si="39"/>
        <v>0.93202030821965076</v>
      </c>
    </row>
    <row r="264" spans="1:15" x14ac:dyDescent="0.25">
      <c r="A264" s="61">
        <f>'A) Base RI'!A266</f>
        <v>5857</v>
      </c>
      <c r="B264" s="62" t="str">
        <f>'A) Base RI'!B266</f>
        <v>Gilly</v>
      </c>
      <c r="C264" s="13">
        <f>'B) D RI'!U266</f>
        <v>55694.918787878785</v>
      </c>
      <c r="D264" s="42">
        <f>'B) D RI'!AR266</f>
        <v>1131</v>
      </c>
      <c r="E264" s="269">
        <f t="shared" si="40"/>
        <v>49.243960024649681</v>
      </c>
      <c r="F264" s="80">
        <f t="shared" si="38"/>
        <v>1.0837470959257702</v>
      </c>
      <c r="G264" s="361">
        <f t="shared" si="41"/>
        <v>0</v>
      </c>
      <c r="H264" s="361">
        <f t="shared" si="42"/>
        <v>0</v>
      </c>
      <c r="I264" s="361">
        <f t="shared" si="43"/>
        <v>0</v>
      </c>
      <c r="J264" s="361">
        <f t="shared" si="44"/>
        <v>0</v>
      </c>
      <c r="K264" s="362">
        <f t="shared" si="45"/>
        <v>0</v>
      </c>
      <c r="L264" s="74">
        <f>K264*D264*'B) D RI'!S266</f>
        <v>0</v>
      </c>
      <c r="M264" s="19">
        <f>(('B) D RI'!S266*C264)-(L264*$M$4))/'B) D RI'!S266</f>
        <v>55694.918787878785</v>
      </c>
      <c r="N264" s="349">
        <f t="shared" si="46"/>
        <v>49.243960024649681</v>
      </c>
      <c r="O264" s="80">
        <f t="shared" si="39"/>
        <v>1.1168453451266236</v>
      </c>
    </row>
    <row r="265" spans="1:15" x14ac:dyDescent="0.25">
      <c r="A265" s="61">
        <f>'A) Base RI'!A267</f>
        <v>5858</v>
      </c>
      <c r="B265" s="62" t="str">
        <f>'A) Base RI'!B267</f>
        <v>Luins</v>
      </c>
      <c r="C265" s="13">
        <f>'B) D RI'!U267</f>
        <v>33594.571611111111</v>
      </c>
      <c r="D265" s="42">
        <f>'B) D RI'!AR267</f>
        <v>633</v>
      </c>
      <c r="E265" s="269">
        <f t="shared" si="40"/>
        <v>53.07199306652624</v>
      </c>
      <c r="F265" s="80">
        <f t="shared" si="38"/>
        <v>1.1679933606486919</v>
      </c>
      <c r="G265" s="361">
        <f t="shared" si="41"/>
        <v>0</v>
      </c>
      <c r="H265" s="361">
        <f t="shared" si="42"/>
        <v>0</v>
      </c>
      <c r="I265" s="361">
        <f t="shared" si="43"/>
        <v>0</v>
      </c>
      <c r="J265" s="361">
        <f t="shared" si="44"/>
        <v>0</v>
      </c>
      <c r="K265" s="362">
        <f t="shared" si="45"/>
        <v>0</v>
      </c>
      <c r="L265" s="74">
        <f>K265*D265*'B) D RI'!S267</f>
        <v>0</v>
      </c>
      <c r="M265" s="19">
        <f>(('B) D RI'!S267*C265)-(L265*$M$4))/'B) D RI'!S267</f>
        <v>33594.571611111111</v>
      </c>
      <c r="N265" s="349">
        <f t="shared" si="46"/>
        <v>53.07199306652624</v>
      </c>
      <c r="O265" s="80">
        <f t="shared" si="39"/>
        <v>1.2036645384179567</v>
      </c>
    </row>
    <row r="266" spans="1:15" x14ac:dyDescent="0.25">
      <c r="A266" s="61">
        <f>'A) Base RI'!A268</f>
        <v>5859</v>
      </c>
      <c r="B266" s="62" t="str">
        <f>'A) Base RI'!B268</f>
        <v>Mont-sur-Rolle</v>
      </c>
      <c r="C266" s="13">
        <f>'B) D RI'!U268</f>
        <v>147627.58999999997</v>
      </c>
      <c r="D266" s="42">
        <f>'B) D RI'!AR268</f>
        <v>2594</v>
      </c>
      <c r="E266" s="269">
        <f t="shared" si="40"/>
        <v>56.911175790285263</v>
      </c>
      <c r="F266" s="80">
        <f t="shared" si="38"/>
        <v>1.2524850044060083</v>
      </c>
      <c r="G266" s="361">
        <f t="shared" si="41"/>
        <v>2.3848455682875169</v>
      </c>
      <c r="H266" s="361">
        <f t="shared" si="42"/>
        <v>0</v>
      </c>
      <c r="I266" s="361">
        <f t="shared" si="43"/>
        <v>0</v>
      </c>
      <c r="J266" s="361">
        <f t="shared" si="44"/>
        <v>0</v>
      </c>
      <c r="K266" s="362">
        <f t="shared" si="45"/>
        <v>0.85854440458350612</v>
      </c>
      <c r="L266" s="74">
        <f>K266*D266*'B) D RI'!S268</f>
        <v>140305.04368584574</v>
      </c>
      <c r="M266" s="19">
        <f>(('B) D RI'!S268*C266)-(L266*$M$4))/'B) D RI'!S268</f>
        <v>146179.99827943172</v>
      </c>
      <c r="N266" s="349">
        <f t="shared" si="46"/>
        <v>56.353121927305985</v>
      </c>
      <c r="O266" s="80">
        <f t="shared" si="39"/>
        <v>1.278080030045522</v>
      </c>
    </row>
    <row r="267" spans="1:15" x14ac:dyDescent="0.25">
      <c r="A267" s="61">
        <f>'A) Base RI'!A269</f>
        <v>5860</v>
      </c>
      <c r="B267" s="62" t="str">
        <f>'A) Base RI'!B269</f>
        <v>Perroy</v>
      </c>
      <c r="C267" s="13">
        <f>'B) D RI'!U269</f>
        <v>88241.731705128201</v>
      </c>
      <c r="D267" s="42">
        <f>'B) D RI'!AR269</f>
        <v>1464</v>
      </c>
      <c r="E267" s="269">
        <f t="shared" si="40"/>
        <v>60.274406902409972</v>
      </c>
      <c r="F267" s="80">
        <f t="shared" si="38"/>
        <v>1.3265020401778644</v>
      </c>
      <c r="G267" s="361">
        <f t="shared" si="41"/>
        <v>5.7480766804122254</v>
      </c>
      <c r="H267" s="361">
        <f t="shared" si="42"/>
        <v>0</v>
      </c>
      <c r="I267" s="361">
        <f t="shared" si="43"/>
        <v>0</v>
      </c>
      <c r="J267" s="361">
        <f t="shared" si="44"/>
        <v>0</v>
      </c>
      <c r="K267" s="362">
        <f t="shared" si="45"/>
        <v>2.0693076049484009</v>
      </c>
      <c r="L267" s="74">
        <f>K267*D267*'B) D RI'!S269</f>
        <v>181767.98001866756</v>
      </c>
      <c r="M267" s="19">
        <f>(('B) D RI'!S269*C267)-(L267*$M$4))/'B) D RI'!S269</f>
        <v>86272.578588259305</v>
      </c>
      <c r="N267" s="349">
        <f t="shared" si="46"/>
        <v>58.929356959193512</v>
      </c>
      <c r="O267" s="80">
        <f t="shared" si="39"/>
        <v>1.3365086393993488</v>
      </c>
    </row>
    <row r="268" spans="1:15" x14ac:dyDescent="0.25">
      <c r="A268" s="61">
        <f>'A) Base RI'!A270</f>
        <v>5861</v>
      </c>
      <c r="B268" s="62" t="str">
        <f>'A) Base RI'!B270</f>
        <v>Rolle</v>
      </c>
      <c r="C268" s="13">
        <f>'B) D RI'!U270</f>
        <v>549155.69747899158</v>
      </c>
      <c r="D268" s="42">
        <f>'B) D RI'!AR270</f>
        <v>6047</v>
      </c>
      <c r="E268" s="269">
        <f t="shared" si="40"/>
        <v>90.814568790969332</v>
      </c>
      <c r="F268" s="80">
        <f t="shared" si="38"/>
        <v>1.9986212551894431</v>
      </c>
      <c r="G268" s="361">
        <f t="shared" si="41"/>
        <v>36.288238568971586</v>
      </c>
      <c r="H268" s="361">
        <f t="shared" si="42"/>
        <v>22.656656013472144</v>
      </c>
      <c r="I268" s="361">
        <f t="shared" si="43"/>
        <v>0</v>
      </c>
      <c r="J268" s="361">
        <f t="shared" si="44"/>
        <v>0</v>
      </c>
      <c r="K268" s="362">
        <f t="shared" si="45"/>
        <v>15.329431486176986</v>
      </c>
      <c r="L268" s="74">
        <f>K268*D268*'B) D RI'!S270</f>
        <v>5515475.7957162783</v>
      </c>
      <c r="M268" s="19">
        <f>(('B) D RI'!S270*C268)-(L268*$M$4))/'B) D RI'!S270</f>
        <v>488902.60055099864</v>
      </c>
      <c r="N268" s="349">
        <f t="shared" si="46"/>
        <v>80.850438324954297</v>
      </c>
      <c r="O268" s="80">
        <f t="shared" si="39"/>
        <v>1.8336753512404944</v>
      </c>
    </row>
    <row r="269" spans="1:15" x14ac:dyDescent="0.25">
      <c r="A269" s="61">
        <f>'A) Base RI'!A271</f>
        <v>5862</v>
      </c>
      <c r="B269" s="62" t="str">
        <f>'A) Base RI'!B271</f>
        <v>Tartegnin</v>
      </c>
      <c r="C269" s="13">
        <f>'B) D RI'!U271</f>
        <v>9990.8663492063497</v>
      </c>
      <c r="D269" s="42">
        <f>'B) D RI'!AR271</f>
        <v>230</v>
      </c>
      <c r="E269" s="269">
        <f t="shared" si="40"/>
        <v>43.438549344375431</v>
      </c>
      <c r="F269" s="80">
        <f t="shared" si="38"/>
        <v>0.95598326535133371</v>
      </c>
      <c r="G269" s="361">
        <f t="shared" si="41"/>
        <v>0</v>
      </c>
      <c r="H269" s="361">
        <f t="shared" si="42"/>
        <v>0</v>
      </c>
      <c r="I269" s="361">
        <f t="shared" si="43"/>
        <v>0</v>
      </c>
      <c r="J269" s="361">
        <f t="shared" si="44"/>
        <v>0</v>
      </c>
      <c r="K269" s="362">
        <f t="shared" si="45"/>
        <v>0</v>
      </c>
      <c r="L269" s="74">
        <f>K269*D269*'B) D RI'!S271</f>
        <v>0</v>
      </c>
      <c r="M269" s="19">
        <f>(('B) D RI'!S271*C269)-(L269*$M$4))/'B) D RI'!S271</f>
        <v>9990.8663492063497</v>
      </c>
      <c r="N269" s="349">
        <f t="shared" si="46"/>
        <v>43.438549344375431</v>
      </c>
      <c r="O269" s="80">
        <f t="shared" si="39"/>
        <v>0.9851795349121899</v>
      </c>
    </row>
    <row r="270" spans="1:15" x14ac:dyDescent="0.25">
      <c r="A270" s="61">
        <f>'A) Base RI'!A272</f>
        <v>5863</v>
      </c>
      <c r="B270" s="62" t="str">
        <f>'A) Base RI'!B272</f>
        <v>Vinzel</v>
      </c>
      <c r="C270" s="13">
        <f>'B) D RI'!U272</f>
        <v>25660.793857142853</v>
      </c>
      <c r="D270" s="42">
        <f>'B) D RI'!AR272</f>
        <v>349</v>
      </c>
      <c r="E270" s="269">
        <f t="shared" si="40"/>
        <v>73.526629963160033</v>
      </c>
      <c r="F270" s="80">
        <f t="shared" si="38"/>
        <v>1.6181532040862767</v>
      </c>
      <c r="G270" s="361">
        <f t="shared" si="41"/>
        <v>19.000299741162287</v>
      </c>
      <c r="H270" s="361">
        <f t="shared" si="42"/>
        <v>5.3687171856628453</v>
      </c>
      <c r="I270" s="361">
        <f t="shared" si="43"/>
        <v>0</v>
      </c>
      <c r="J270" s="361">
        <f t="shared" si="44"/>
        <v>0</v>
      </c>
      <c r="K270" s="362">
        <f t="shared" si="45"/>
        <v>7.376979625384708</v>
      </c>
      <c r="L270" s="74">
        <f>K270*D270*'B) D RI'!S272</f>
        <v>180219.61224814842</v>
      </c>
      <c r="M270" s="19">
        <f>(('B) D RI'!S272*C270)-(L270*$M$4))/'B) D RI'!S272</f>
        <v>23987.326029124335</v>
      </c>
      <c r="N270" s="349">
        <f t="shared" si="46"/>
        <v>68.73159320665998</v>
      </c>
      <c r="O270" s="80">
        <f t="shared" si="39"/>
        <v>1.5588218310950297</v>
      </c>
    </row>
    <row r="271" spans="1:15" x14ac:dyDescent="0.25">
      <c r="A271" s="61">
        <f>'A) Base RI'!A273</f>
        <v>5871</v>
      </c>
      <c r="B271" s="62" t="str">
        <f>'A) Base RI'!B273</f>
        <v>L'Abbaye</v>
      </c>
      <c r="C271" s="13">
        <f>'B) D RI'!U273</f>
        <v>49270.614706263776</v>
      </c>
      <c r="D271" s="42">
        <f>'B) D RI'!AR273</f>
        <v>1423</v>
      </c>
      <c r="E271" s="269">
        <f t="shared" si="40"/>
        <v>34.624465710656203</v>
      </c>
      <c r="F271" s="80">
        <f t="shared" si="38"/>
        <v>0.76200541433146074</v>
      </c>
      <c r="G271" s="361">
        <f t="shared" si="41"/>
        <v>0</v>
      </c>
      <c r="H271" s="361">
        <f t="shared" si="42"/>
        <v>0</v>
      </c>
      <c r="I271" s="361">
        <f t="shared" si="43"/>
        <v>0</v>
      </c>
      <c r="J271" s="361">
        <f t="shared" si="44"/>
        <v>0</v>
      </c>
      <c r="K271" s="362">
        <f t="shared" si="45"/>
        <v>0</v>
      </c>
      <c r="L271" s="74">
        <f>K271*D271*'B) D RI'!S273</f>
        <v>0</v>
      </c>
      <c r="M271" s="19">
        <f>(('B) D RI'!S273*C271)-(L271*$M$4))/'B) D RI'!S273</f>
        <v>49270.614706263776</v>
      </c>
      <c r="N271" s="349">
        <f t="shared" si="46"/>
        <v>34.624465710656203</v>
      </c>
      <c r="O271" s="80">
        <f t="shared" si="39"/>
        <v>0.78527749062191443</v>
      </c>
    </row>
    <row r="272" spans="1:15" x14ac:dyDescent="0.25">
      <c r="A272" s="61">
        <f>'A) Base RI'!A274</f>
        <v>5872</v>
      </c>
      <c r="B272" s="62" t="str">
        <f>'A) Base RI'!B274</f>
        <v>Le Chenit</v>
      </c>
      <c r="C272" s="13">
        <f>'B) D RI'!U274</f>
        <v>312565.48082674423</v>
      </c>
      <c r="D272" s="42">
        <f>'B) D RI'!AR274</f>
        <v>4614</v>
      </c>
      <c r="E272" s="269">
        <f t="shared" si="40"/>
        <v>67.742843698904252</v>
      </c>
      <c r="F272" s="80">
        <f t="shared" si="38"/>
        <v>1.4908652775221873</v>
      </c>
      <c r="G272" s="361">
        <f t="shared" si="41"/>
        <v>13.216513476906506</v>
      </c>
      <c r="H272" s="361">
        <f t="shared" si="42"/>
        <v>0</v>
      </c>
      <c r="I272" s="361">
        <f t="shared" si="43"/>
        <v>0</v>
      </c>
      <c r="J272" s="361">
        <f t="shared" si="44"/>
        <v>0</v>
      </c>
      <c r="K272" s="362">
        <f t="shared" si="45"/>
        <v>4.7579448516863421</v>
      </c>
      <c r="L272" s="74">
        <f>K272*D272*'B) D RI'!S274</f>
        <v>1531013.2072357778</v>
      </c>
      <c r="M272" s="19">
        <f>(('B) D RI'!S274*C272)-(L272*$M$4))/'B) D RI'!S274</f>
        <v>298295.92842205171</v>
      </c>
      <c r="N272" s="349">
        <f t="shared" si="46"/>
        <v>64.650179545308134</v>
      </c>
      <c r="O272" s="80">
        <f t="shared" si="39"/>
        <v>1.4662560048102364</v>
      </c>
    </row>
    <row r="273" spans="1:15" x14ac:dyDescent="0.25">
      <c r="A273" s="61">
        <f>'A) Base RI'!A275</f>
        <v>5873</v>
      </c>
      <c r="B273" s="62" t="str">
        <f>'A) Base RI'!B275</f>
        <v>Le Lieu</v>
      </c>
      <c r="C273" s="13">
        <f>'B) D RI'!U275</f>
        <v>35906.558461538458</v>
      </c>
      <c r="D273" s="42">
        <f>'B) D RI'!AR275</f>
        <v>859</v>
      </c>
      <c r="E273" s="269">
        <f t="shared" si="40"/>
        <v>41.800417300976086</v>
      </c>
      <c r="F273" s="80">
        <f t="shared" si="38"/>
        <v>0.91993172027071202</v>
      </c>
      <c r="G273" s="361">
        <f t="shared" si="41"/>
        <v>0</v>
      </c>
      <c r="H273" s="361">
        <f t="shared" si="42"/>
        <v>0</v>
      </c>
      <c r="I273" s="361">
        <f t="shared" si="43"/>
        <v>0</v>
      </c>
      <c r="J273" s="361">
        <f t="shared" si="44"/>
        <v>0</v>
      </c>
      <c r="K273" s="362">
        <f t="shared" si="45"/>
        <v>0</v>
      </c>
      <c r="L273" s="74">
        <f>K273*D273*'B) D RI'!S275</f>
        <v>0</v>
      </c>
      <c r="M273" s="19">
        <f>(('B) D RI'!S275*C273)-(L273*$M$4))/'B) D RI'!S275</f>
        <v>35906.558461538458</v>
      </c>
      <c r="N273" s="349">
        <f t="shared" si="46"/>
        <v>41.800417300976086</v>
      </c>
      <c r="O273" s="80">
        <f t="shared" si="39"/>
        <v>0.94802695525658287</v>
      </c>
    </row>
    <row r="274" spans="1:15" x14ac:dyDescent="0.25">
      <c r="A274" s="61">
        <f>'A) Base RI'!A276</f>
        <v>5881</v>
      </c>
      <c r="B274" s="62" t="str">
        <f>'A) Base RI'!B276</f>
        <v>Blonay</v>
      </c>
      <c r="C274" s="13">
        <f>'B) D RI'!U276</f>
        <v>350302.66257142869</v>
      </c>
      <c r="D274" s="42">
        <f>'B) D RI'!AR276</f>
        <v>6132</v>
      </c>
      <c r="E274" s="269">
        <f t="shared" si="40"/>
        <v>57.126983459137101</v>
      </c>
      <c r="F274" s="80">
        <f t="shared" si="38"/>
        <v>1.2572344383321106</v>
      </c>
      <c r="G274" s="361">
        <f t="shared" si="41"/>
        <v>2.6006532371393547</v>
      </c>
      <c r="H274" s="361">
        <f t="shared" si="42"/>
        <v>0</v>
      </c>
      <c r="I274" s="361">
        <f t="shared" si="43"/>
        <v>0</v>
      </c>
      <c r="J274" s="361">
        <f t="shared" si="44"/>
        <v>0</v>
      </c>
      <c r="K274" s="362">
        <f t="shared" si="45"/>
        <v>0.93623516537016771</v>
      </c>
      <c r="L274" s="74">
        <f>K274*D274*'B) D RI'!S276</f>
        <v>401869.58238349081</v>
      </c>
      <c r="M274" s="19">
        <f>(('B) D RI'!S276*C274)-(L274*$M$4))/'B) D RI'!S276</f>
        <v>346571.01644929632</v>
      </c>
      <c r="N274" s="349">
        <f t="shared" si="46"/>
        <v>56.5184306016465</v>
      </c>
      <c r="O274" s="80">
        <f t="shared" si="39"/>
        <v>1.2818292050378224</v>
      </c>
    </row>
    <row r="275" spans="1:15" x14ac:dyDescent="0.25">
      <c r="A275" s="61">
        <f>'A) Base RI'!A277</f>
        <v>5882</v>
      </c>
      <c r="B275" s="62" t="str">
        <f>'A) Base RI'!B277</f>
        <v>Chardonne</v>
      </c>
      <c r="C275" s="13">
        <f>'B) D RI'!U277</f>
        <v>162874.24803030302</v>
      </c>
      <c r="D275" s="42">
        <f>'B) D RI'!AR277</f>
        <v>2889</v>
      </c>
      <c r="E275" s="269">
        <f t="shared" si="40"/>
        <v>56.377379034372801</v>
      </c>
      <c r="F275" s="80">
        <f t="shared" si="38"/>
        <v>1.2407373569027378</v>
      </c>
      <c r="G275" s="361">
        <f t="shared" si="41"/>
        <v>1.8510488123750548</v>
      </c>
      <c r="H275" s="361">
        <f t="shared" si="42"/>
        <v>0</v>
      </c>
      <c r="I275" s="361">
        <f t="shared" si="43"/>
        <v>0</v>
      </c>
      <c r="J275" s="361">
        <f t="shared" si="44"/>
        <v>0</v>
      </c>
      <c r="K275" s="362">
        <f t="shared" si="45"/>
        <v>0.66637757245501972</v>
      </c>
      <c r="L275" s="74">
        <f>K275*D275*'B) D RI'!S277</f>
        <v>127060.87725028844</v>
      </c>
      <c r="M275" s="19">
        <f>(('B) D RI'!S277*C275)-(L275*$M$4))/'B) D RI'!S277</f>
        <v>161622.89090586835</v>
      </c>
      <c r="N275" s="349">
        <f t="shared" si="46"/>
        <v>55.944233612277031</v>
      </c>
      <c r="O275" s="80">
        <f t="shared" si="39"/>
        <v>1.2688065067324463</v>
      </c>
    </row>
    <row r="276" spans="1:15" x14ac:dyDescent="0.25">
      <c r="A276" s="61">
        <f>'A) Base RI'!A278</f>
        <v>5883</v>
      </c>
      <c r="B276" s="62" t="str">
        <f>'A) Base RI'!B278</f>
        <v>Corseaux</v>
      </c>
      <c r="C276" s="13">
        <f>'B) D RI'!U278</f>
        <v>144418.05406250001</v>
      </c>
      <c r="D276" s="42">
        <f>'B) D RI'!AR278</f>
        <v>2172</v>
      </c>
      <c r="E276" s="269">
        <f t="shared" si="40"/>
        <v>66.49081678752303</v>
      </c>
      <c r="F276" s="80">
        <f t="shared" si="38"/>
        <v>1.4633110246036343</v>
      </c>
      <c r="G276" s="361">
        <f t="shared" si="41"/>
        <v>11.964486565525284</v>
      </c>
      <c r="H276" s="361">
        <f t="shared" si="42"/>
        <v>0</v>
      </c>
      <c r="I276" s="361">
        <f t="shared" si="43"/>
        <v>0</v>
      </c>
      <c r="J276" s="361">
        <f t="shared" si="44"/>
        <v>0</v>
      </c>
      <c r="K276" s="362">
        <f t="shared" si="45"/>
        <v>4.3072151635891025</v>
      </c>
      <c r="L276" s="74">
        <f>K276*D276*'B) D RI'!S278</f>
        <v>598737.36546019395</v>
      </c>
      <c r="M276" s="19">
        <f>(('B) D RI'!S278*C276)-(L276*$M$4))/'B) D RI'!S278</f>
        <v>138337.12769454491</v>
      </c>
      <c r="N276" s="349">
        <f t="shared" si="46"/>
        <v>63.691126931190105</v>
      </c>
      <c r="O276" s="80">
        <f t="shared" si="39"/>
        <v>1.4445048408649916</v>
      </c>
    </row>
    <row r="277" spans="1:15" x14ac:dyDescent="0.25">
      <c r="A277" s="61">
        <f>'A) Base RI'!A279</f>
        <v>5884</v>
      </c>
      <c r="B277" s="62" t="str">
        <f>'A) Base RI'!B279</f>
        <v>Corsier-sur-Vevey</v>
      </c>
      <c r="C277" s="13">
        <f>'B) D RI'!U279</f>
        <v>132379.93277777778</v>
      </c>
      <c r="D277" s="42">
        <f>'B) D RI'!AR279</f>
        <v>3427</v>
      </c>
      <c r="E277" s="269">
        <f t="shared" si="40"/>
        <v>38.628518464481409</v>
      </c>
      <c r="F277" s="80">
        <f t="shared" si="38"/>
        <v>0.85012547091747692</v>
      </c>
      <c r="G277" s="361">
        <f t="shared" si="41"/>
        <v>0</v>
      </c>
      <c r="H277" s="361">
        <f t="shared" si="42"/>
        <v>0</v>
      </c>
      <c r="I277" s="361">
        <f t="shared" si="43"/>
        <v>0</v>
      </c>
      <c r="J277" s="361">
        <f t="shared" si="44"/>
        <v>0</v>
      </c>
      <c r="K277" s="362">
        <f t="shared" si="45"/>
        <v>0</v>
      </c>
      <c r="L277" s="74">
        <f>K277*D277*'B) D RI'!S279</f>
        <v>0</v>
      </c>
      <c r="M277" s="19">
        <f>(('B) D RI'!S279*C277)-(L277*$M$4))/'B) D RI'!S279</f>
        <v>132379.93277777778</v>
      </c>
      <c r="N277" s="349">
        <f t="shared" si="46"/>
        <v>38.628518464481409</v>
      </c>
      <c r="O277" s="80">
        <f t="shared" si="39"/>
        <v>0.87608878357058573</v>
      </c>
    </row>
    <row r="278" spans="1:15" x14ac:dyDescent="0.25">
      <c r="A278" s="61">
        <f>'A) Base RI'!A280</f>
        <v>5885</v>
      </c>
      <c r="B278" s="62" t="str">
        <f>'A) Base RI'!B280</f>
        <v>Jongny</v>
      </c>
      <c r="C278" s="13">
        <f>'B) D RI'!U280</f>
        <v>138055.78997584543</v>
      </c>
      <c r="D278" s="42">
        <f>'B) D RI'!AR280</f>
        <v>1493</v>
      </c>
      <c r="E278" s="269">
        <f t="shared" si="40"/>
        <v>92.468713982481873</v>
      </c>
      <c r="F278" s="80">
        <f t="shared" si="38"/>
        <v>2.0350252130889284</v>
      </c>
      <c r="G278" s="361">
        <f t="shared" si="41"/>
        <v>37.942383760484127</v>
      </c>
      <c r="H278" s="361">
        <f t="shared" si="42"/>
        <v>24.310801204984685</v>
      </c>
      <c r="I278" s="361">
        <f t="shared" si="43"/>
        <v>1.5914969458189603</v>
      </c>
      <c r="J278" s="361">
        <f t="shared" si="44"/>
        <v>0</v>
      </c>
      <c r="K278" s="362">
        <f t="shared" si="45"/>
        <v>16.249487968854648</v>
      </c>
      <c r="L278" s="74">
        <f>K278*D278*'B) D RI'!S280</f>
        <v>1673973.5020874992</v>
      </c>
      <c r="M278" s="19">
        <f>(('B) D RI'!S280*C278)-(L278*$M$4))/'B) D RI'!S280</f>
        <v>122286.47437647045</v>
      </c>
      <c r="N278" s="349">
        <f t="shared" si="46"/>
        <v>81.906546802726353</v>
      </c>
      <c r="O278" s="80">
        <f t="shared" si="39"/>
        <v>1.8576277270599466</v>
      </c>
    </row>
    <row r="279" spans="1:15" x14ac:dyDescent="0.25">
      <c r="A279" s="61">
        <f>'A) Base RI'!A281</f>
        <v>5886</v>
      </c>
      <c r="B279" s="62" t="str">
        <f>'A) Base RI'!B281</f>
        <v>Montreux</v>
      </c>
      <c r="C279" s="13">
        <f>'B) D RI'!U281</f>
        <v>1113145.3400000003</v>
      </c>
      <c r="D279" s="42">
        <f>'B) D RI'!AR281</f>
        <v>26283</v>
      </c>
      <c r="E279" s="269">
        <f t="shared" si="40"/>
        <v>42.352293878172212</v>
      </c>
      <c r="F279" s="80">
        <f t="shared" si="38"/>
        <v>0.93207726334942409</v>
      </c>
      <c r="G279" s="361">
        <f t="shared" si="41"/>
        <v>0</v>
      </c>
      <c r="H279" s="361">
        <f t="shared" si="42"/>
        <v>0</v>
      </c>
      <c r="I279" s="361">
        <f t="shared" si="43"/>
        <v>0</v>
      </c>
      <c r="J279" s="361">
        <f t="shared" si="44"/>
        <v>0</v>
      </c>
      <c r="K279" s="362">
        <f t="shared" si="45"/>
        <v>0</v>
      </c>
      <c r="L279" s="74">
        <f>K279*D279*'B) D RI'!S281</f>
        <v>0</v>
      </c>
      <c r="M279" s="19">
        <f>(('B) D RI'!S281*C279)-(L279*$M$4))/'B) D RI'!S281</f>
        <v>1113145.3400000003</v>
      </c>
      <c r="N279" s="349">
        <f t="shared" si="46"/>
        <v>42.352293878172212</v>
      </c>
      <c r="O279" s="80">
        <f t="shared" si="39"/>
        <v>0.96054343008958532</v>
      </c>
    </row>
    <row r="280" spans="1:15" x14ac:dyDescent="0.25">
      <c r="A280" s="61">
        <f>'A) Base RI'!A282</f>
        <v>5888</v>
      </c>
      <c r="B280" s="62" t="str">
        <f>'A) Base RI'!B282</f>
        <v>Saint-Légier-La Chiésaz</v>
      </c>
      <c r="C280" s="13">
        <f>'B) D RI'!U282</f>
        <v>313348.84833333333</v>
      </c>
      <c r="D280" s="42">
        <f>'B) D RI'!AR282</f>
        <v>5071</v>
      </c>
      <c r="E280" s="269">
        <f t="shared" si="40"/>
        <v>61.79231874055084</v>
      </c>
      <c r="F280" s="80">
        <f t="shared" si="38"/>
        <v>1.3599078131017535</v>
      </c>
      <c r="G280" s="361">
        <f t="shared" si="41"/>
        <v>7.2659885185530939</v>
      </c>
      <c r="H280" s="361">
        <f t="shared" si="42"/>
        <v>0</v>
      </c>
      <c r="I280" s="361">
        <f t="shared" si="43"/>
        <v>0</v>
      </c>
      <c r="J280" s="361">
        <f t="shared" si="44"/>
        <v>0</v>
      </c>
      <c r="K280" s="362">
        <f t="shared" si="45"/>
        <v>2.6157558666791139</v>
      </c>
      <c r="L280" s="74">
        <f>K280*D280*'B) D RI'!S282</f>
        <v>875456.86799536587</v>
      </c>
      <c r="M280" s="19">
        <f>(('B) D RI'!S282*C280)-(L280*$M$4))/'B) D RI'!S282</f>
        <v>304726.92463337898</v>
      </c>
      <c r="N280" s="349">
        <f t="shared" si="46"/>
        <v>60.092077427209425</v>
      </c>
      <c r="O280" s="80">
        <f t="shared" si="39"/>
        <v>1.3628789585559926</v>
      </c>
    </row>
    <row r="281" spans="1:15" x14ac:dyDescent="0.25">
      <c r="A281" s="61">
        <f>'A) Base RI'!A283</f>
        <v>5889</v>
      </c>
      <c r="B281" s="62" t="str">
        <f>'A) Base RI'!B283</f>
        <v>La Tour-de-Peilz</v>
      </c>
      <c r="C281" s="13">
        <f>'B) D RI'!U283</f>
        <v>590141.45856770838</v>
      </c>
      <c r="D281" s="42">
        <f>'B) D RI'!AR283</f>
        <v>11421</v>
      </c>
      <c r="E281" s="269">
        <f t="shared" si="40"/>
        <v>51.671610066343433</v>
      </c>
      <c r="F281" s="80">
        <f t="shared" si="38"/>
        <v>1.1371741290338453</v>
      </c>
      <c r="G281" s="361">
        <f t="shared" si="41"/>
        <v>0</v>
      </c>
      <c r="H281" s="361">
        <f t="shared" si="42"/>
        <v>0</v>
      </c>
      <c r="I281" s="361">
        <f t="shared" si="43"/>
        <v>0</v>
      </c>
      <c r="J281" s="361">
        <f t="shared" si="44"/>
        <v>0</v>
      </c>
      <c r="K281" s="362">
        <f t="shared" si="45"/>
        <v>0</v>
      </c>
      <c r="L281" s="74">
        <f>K281*D281*'B) D RI'!S283</f>
        <v>0</v>
      </c>
      <c r="M281" s="19">
        <f>(('B) D RI'!S283*C281)-(L281*$M$4))/'B) D RI'!S283</f>
        <v>590141.45856770838</v>
      </c>
      <c r="N281" s="349">
        <f t="shared" si="46"/>
        <v>51.671610066343433</v>
      </c>
      <c r="O281" s="80">
        <f t="shared" si="39"/>
        <v>1.1719040700403984</v>
      </c>
    </row>
    <row r="282" spans="1:15" x14ac:dyDescent="0.25">
      <c r="A282" s="61">
        <f>'A) Base RI'!A284</f>
        <v>5890</v>
      </c>
      <c r="B282" s="62" t="str">
        <f>'A) Base RI'!B284</f>
        <v>Vevey</v>
      </c>
      <c r="C282" s="13">
        <f>'B) D RI'!U284</f>
        <v>922155.6933561645</v>
      </c>
      <c r="D282" s="42">
        <f>'B) D RI'!AR284</f>
        <v>19217</v>
      </c>
      <c r="E282" s="269">
        <f t="shared" si="40"/>
        <v>47.986454355839335</v>
      </c>
      <c r="F282" s="80">
        <f t="shared" si="38"/>
        <v>1.0560722680686843</v>
      </c>
      <c r="G282" s="361">
        <f t="shared" si="41"/>
        <v>0</v>
      </c>
      <c r="H282" s="361">
        <f t="shared" si="42"/>
        <v>0</v>
      </c>
      <c r="I282" s="361">
        <f t="shared" si="43"/>
        <v>0</v>
      </c>
      <c r="J282" s="361">
        <f t="shared" si="44"/>
        <v>0</v>
      </c>
      <c r="K282" s="362">
        <f t="shared" si="45"/>
        <v>0</v>
      </c>
      <c r="L282" s="74">
        <f>K282*D282*'B) D RI'!S284</f>
        <v>0</v>
      </c>
      <c r="M282" s="19">
        <f>(('B) D RI'!S284*C282)-(L282*$M$4))/'B) D RI'!S284</f>
        <v>922155.6933561645</v>
      </c>
      <c r="N282" s="349">
        <f t="shared" si="46"/>
        <v>47.986454355839335</v>
      </c>
      <c r="O282" s="80">
        <f t="shared" si="39"/>
        <v>1.0883253123758421</v>
      </c>
    </row>
    <row r="283" spans="1:15" x14ac:dyDescent="0.25">
      <c r="A283" s="61">
        <f>'A) Base RI'!A285</f>
        <v>5891</v>
      </c>
      <c r="B283" s="62" t="str">
        <f>'A) Base RI'!B285</f>
        <v>Veytaux</v>
      </c>
      <c r="C283" s="13">
        <f>'B) D RI'!U285</f>
        <v>37259.444879227056</v>
      </c>
      <c r="D283" s="42">
        <f>'B) D RI'!AR285</f>
        <v>854</v>
      </c>
      <c r="E283" s="269">
        <f t="shared" si="40"/>
        <v>43.629326556471959</v>
      </c>
      <c r="F283" s="80">
        <f t="shared" si="38"/>
        <v>0.96018183608924612</v>
      </c>
      <c r="G283" s="361">
        <f t="shared" si="41"/>
        <v>0</v>
      </c>
      <c r="H283" s="361">
        <f t="shared" si="42"/>
        <v>0</v>
      </c>
      <c r="I283" s="361">
        <f t="shared" si="43"/>
        <v>0</v>
      </c>
      <c r="J283" s="361">
        <f t="shared" si="44"/>
        <v>0</v>
      </c>
      <c r="K283" s="362">
        <f t="shared" si="45"/>
        <v>0</v>
      </c>
      <c r="L283" s="74">
        <f>K283*D283*'B) D RI'!S285</f>
        <v>0</v>
      </c>
      <c r="M283" s="19">
        <f>(('B) D RI'!S285*C283)-(L283*$M$4))/'B) D RI'!S285</f>
        <v>37259.444879227056</v>
      </c>
      <c r="N283" s="349">
        <f t="shared" si="46"/>
        <v>43.629326556471959</v>
      </c>
      <c r="O283" s="80">
        <f t="shared" si="39"/>
        <v>0.98950633237485508</v>
      </c>
    </row>
    <row r="284" spans="1:15" x14ac:dyDescent="0.25">
      <c r="A284" s="61">
        <f>'A) Base RI'!A286</f>
        <v>5902</v>
      </c>
      <c r="B284" s="62" t="str">
        <f>'A) Base RI'!B286</f>
        <v>Belmont-sur-Yverdon</v>
      </c>
      <c r="C284" s="13">
        <f>'B) D RI'!U286</f>
        <v>8642.2247368421067</v>
      </c>
      <c r="D284" s="42">
        <f>'B) D RI'!AR286</f>
        <v>369</v>
      </c>
      <c r="E284" s="269">
        <f t="shared" si="40"/>
        <v>23.420663243474543</v>
      </c>
      <c r="F284" s="80">
        <f t="shared" si="38"/>
        <v>0.51543530946872773</v>
      </c>
      <c r="G284" s="361">
        <f t="shared" si="41"/>
        <v>0</v>
      </c>
      <c r="H284" s="361">
        <f t="shared" si="42"/>
        <v>0</v>
      </c>
      <c r="I284" s="361">
        <f t="shared" si="43"/>
        <v>0</v>
      </c>
      <c r="J284" s="361">
        <f t="shared" si="44"/>
        <v>0</v>
      </c>
      <c r="K284" s="362">
        <f t="shared" si="45"/>
        <v>0</v>
      </c>
      <c r="L284" s="74">
        <f>K284*D284*'B) D RI'!S286</f>
        <v>0</v>
      </c>
      <c r="M284" s="19">
        <f>(('B) D RI'!S286*C284)-(L284*$M$4))/'B) D RI'!S286</f>
        <v>8642.2247368421067</v>
      </c>
      <c r="N284" s="349">
        <f t="shared" si="46"/>
        <v>23.420663243474543</v>
      </c>
      <c r="O284" s="80">
        <f t="shared" si="39"/>
        <v>0.53117699531393103</v>
      </c>
    </row>
    <row r="285" spans="1:15" x14ac:dyDescent="0.25">
      <c r="A285" s="61">
        <f>'A) Base RI'!A287</f>
        <v>5903</v>
      </c>
      <c r="B285" s="62" t="str">
        <f>'A) Base RI'!B287</f>
        <v>Bioley-Magnoux</v>
      </c>
      <c r="C285" s="13">
        <f>'B) D RI'!U287</f>
        <v>6046.5271621621623</v>
      </c>
      <c r="D285" s="42">
        <f>'B) D RI'!AR287</f>
        <v>201</v>
      </c>
      <c r="E285" s="269">
        <f t="shared" si="40"/>
        <v>30.082224687373941</v>
      </c>
      <c r="F285" s="80">
        <f t="shared" si="38"/>
        <v>0.66204106305847288</v>
      </c>
      <c r="G285" s="361">
        <f t="shared" si="41"/>
        <v>0</v>
      </c>
      <c r="H285" s="361">
        <f t="shared" si="42"/>
        <v>0</v>
      </c>
      <c r="I285" s="361">
        <f t="shared" si="43"/>
        <v>0</v>
      </c>
      <c r="J285" s="361">
        <f t="shared" si="44"/>
        <v>0</v>
      </c>
      <c r="K285" s="362">
        <f t="shared" si="45"/>
        <v>0</v>
      </c>
      <c r="L285" s="74">
        <f>K285*D285*'B) D RI'!S287</f>
        <v>0</v>
      </c>
      <c r="M285" s="19">
        <f>(('B) D RI'!S287*C285)-(L285*$M$4))/'B) D RI'!S287</f>
        <v>6046.5271621621623</v>
      </c>
      <c r="N285" s="349">
        <f t="shared" si="46"/>
        <v>30.082224687373941</v>
      </c>
      <c r="O285" s="80">
        <f t="shared" si="39"/>
        <v>0.68226017152822982</v>
      </c>
    </row>
    <row r="286" spans="1:15" x14ac:dyDescent="0.25">
      <c r="A286" s="61">
        <f>'A) Base RI'!A288</f>
        <v>5904</v>
      </c>
      <c r="B286" s="62" t="str">
        <f>'A) Base RI'!B288</f>
        <v>Chamblon</v>
      </c>
      <c r="C286" s="13">
        <f>'B) D RI'!U288</f>
        <v>20170.434545454544</v>
      </c>
      <c r="D286" s="42">
        <f>'B) D RI'!AR288</f>
        <v>568</v>
      </c>
      <c r="E286" s="269">
        <f t="shared" si="40"/>
        <v>35.511328425096025</v>
      </c>
      <c r="F286" s="80">
        <f t="shared" si="38"/>
        <v>0.7815232372437102</v>
      </c>
      <c r="G286" s="361">
        <f t="shared" si="41"/>
        <v>0</v>
      </c>
      <c r="H286" s="361">
        <f t="shared" si="42"/>
        <v>0</v>
      </c>
      <c r="I286" s="361">
        <f t="shared" si="43"/>
        <v>0</v>
      </c>
      <c r="J286" s="361">
        <f t="shared" si="44"/>
        <v>0</v>
      </c>
      <c r="K286" s="362">
        <f t="shared" si="45"/>
        <v>0</v>
      </c>
      <c r="L286" s="74">
        <f>K286*D286*'B) D RI'!S288</f>
        <v>0</v>
      </c>
      <c r="M286" s="19">
        <f>(('B) D RI'!S288*C286)-(L286*$M$4))/'B) D RI'!S288</f>
        <v>20170.434545454544</v>
      </c>
      <c r="N286" s="349">
        <f t="shared" si="46"/>
        <v>35.511328425096025</v>
      </c>
      <c r="O286" s="80">
        <f t="shared" si="39"/>
        <v>0.8053913988838145</v>
      </c>
    </row>
    <row r="287" spans="1:15" x14ac:dyDescent="0.25">
      <c r="A287" s="61">
        <f>'A) Base RI'!A289</f>
        <v>5905</v>
      </c>
      <c r="B287" s="62" t="str">
        <f>'A) Base RI'!B289</f>
        <v>Champvent</v>
      </c>
      <c r="C287" s="13">
        <f>'B) D RI'!U289</f>
        <v>18220.765633802814</v>
      </c>
      <c r="D287" s="42">
        <f>'B) D RI'!AR289</f>
        <v>617</v>
      </c>
      <c r="E287" s="269">
        <f t="shared" si="40"/>
        <v>29.531224690118012</v>
      </c>
      <c r="F287" s="80">
        <f t="shared" si="38"/>
        <v>0.64991481150229602</v>
      </c>
      <c r="G287" s="361">
        <f t="shared" si="41"/>
        <v>0</v>
      </c>
      <c r="H287" s="361">
        <f t="shared" si="42"/>
        <v>0</v>
      </c>
      <c r="I287" s="361">
        <f t="shared" si="43"/>
        <v>0</v>
      </c>
      <c r="J287" s="361">
        <f t="shared" si="44"/>
        <v>0</v>
      </c>
      <c r="K287" s="362">
        <f t="shared" si="45"/>
        <v>0</v>
      </c>
      <c r="L287" s="74">
        <f>K287*D287*'B) D RI'!S289</f>
        <v>0</v>
      </c>
      <c r="M287" s="19">
        <f>(('B) D RI'!S289*C287)-(L287*$M$4))/'B) D RI'!S289</f>
        <v>18220.765633802814</v>
      </c>
      <c r="N287" s="349">
        <f t="shared" si="46"/>
        <v>29.531224690118012</v>
      </c>
      <c r="O287" s="80">
        <f t="shared" si="39"/>
        <v>0.66976357739177061</v>
      </c>
    </row>
    <row r="288" spans="1:15" x14ac:dyDescent="0.25">
      <c r="A288" s="61">
        <f>'A) Base RI'!A290</f>
        <v>5907</v>
      </c>
      <c r="B288" s="62" t="str">
        <f>'A) Base RI'!B290</f>
        <v>Chavannes-le-Chêne</v>
      </c>
      <c r="C288" s="13">
        <f>'B) D RI'!U290</f>
        <v>6951.74782051282</v>
      </c>
      <c r="D288" s="42">
        <f>'B) D RI'!AR290</f>
        <v>278</v>
      </c>
      <c r="E288" s="269">
        <f t="shared" si="40"/>
        <v>25.006287124146834</v>
      </c>
      <c r="F288" s="80">
        <f t="shared" si="38"/>
        <v>0.55033126980678693</v>
      </c>
      <c r="G288" s="361">
        <f t="shared" si="41"/>
        <v>0</v>
      </c>
      <c r="H288" s="361">
        <f t="shared" si="42"/>
        <v>0</v>
      </c>
      <c r="I288" s="361">
        <f t="shared" si="43"/>
        <v>0</v>
      </c>
      <c r="J288" s="361">
        <f t="shared" si="44"/>
        <v>0</v>
      </c>
      <c r="K288" s="362">
        <f t="shared" si="45"/>
        <v>0</v>
      </c>
      <c r="L288" s="74">
        <f>K288*D288*'B) D RI'!S290</f>
        <v>0</v>
      </c>
      <c r="M288" s="19">
        <f>(('B) D RI'!S290*C288)-(L288*$M$4))/'B) D RI'!S290</f>
        <v>6951.74782051282</v>
      </c>
      <c r="N288" s="349">
        <f t="shared" si="46"/>
        <v>25.006287124146834</v>
      </c>
      <c r="O288" s="80">
        <f t="shared" si="39"/>
        <v>0.56713869801542005</v>
      </c>
    </row>
    <row r="289" spans="1:15" x14ac:dyDescent="0.25">
      <c r="A289" s="61">
        <f>'A) Base RI'!A291</f>
        <v>5908</v>
      </c>
      <c r="B289" s="62" t="str">
        <f>'A) Base RI'!B291</f>
        <v>Chêne-Pâquier</v>
      </c>
      <c r="C289" s="13">
        <f>'B) D RI'!U291</f>
        <v>2899.0017721518989</v>
      </c>
      <c r="D289" s="42">
        <f>'B) D RI'!AR291</f>
        <v>125</v>
      </c>
      <c r="E289" s="269">
        <f t="shared" si="40"/>
        <v>23.192014177215192</v>
      </c>
      <c r="F289" s="80">
        <f t="shared" si="38"/>
        <v>0.51040326571309413</v>
      </c>
      <c r="G289" s="361">
        <f t="shared" si="41"/>
        <v>0</v>
      </c>
      <c r="H289" s="361">
        <f t="shared" si="42"/>
        <v>0</v>
      </c>
      <c r="I289" s="361">
        <f t="shared" si="43"/>
        <v>0</v>
      </c>
      <c r="J289" s="361">
        <f t="shared" si="44"/>
        <v>0</v>
      </c>
      <c r="K289" s="362">
        <f t="shared" si="45"/>
        <v>0</v>
      </c>
      <c r="L289" s="74">
        <f>K289*D289*'B) D RI'!S291</f>
        <v>0</v>
      </c>
      <c r="M289" s="19">
        <f>(('B) D RI'!S291*C289)-(L289*$M$4))/'B) D RI'!S291</f>
        <v>2899.0017721518989</v>
      </c>
      <c r="N289" s="349">
        <f t="shared" si="46"/>
        <v>23.192014177215192</v>
      </c>
      <c r="O289" s="80">
        <f t="shared" si="39"/>
        <v>0.5259912700962297</v>
      </c>
    </row>
    <row r="290" spans="1:15" x14ac:dyDescent="0.25">
      <c r="A290" s="61">
        <f>'A) Base RI'!A292</f>
        <v>5909</v>
      </c>
      <c r="B290" s="62" t="str">
        <f>'A) Base RI'!B292</f>
        <v>Cheseaux-Noréaz</v>
      </c>
      <c r="C290" s="13">
        <f>'B) D RI'!U292</f>
        <v>22661.846714285719</v>
      </c>
      <c r="D290" s="42">
        <f>'B) D RI'!AR292</f>
        <v>664</v>
      </c>
      <c r="E290" s="269">
        <f t="shared" si="40"/>
        <v>34.12928722030982</v>
      </c>
      <c r="F290" s="80">
        <f t="shared" si="38"/>
        <v>0.75110766665622963</v>
      </c>
      <c r="G290" s="361">
        <f t="shared" si="41"/>
        <v>0</v>
      </c>
      <c r="H290" s="361">
        <f t="shared" si="42"/>
        <v>0</v>
      </c>
      <c r="I290" s="361">
        <f t="shared" si="43"/>
        <v>0</v>
      </c>
      <c r="J290" s="361">
        <f t="shared" si="44"/>
        <v>0</v>
      </c>
      <c r="K290" s="362">
        <f t="shared" si="45"/>
        <v>0</v>
      </c>
      <c r="L290" s="74">
        <f>K290*D290*'B) D RI'!S292</f>
        <v>0</v>
      </c>
      <c r="M290" s="19">
        <f>(('B) D RI'!S292*C290)-(L290*$M$4))/'B) D RI'!S292</f>
        <v>22661.846714285719</v>
      </c>
      <c r="N290" s="349">
        <f t="shared" si="46"/>
        <v>34.12928722030982</v>
      </c>
      <c r="O290" s="80">
        <f t="shared" si="39"/>
        <v>0.77404691956968064</v>
      </c>
    </row>
    <row r="291" spans="1:15" x14ac:dyDescent="0.25">
      <c r="A291" s="61">
        <f>'A) Base RI'!A293</f>
        <v>5910</v>
      </c>
      <c r="B291" s="62" t="str">
        <f>'A) Base RI'!B293</f>
        <v>Cronay</v>
      </c>
      <c r="C291" s="13">
        <f>'B) D RI'!U293</f>
        <v>10409.753209876544</v>
      </c>
      <c r="D291" s="42">
        <f>'B) D RI'!AR293</f>
        <v>364</v>
      </c>
      <c r="E291" s="269">
        <f t="shared" si="40"/>
        <v>28.598223104056441</v>
      </c>
      <c r="F291" s="80">
        <f t="shared" si="38"/>
        <v>0.62938157739841349</v>
      </c>
      <c r="G291" s="361">
        <f t="shared" si="41"/>
        <v>0</v>
      </c>
      <c r="H291" s="361">
        <f t="shared" si="42"/>
        <v>0</v>
      </c>
      <c r="I291" s="361">
        <f t="shared" si="43"/>
        <v>0</v>
      </c>
      <c r="J291" s="361">
        <f t="shared" si="44"/>
        <v>0</v>
      </c>
      <c r="K291" s="362">
        <f t="shared" si="45"/>
        <v>0</v>
      </c>
      <c r="L291" s="74">
        <f>K291*D291*'B) D RI'!S293</f>
        <v>0</v>
      </c>
      <c r="M291" s="19">
        <f>(('B) D RI'!S293*C291)-(L291*$M$4))/'B) D RI'!S293</f>
        <v>10409.753209876544</v>
      </c>
      <c r="N291" s="349">
        <f t="shared" si="46"/>
        <v>28.598223104056441</v>
      </c>
      <c r="O291" s="80">
        <f t="shared" si="39"/>
        <v>0.64860324670619973</v>
      </c>
    </row>
    <row r="292" spans="1:15" x14ac:dyDescent="0.25">
      <c r="A292" s="61">
        <f>'A) Base RI'!A294</f>
        <v>5911</v>
      </c>
      <c r="B292" s="62" t="str">
        <f>'A) Base RI'!B294</f>
        <v>Cuarny</v>
      </c>
      <c r="C292" s="13">
        <f>'B) D RI'!U294</f>
        <v>6783.6280246913584</v>
      </c>
      <c r="D292" s="42">
        <f>'B) D RI'!AR294</f>
        <v>216</v>
      </c>
      <c r="E292" s="269">
        <f t="shared" si="40"/>
        <v>31.40568529949703</v>
      </c>
      <c r="F292" s="80">
        <f t="shared" si="38"/>
        <v>0.69116740858881986</v>
      </c>
      <c r="G292" s="361">
        <f t="shared" si="41"/>
        <v>0</v>
      </c>
      <c r="H292" s="361">
        <f t="shared" si="42"/>
        <v>0</v>
      </c>
      <c r="I292" s="361">
        <f t="shared" si="43"/>
        <v>0</v>
      </c>
      <c r="J292" s="361">
        <f t="shared" si="44"/>
        <v>0</v>
      </c>
      <c r="K292" s="362">
        <f t="shared" si="45"/>
        <v>0</v>
      </c>
      <c r="L292" s="74">
        <f>K292*D292*'B) D RI'!S294</f>
        <v>0</v>
      </c>
      <c r="M292" s="19">
        <f>(('B) D RI'!S294*C292)-(L292*$M$4))/'B) D RI'!S294</f>
        <v>6783.6280246913584</v>
      </c>
      <c r="N292" s="349">
        <f t="shared" si="46"/>
        <v>31.40568529949703</v>
      </c>
      <c r="O292" s="80">
        <f t="shared" si="39"/>
        <v>0.71227605212289002</v>
      </c>
    </row>
    <row r="293" spans="1:15" x14ac:dyDescent="0.25">
      <c r="A293" s="61">
        <f>'A) Base RI'!A295</f>
        <v>5912</v>
      </c>
      <c r="B293" s="62" t="str">
        <f>'A) Base RI'!B295</f>
        <v>Démoret</v>
      </c>
      <c r="C293" s="13">
        <f>'B) D RI'!U295</f>
        <v>3146.6025925925924</v>
      </c>
      <c r="D293" s="42">
        <f>'B) D RI'!AR295</f>
        <v>123</v>
      </c>
      <c r="E293" s="269">
        <f t="shared" si="40"/>
        <v>25.582134899126768</v>
      </c>
      <c r="F293" s="80">
        <f t="shared" si="38"/>
        <v>0.56300436420288003</v>
      </c>
      <c r="G293" s="361">
        <f t="shared" si="41"/>
        <v>0</v>
      </c>
      <c r="H293" s="361">
        <f t="shared" si="42"/>
        <v>0</v>
      </c>
      <c r="I293" s="361">
        <f t="shared" si="43"/>
        <v>0</v>
      </c>
      <c r="J293" s="361">
        <f t="shared" si="44"/>
        <v>0</v>
      </c>
      <c r="K293" s="362">
        <f t="shared" si="45"/>
        <v>0</v>
      </c>
      <c r="L293" s="74">
        <f>K293*D293*'B) D RI'!S295</f>
        <v>0</v>
      </c>
      <c r="M293" s="19">
        <f>(('B) D RI'!S295*C293)-(L293*$M$4))/'B) D RI'!S295</f>
        <v>3146.6025925925924</v>
      </c>
      <c r="N293" s="349">
        <f t="shared" si="46"/>
        <v>25.582134899126768</v>
      </c>
      <c r="O293" s="80">
        <f t="shared" si="39"/>
        <v>0.58019883588138232</v>
      </c>
    </row>
    <row r="294" spans="1:15" x14ac:dyDescent="0.25">
      <c r="A294" s="61">
        <f>'A) Base RI'!A296</f>
        <v>5913</v>
      </c>
      <c r="B294" s="62" t="str">
        <f>'A) Base RI'!B296</f>
        <v>Donneloye</v>
      </c>
      <c r="C294" s="13">
        <f>'B) D RI'!U296</f>
        <v>23116.238767123283</v>
      </c>
      <c r="D294" s="42">
        <f>'B) D RI'!AR296</f>
        <v>765</v>
      </c>
      <c r="E294" s="269">
        <f t="shared" si="40"/>
        <v>30.21730557793893</v>
      </c>
      <c r="F294" s="80">
        <f t="shared" si="38"/>
        <v>0.66501388495970903</v>
      </c>
      <c r="G294" s="361">
        <f t="shared" si="41"/>
        <v>0</v>
      </c>
      <c r="H294" s="361">
        <f t="shared" si="42"/>
        <v>0</v>
      </c>
      <c r="I294" s="361">
        <f t="shared" si="43"/>
        <v>0</v>
      </c>
      <c r="J294" s="361">
        <f t="shared" si="44"/>
        <v>0</v>
      </c>
      <c r="K294" s="362">
        <f t="shared" si="45"/>
        <v>0</v>
      </c>
      <c r="L294" s="74">
        <f>K294*D294*'B) D RI'!S296</f>
        <v>0</v>
      </c>
      <c r="M294" s="19">
        <f>(('B) D RI'!S296*C294)-(L294*$M$4))/'B) D RI'!S296</f>
        <v>23116.238767123283</v>
      </c>
      <c r="N294" s="349">
        <f t="shared" si="46"/>
        <v>30.21730557793893</v>
      </c>
      <c r="O294" s="80">
        <f t="shared" si="39"/>
        <v>0.68532378509154901</v>
      </c>
    </row>
    <row r="295" spans="1:15" x14ac:dyDescent="0.25">
      <c r="A295" s="61">
        <f>'A) Base RI'!A297</f>
        <v>5914</v>
      </c>
      <c r="B295" s="62" t="str">
        <f>'A) Base RI'!B297</f>
        <v>Ependes</v>
      </c>
      <c r="C295" s="13">
        <f>'B) D RI'!U297</f>
        <v>8750.2923999999985</v>
      </c>
      <c r="D295" s="42">
        <f>'B) D RI'!AR297</f>
        <v>345</v>
      </c>
      <c r="E295" s="269">
        <f t="shared" si="40"/>
        <v>25.363166376811591</v>
      </c>
      <c r="F295" s="80">
        <f t="shared" si="38"/>
        <v>0.55818536711086209</v>
      </c>
      <c r="G295" s="361">
        <f t="shared" si="41"/>
        <v>0</v>
      </c>
      <c r="H295" s="361">
        <f t="shared" si="42"/>
        <v>0</v>
      </c>
      <c r="I295" s="361">
        <f t="shared" si="43"/>
        <v>0</v>
      </c>
      <c r="J295" s="361">
        <f t="shared" si="44"/>
        <v>0</v>
      </c>
      <c r="K295" s="362">
        <f t="shared" si="45"/>
        <v>0</v>
      </c>
      <c r="L295" s="74">
        <f>K295*D295*'B) D RI'!S297</f>
        <v>0</v>
      </c>
      <c r="M295" s="19">
        <f>(('B) D RI'!S297*C295)-(L295*$M$4))/'B) D RI'!S297</f>
        <v>8750.2923999999985</v>
      </c>
      <c r="N295" s="349">
        <f t="shared" si="46"/>
        <v>25.363166376811591</v>
      </c>
      <c r="O295" s="80">
        <f t="shared" si="39"/>
        <v>0.57523266389288785</v>
      </c>
    </row>
    <row r="296" spans="1:15" x14ac:dyDescent="0.25">
      <c r="A296" s="61">
        <f>'A) Base RI'!A298</f>
        <v>5919</v>
      </c>
      <c r="B296" s="62" t="str">
        <f>'A) Base RI'!B298</f>
        <v>Mathod</v>
      </c>
      <c r="C296" s="13">
        <f>'B) D RI'!U298</f>
        <v>16260.723851351351</v>
      </c>
      <c r="D296" s="42">
        <f>'B) D RI'!AR298</f>
        <v>581</v>
      </c>
      <c r="E296" s="269">
        <f t="shared" si="40"/>
        <v>27.987476508350003</v>
      </c>
      <c r="F296" s="80">
        <f t="shared" si="38"/>
        <v>0.61594043966066692</v>
      </c>
      <c r="G296" s="361">
        <f t="shared" si="41"/>
        <v>0</v>
      </c>
      <c r="H296" s="361">
        <f t="shared" si="42"/>
        <v>0</v>
      </c>
      <c r="I296" s="361">
        <f t="shared" si="43"/>
        <v>0</v>
      </c>
      <c r="J296" s="361">
        <f t="shared" si="44"/>
        <v>0</v>
      </c>
      <c r="K296" s="362">
        <f t="shared" si="45"/>
        <v>0</v>
      </c>
      <c r="L296" s="74">
        <f>K296*D296*'B) D RI'!S298</f>
        <v>0</v>
      </c>
      <c r="M296" s="19">
        <f>(('B) D RI'!S298*C296)-(L296*$M$4))/'B) D RI'!S298</f>
        <v>16260.723851351351</v>
      </c>
      <c r="N296" s="349">
        <f t="shared" si="46"/>
        <v>27.987476508350003</v>
      </c>
      <c r="O296" s="80">
        <f t="shared" si="39"/>
        <v>0.63475160902057837</v>
      </c>
    </row>
    <row r="297" spans="1:15" x14ac:dyDescent="0.25">
      <c r="A297" s="61">
        <f>'A) Base RI'!A299</f>
        <v>5921</v>
      </c>
      <c r="B297" s="62" t="str">
        <f>'A) Base RI'!B299</f>
        <v>Molondin</v>
      </c>
      <c r="C297" s="13">
        <f>'B) D RI'!U299</f>
        <v>4932.1140740740739</v>
      </c>
      <c r="D297" s="42">
        <f>'B) D RI'!AR299</f>
        <v>224</v>
      </c>
      <c r="E297" s="269">
        <f t="shared" si="40"/>
        <v>22.018366402116403</v>
      </c>
      <c r="F297" s="80">
        <f t="shared" si="38"/>
        <v>0.48457395858047581</v>
      </c>
      <c r="G297" s="361">
        <f t="shared" si="41"/>
        <v>0</v>
      </c>
      <c r="H297" s="361">
        <f t="shared" si="42"/>
        <v>0</v>
      </c>
      <c r="I297" s="361">
        <f t="shared" si="43"/>
        <v>0</v>
      </c>
      <c r="J297" s="361">
        <f t="shared" si="44"/>
        <v>0</v>
      </c>
      <c r="K297" s="362">
        <f t="shared" si="45"/>
        <v>0</v>
      </c>
      <c r="L297" s="74">
        <f>K297*D297*'B) D RI'!S299</f>
        <v>0</v>
      </c>
      <c r="M297" s="19">
        <f>(('B) D RI'!S299*C297)-(L297*$M$4))/'B) D RI'!S299</f>
        <v>4932.1140740740739</v>
      </c>
      <c r="N297" s="349">
        <f t="shared" si="46"/>
        <v>22.018366402116403</v>
      </c>
      <c r="O297" s="80">
        <f t="shared" si="39"/>
        <v>0.49937312131653827</v>
      </c>
    </row>
    <row r="298" spans="1:15" x14ac:dyDescent="0.25">
      <c r="A298" s="61">
        <f>'A) Base RI'!A300</f>
        <v>5922</v>
      </c>
      <c r="B298" s="62" t="str">
        <f>'A) Base RI'!B300</f>
        <v>Montagny-près-Yverdon</v>
      </c>
      <c r="C298" s="13">
        <f>'B) D RI'!U300</f>
        <v>54274.18045081968</v>
      </c>
      <c r="D298" s="42">
        <f>'B) D RI'!AR300</f>
        <v>713</v>
      </c>
      <c r="E298" s="269">
        <f t="shared" si="40"/>
        <v>76.120870197503052</v>
      </c>
      <c r="F298" s="80">
        <f t="shared" si="38"/>
        <v>1.6752465068729678</v>
      </c>
      <c r="G298" s="361">
        <f t="shared" si="41"/>
        <v>21.594539975505306</v>
      </c>
      <c r="H298" s="361">
        <f t="shared" si="42"/>
        <v>7.9629574200058642</v>
      </c>
      <c r="I298" s="361">
        <f t="shared" si="43"/>
        <v>0</v>
      </c>
      <c r="J298" s="361">
        <f t="shared" si="44"/>
        <v>0</v>
      </c>
      <c r="K298" s="362">
        <f t="shared" si="45"/>
        <v>8.5703301331824964</v>
      </c>
      <c r="L298" s="74">
        <f>K298*D298*'B) D RI'!S300</f>
        <v>372749.36848250631</v>
      </c>
      <c r="M298" s="19">
        <f>(('B) D RI'!S300*C298)-(L298*$M$4))/'B) D RI'!S300</f>
        <v>50302.260950596246</v>
      </c>
      <c r="N298" s="349">
        <f t="shared" si="46"/>
        <v>70.550155610934425</v>
      </c>
      <c r="O298" s="80">
        <f t="shared" si="39"/>
        <v>1.6000665432388037</v>
      </c>
    </row>
    <row r="299" spans="1:15" x14ac:dyDescent="0.25">
      <c r="A299" s="61">
        <f>'A) Base RI'!A301</f>
        <v>5923</v>
      </c>
      <c r="B299" s="62" t="str">
        <f>'A) Base RI'!B301</f>
        <v>Oppens</v>
      </c>
      <c r="C299" s="13">
        <f>'B) D RI'!U301</f>
        <v>4902.1274074074072</v>
      </c>
      <c r="D299" s="42">
        <f>'B) D RI'!AR301</f>
        <v>182</v>
      </c>
      <c r="E299" s="269">
        <f t="shared" si="40"/>
        <v>26.934765974765973</v>
      </c>
      <c r="F299" s="80">
        <f t="shared" si="38"/>
        <v>0.59277268501520219</v>
      </c>
      <c r="G299" s="361">
        <f t="shared" si="41"/>
        <v>0</v>
      </c>
      <c r="H299" s="361">
        <f t="shared" si="42"/>
        <v>0</v>
      </c>
      <c r="I299" s="361">
        <f t="shared" si="43"/>
        <v>0</v>
      </c>
      <c r="J299" s="361">
        <f t="shared" si="44"/>
        <v>0</v>
      </c>
      <c r="K299" s="362">
        <f t="shared" si="45"/>
        <v>0</v>
      </c>
      <c r="L299" s="74">
        <f>K299*D299*'B) D RI'!S301</f>
        <v>0</v>
      </c>
      <c r="M299" s="19">
        <f>(('B) D RI'!S301*C299)-(L299*$M$4))/'B) D RI'!S301</f>
        <v>4902.1274074074072</v>
      </c>
      <c r="N299" s="349">
        <f t="shared" si="46"/>
        <v>26.934765974765973</v>
      </c>
      <c r="O299" s="80">
        <f t="shared" si="39"/>
        <v>0.61087629804618537</v>
      </c>
    </row>
    <row r="300" spans="1:15" x14ac:dyDescent="0.25">
      <c r="A300" s="61">
        <f>'A) Base RI'!A302</f>
        <v>5924</v>
      </c>
      <c r="B300" s="62" t="str">
        <f>'A) Base RI'!B302</f>
        <v>Orges</v>
      </c>
      <c r="C300" s="13">
        <f>'B) D RI'!U302</f>
        <v>9002.8555405405405</v>
      </c>
      <c r="D300" s="42">
        <f>'B) D RI'!AR302</f>
        <v>275</v>
      </c>
      <c r="E300" s="269">
        <f t="shared" si="40"/>
        <v>32.737656511056514</v>
      </c>
      <c r="F300" s="80">
        <f t="shared" si="38"/>
        <v>0.7204810529761061</v>
      </c>
      <c r="G300" s="361">
        <f t="shared" si="41"/>
        <v>0</v>
      </c>
      <c r="H300" s="361">
        <f t="shared" si="42"/>
        <v>0</v>
      </c>
      <c r="I300" s="361">
        <f t="shared" si="43"/>
        <v>0</v>
      </c>
      <c r="J300" s="361">
        <f t="shared" si="44"/>
        <v>0</v>
      </c>
      <c r="K300" s="362">
        <f t="shared" si="45"/>
        <v>0</v>
      </c>
      <c r="L300" s="74">
        <f>K300*D300*'B) D RI'!S302</f>
        <v>0</v>
      </c>
      <c r="M300" s="19">
        <f>(('B) D RI'!S302*C300)-(L300*$M$4))/'B) D RI'!S302</f>
        <v>9002.8555405405405</v>
      </c>
      <c r="N300" s="349">
        <f t="shared" si="46"/>
        <v>32.737656511056514</v>
      </c>
      <c r="O300" s="80">
        <f t="shared" si="39"/>
        <v>0.7424849517875034</v>
      </c>
    </row>
    <row r="301" spans="1:15" x14ac:dyDescent="0.25">
      <c r="A301" s="61">
        <f>'A) Base RI'!A303</f>
        <v>5925</v>
      </c>
      <c r="B301" s="62" t="str">
        <f>'A) Base RI'!B303</f>
        <v>Orzens</v>
      </c>
      <c r="C301" s="13">
        <f>'B) D RI'!U303</f>
        <v>5053.7527848101263</v>
      </c>
      <c r="D301" s="42">
        <f>'B) D RI'!AR303</f>
        <v>211</v>
      </c>
      <c r="E301" s="269">
        <f t="shared" si="40"/>
        <v>23.951434999100126</v>
      </c>
      <c r="F301" s="80">
        <f t="shared" si="38"/>
        <v>0.52711638362423252</v>
      </c>
      <c r="G301" s="361">
        <f t="shared" si="41"/>
        <v>0</v>
      </c>
      <c r="H301" s="361">
        <f t="shared" si="42"/>
        <v>0</v>
      </c>
      <c r="I301" s="361">
        <f t="shared" si="43"/>
        <v>0</v>
      </c>
      <c r="J301" s="361">
        <f t="shared" si="44"/>
        <v>0</v>
      </c>
      <c r="K301" s="362">
        <f t="shared" si="45"/>
        <v>0</v>
      </c>
      <c r="L301" s="74">
        <f>K301*D301*'B) D RI'!S303</f>
        <v>0</v>
      </c>
      <c r="M301" s="19">
        <f>(('B) D RI'!S303*C301)-(L301*$M$4))/'B) D RI'!S303</f>
        <v>5053.7527848101263</v>
      </c>
      <c r="N301" s="349">
        <f t="shared" si="46"/>
        <v>23.951434999100126</v>
      </c>
      <c r="O301" s="80">
        <f t="shared" si="39"/>
        <v>0.54321481608014055</v>
      </c>
    </row>
    <row r="302" spans="1:15" x14ac:dyDescent="0.25">
      <c r="A302" s="61">
        <f>'A) Base RI'!A304</f>
        <v>5926</v>
      </c>
      <c r="B302" s="62" t="str">
        <f>'A) Base RI'!B304</f>
        <v>Pomy</v>
      </c>
      <c r="C302" s="13">
        <f>'B) D RI'!U304</f>
        <v>21029.126197183101</v>
      </c>
      <c r="D302" s="42">
        <f>'B) D RI'!AR304</f>
        <v>730</v>
      </c>
      <c r="E302" s="269">
        <f t="shared" si="40"/>
        <v>28.807022187922055</v>
      </c>
      <c r="F302" s="80">
        <f t="shared" si="38"/>
        <v>0.63397676837529782</v>
      </c>
      <c r="G302" s="361">
        <f t="shared" si="41"/>
        <v>0</v>
      </c>
      <c r="H302" s="361">
        <f t="shared" si="42"/>
        <v>0</v>
      </c>
      <c r="I302" s="361">
        <f t="shared" si="43"/>
        <v>0</v>
      </c>
      <c r="J302" s="361">
        <f t="shared" si="44"/>
        <v>0</v>
      </c>
      <c r="K302" s="362">
        <f t="shared" si="45"/>
        <v>0</v>
      </c>
      <c r="L302" s="74">
        <f>K302*D302*'B) D RI'!S304</f>
        <v>0</v>
      </c>
      <c r="M302" s="19">
        <f>(('B) D RI'!S304*C302)-(L302*$M$4))/'B) D RI'!S304</f>
        <v>21029.126197183101</v>
      </c>
      <c r="N302" s="349">
        <f t="shared" si="46"/>
        <v>28.807022187922055</v>
      </c>
      <c r="O302" s="80">
        <f t="shared" si="39"/>
        <v>0.65333877741423552</v>
      </c>
    </row>
    <row r="303" spans="1:15" x14ac:dyDescent="0.25">
      <c r="A303" s="61">
        <f>'A) Base RI'!A305</f>
        <v>5928</v>
      </c>
      <c r="B303" s="62" t="str">
        <f>'A) Base RI'!B305</f>
        <v>Rovray</v>
      </c>
      <c r="C303" s="13">
        <f>'B) D RI'!U305</f>
        <v>4897.1457333333328</v>
      </c>
      <c r="D303" s="42">
        <f>'B) D RI'!AR305</f>
        <v>176</v>
      </c>
      <c r="E303" s="269">
        <f t="shared" si="40"/>
        <v>27.824691666666663</v>
      </c>
      <c r="F303" s="80">
        <f t="shared" si="38"/>
        <v>0.61235791706608378</v>
      </c>
      <c r="G303" s="361">
        <f t="shared" si="41"/>
        <v>0</v>
      </c>
      <c r="H303" s="361">
        <f t="shared" si="42"/>
        <v>0</v>
      </c>
      <c r="I303" s="361">
        <f t="shared" si="43"/>
        <v>0</v>
      </c>
      <c r="J303" s="361">
        <f t="shared" si="44"/>
        <v>0</v>
      </c>
      <c r="K303" s="362">
        <f t="shared" si="45"/>
        <v>0</v>
      </c>
      <c r="L303" s="74">
        <f>K303*D303*'B) D RI'!S305</f>
        <v>0</v>
      </c>
      <c r="M303" s="19">
        <f>(('B) D RI'!S305*C303)-(L303*$M$4))/'B) D RI'!S305</f>
        <v>4897.1457333333328</v>
      </c>
      <c r="N303" s="349">
        <f t="shared" si="46"/>
        <v>27.824691666666663</v>
      </c>
      <c r="O303" s="80">
        <f t="shared" si="39"/>
        <v>0.63105967415993336</v>
      </c>
    </row>
    <row r="304" spans="1:15" x14ac:dyDescent="0.25">
      <c r="A304" s="61">
        <f>'A) Base RI'!A306</f>
        <v>5929</v>
      </c>
      <c r="B304" s="62" t="str">
        <f>'A) Base RI'!B306</f>
        <v>Suchy</v>
      </c>
      <c r="C304" s="13">
        <f>'B) D RI'!U306</f>
        <v>16083.913284313729</v>
      </c>
      <c r="D304" s="42">
        <f>'B) D RI'!AR306</f>
        <v>542</v>
      </c>
      <c r="E304" s="269">
        <f t="shared" si="40"/>
        <v>29.675116760726436</v>
      </c>
      <c r="F304" s="80">
        <f t="shared" si="38"/>
        <v>0.65308154735316115</v>
      </c>
      <c r="G304" s="361">
        <f t="shared" si="41"/>
        <v>0</v>
      </c>
      <c r="H304" s="361">
        <f t="shared" si="42"/>
        <v>0</v>
      </c>
      <c r="I304" s="361">
        <f t="shared" si="43"/>
        <v>0</v>
      </c>
      <c r="J304" s="361">
        <f t="shared" si="44"/>
        <v>0</v>
      </c>
      <c r="K304" s="362">
        <f t="shared" si="45"/>
        <v>0</v>
      </c>
      <c r="L304" s="74">
        <f>K304*D304*'B) D RI'!S306</f>
        <v>0</v>
      </c>
      <c r="M304" s="19">
        <f>(('B) D RI'!S306*C304)-(L304*$M$4))/'B) D RI'!S306</f>
        <v>16083.913284313729</v>
      </c>
      <c r="N304" s="349">
        <f t="shared" si="46"/>
        <v>29.675116760726436</v>
      </c>
      <c r="O304" s="80">
        <f t="shared" si="39"/>
        <v>0.67302702714640461</v>
      </c>
    </row>
    <row r="305" spans="1:15" x14ac:dyDescent="0.25">
      <c r="A305" s="61">
        <f>'A) Base RI'!A307</f>
        <v>5930</v>
      </c>
      <c r="B305" s="62" t="str">
        <f>'A) Base RI'!B307</f>
        <v>Suscévaz</v>
      </c>
      <c r="C305" s="13">
        <f>'B) D RI'!U307</f>
        <v>5208.083787878787</v>
      </c>
      <c r="D305" s="42">
        <f>'B) D RI'!AR307</f>
        <v>199</v>
      </c>
      <c r="E305" s="269">
        <f t="shared" si="40"/>
        <v>26.171275315973805</v>
      </c>
      <c r="F305" s="80">
        <f t="shared" si="38"/>
        <v>0.57596999928850012</v>
      </c>
      <c r="G305" s="361">
        <f t="shared" si="41"/>
        <v>0</v>
      </c>
      <c r="H305" s="361">
        <f t="shared" si="42"/>
        <v>0</v>
      </c>
      <c r="I305" s="361">
        <f t="shared" si="43"/>
        <v>0</v>
      </c>
      <c r="J305" s="361">
        <f t="shared" si="44"/>
        <v>0</v>
      </c>
      <c r="K305" s="362">
        <f t="shared" si="45"/>
        <v>0</v>
      </c>
      <c r="L305" s="74">
        <f>K305*D305*'B) D RI'!S307</f>
        <v>0</v>
      </c>
      <c r="M305" s="19">
        <f>(('B) D RI'!S307*C305)-(L305*$M$4))/'B) D RI'!S307</f>
        <v>5208.083787878787</v>
      </c>
      <c r="N305" s="349">
        <f t="shared" si="46"/>
        <v>26.171275315973805</v>
      </c>
      <c r="O305" s="80">
        <f t="shared" si="39"/>
        <v>0.59356044879497039</v>
      </c>
    </row>
    <row r="306" spans="1:15" x14ac:dyDescent="0.25">
      <c r="A306" s="61">
        <f>'A) Base RI'!A308</f>
        <v>5931</v>
      </c>
      <c r="B306" s="62" t="str">
        <f>'A) Base RI'!B308</f>
        <v>Treycovagnes</v>
      </c>
      <c r="C306" s="13">
        <f>'B) D RI'!U308</f>
        <v>13922.074155844155</v>
      </c>
      <c r="D306" s="42">
        <f>'B) D RI'!AR308</f>
        <v>462</v>
      </c>
      <c r="E306" s="269">
        <f t="shared" si="40"/>
        <v>30.134359644684316</v>
      </c>
      <c r="F306" s="80">
        <f t="shared" si="38"/>
        <v>0.66318843440214736</v>
      </c>
      <c r="G306" s="361">
        <f t="shared" si="41"/>
        <v>0</v>
      </c>
      <c r="H306" s="361">
        <f t="shared" si="42"/>
        <v>0</v>
      </c>
      <c r="I306" s="361">
        <f t="shared" si="43"/>
        <v>0</v>
      </c>
      <c r="J306" s="361">
        <f t="shared" si="44"/>
        <v>0</v>
      </c>
      <c r="K306" s="362">
        <f t="shared" si="45"/>
        <v>0</v>
      </c>
      <c r="L306" s="74">
        <f>K306*D306*'B) D RI'!S308</f>
        <v>0</v>
      </c>
      <c r="M306" s="19">
        <f>(('B) D RI'!S308*C306)-(L306*$M$4))/'B) D RI'!S308</f>
        <v>13922.074155844155</v>
      </c>
      <c r="N306" s="349">
        <f t="shared" si="46"/>
        <v>30.134359644684316</v>
      </c>
      <c r="O306" s="80">
        <f t="shared" si="39"/>
        <v>0.68344258424161275</v>
      </c>
    </row>
    <row r="307" spans="1:15" x14ac:dyDescent="0.25">
      <c r="A307" s="61">
        <f>'A) Base RI'!A309</f>
        <v>5932</v>
      </c>
      <c r="B307" s="62" t="str">
        <f>'A) Base RI'!B309</f>
        <v>Ursins</v>
      </c>
      <c r="C307" s="13">
        <f>'B) D RI'!U309</f>
        <v>5429.3069230769233</v>
      </c>
      <c r="D307" s="42">
        <f>'B) D RI'!AR309</f>
        <v>207</v>
      </c>
      <c r="E307" s="269">
        <f t="shared" si="40"/>
        <v>26.228535860274992</v>
      </c>
      <c r="F307" s="80">
        <f t="shared" si="38"/>
        <v>0.57723017309593716</v>
      </c>
      <c r="G307" s="361">
        <f t="shared" si="41"/>
        <v>0</v>
      </c>
      <c r="H307" s="361">
        <f t="shared" si="42"/>
        <v>0</v>
      </c>
      <c r="I307" s="361">
        <f t="shared" si="43"/>
        <v>0</v>
      </c>
      <c r="J307" s="361">
        <f t="shared" si="44"/>
        <v>0</v>
      </c>
      <c r="K307" s="362">
        <f t="shared" si="45"/>
        <v>0</v>
      </c>
      <c r="L307" s="74">
        <f>K307*D307*'B) D RI'!S309</f>
        <v>0</v>
      </c>
      <c r="M307" s="19">
        <f>(('B) D RI'!S309*C307)-(L307*$M$4))/'B) D RI'!S309</f>
        <v>5429.3069230769233</v>
      </c>
      <c r="N307" s="349">
        <f t="shared" si="46"/>
        <v>26.228535860274992</v>
      </c>
      <c r="O307" s="80">
        <f t="shared" si="39"/>
        <v>0.59485910902315242</v>
      </c>
    </row>
    <row r="308" spans="1:15" x14ac:dyDescent="0.25">
      <c r="A308" s="61">
        <f>'A) Base RI'!A310</f>
        <v>5933</v>
      </c>
      <c r="B308" s="62" t="str">
        <f>'A) Base RI'!B310</f>
        <v>Valeyres-sous-Montagny</v>
      </c>
      <c r="C308" s="13">
        <f>'B) D RI'!U310</f>
        <v>17165.971111111114</v>
      </c>
      <c r="D308" s="42">
        <f>'B) D RI'!AR310</f>
        <v>661</v>
      </c>
      <c r="E308" s="269">
        <f t="shared" si="40"/>
        <v>25.96969910909397</v>
      </c>
      <c r="F308" s="80">
        <f t="shared" si="38"/>
        <v>0.57153376733834016</v>
      </c>
      <c r="G308" s="361">
        <f t="shared" si="41"/>
        <v>0</v>
      </c>
      <c r="H308" s="361">
        <f t="shared" si="42"/>
        <v>0</v>
      </c>
      <c r="I308" s="361">
        <f t="shared" si="43"/>
        <v>0</v>
      </c>
      <c r="J308" s="361">
        <f t="shared" si="44"/>
        <v>0</v>
      </c>
      <c r="K308" s="362">
        <f t="shared" si="45"/>
        <v>0</v>
      </c>
      <c r="L308" s="74">
        <f>K308*D308*'B) D RI'!S310</f>
        <v>0</v>
      </c>
      <c r="M308" s="19">
        <f>(('B) D RI'!S310*C308)-(L308*$M$4))/'B) D RI'!S310</f>
        <v>17165.971111111114</v>
      </c>
      <c r="N308" s="349">
        <f t="shared" si="46"/>
        <v>25.96969910909397</v>
      </c>
      <c r="O308" s="80">
        <f t="shared" si="39"/>
        <v>0.5889887318122311</v>
      </c>
    </row>
    <row r="309" spans="1:15" x14ac:dyDescent="0.25">
      <c r="A309" s="61">
        <f>'A) Base RI'!A311</f>
        <v>5934</v>
      </c>
      <c r="B309" s="62" t="str">
        <f>'A) Base RI'!B311</f>
        <v>Valeyres-sous-Ursins</v>
      </c>
      <c r="C309" s="13">
        <f>'B) D RI'!U311</f>
        <v>6602.430506329114</v>
      </c>
      <c r="D309" s="42">
        <f>'B) D RI'!AR311</f>
        <v>245</v>
      </c>
      <c r="E309" s="269">
        <f t="shared" si="40"/>
        <v>26.948695944200466</v>
      </c>
      <c r="F309" s="80">
        <f t="shared" si="38"/>
        <v>0.59307925182894761</v>
      </c>
      <c r="G309" s="361">
        <f t="shared" si="41"/>
        <v>0</v>
      </c>
      <c r="H309" s="361">
        <f t="shared" si="42"/>
        <v>0</v>
      </c>
      <c r="I309" s="361">
        <f t="shared" si="43"/>
        <v>0</v>
      </c>
      <c r="J309" s="361">
        <f t="shared" si="44"/>
        <v>0</v>
      </c>
      <c r="K309" s="362">
        <f t="shared" si="45"/>
        <v>0</v>
      </c>
      <c r="L309" s="74">
        <f>K309*D309*'B) D RI'!S311</f>
        <v>0</v>
      </c>
      <c r="M309" s="19">
        <f>(('B) D RI'!S311*C309)-(L309*$M$4))/'B) D RI'!S311</f>
        <v>6602.430506329114</v>
      </c>
      <c r="N309" s="349">
        <f t="shared" si="46"/>
        <v>26.948695944200466</v>
      </c>
      <c r="O309" s="80">
        <f t="shared" si="39"/>
        <v>0.61119222758379532</v>
      </c>
    </row>
    <row r="310" spans="1:15" x14ac:dyDescent="0.25">
      <c r="A310" s="61">
        <f>'A) Base RI'!A312</f>
        <v>5935</v>
      </c>
      <c r="B310" s="62" t="str">
        <f>'A) Base RI'!B312</f>
        <v>Villars-Epeney</v>
      </c>
      <c r="C310" s="13">
        <f>'B) D RI'!U312</f>
        <v>6478.5808333333343</v>
      </c>
      <c r="D310" s="42">
        <f>'B) D RI'!AR312</f>
        <v>90</v>
      </c>
      <c r="E310" s="269">
        <f t="shared" si="40"/>
        <v>71.984231481481487</v>
      </c>
      <c r="F310" s="80">
        <f t="shared" si="38"/>
        <v>1.584208536061148</v>
      </c>
      <c r="G310" s="361">
        <f t="shared" si="41"/>
        <v>17.457901259483741</v>
      </c>
      <c r="H310" s="361">
        <f t="shared" si="42"/>
        <v>3.826318703984299</v>
      </c>
      <c r="I310" s="361">
        <f t="shared" si="43"/>
        <v>0</v>
      </c>
      <c r="J310" s="361">
        <f t="shared" si="44"/>
        <v>0</v>
      </c>
      <c r="K310" s="362">
        <f t="shared" si="45"/>
        <v>6.6674763238125756</v>
      </c>
      <c r="L310" s="74">
        <f>K310*D310*'B) D RI'!S312</f>
        <v>36004.372148587907</v>
      </c>
      <c r="M310" s="19">
        <f>(('B) D RI'!S312*C310)-(L310*$M$4))/'B) D RI'!S312</f>
        <v>6088.5334683902975</v>
      </c>
      <c r="N310" s="349">
        <f t="shared" si="46"/>
        <v>67.650371871003301</v>
      </c>
      <c r="O310" s="80">
        <f t="shared" si="39"/>
        <v>1.5342998995693096</v>
      </c>
    </row>
    <row r="311" spans="1:15" x14ac:dyDescent="0.25">
      <c r="A311" s="61">
        <f>'A) Base RI'!A313</f>
        <v>5937</v>
      </c>
      <c r="B311" s="62" t="str">
        <f>'A) Base RI'!B313</f>
        <v>Vugelles-La Mothe</v>
      </c>
      <c r="C311" s="13">
        <f>'B) D RI'!U313</f>
        <v>2128.9780612244899</v>
      </c>
      <c r="D311" s="42">
        <f>'B) D RI'!AR313</f>
        <v>135</v>
      </c>
      <c r="E311" s="269">
        <f t="shared" si="40"/>
        <v>15.770207860922147</v>
      </c>
      <c r="F311" s="80">
        <f t="shared" si="38"/>
        <v>0.34706625874249464</v>
      </c>
      <c r="G311" s="361">
        <f t="shared" si="41"/>
        <v>0</v>
      </c>
      <c r="H311" s="361">
        <f t="shared" si="42"/>
        <v>0</v>
      </c>
      <c r="I311" s="361">
        <f t="shared" si="43"/>
        <v>0</v>
      </c>
      <c r="J311" s="361">
        <f t="shared" si="44"/>
        <v>0</v>
      </c>
      <c r="K311" s="362">
        <f t="shared" si="45"/>
        <v>0</v>
      </c>
      <c r="L311" s="74">
        <f>K311*D311*'B) D RI'!S313</f>
        <v>0</v>
      </c>
      <c r="M311" s="19">
        <f>(('B) D RI'!S313*C311)-(L311*$M$4))/'B) D RI'!S313</f>
        <v>2128.9780612244899</v>
      </c>
      <c r="N311" s="349">
        <f t="shared" si="46"/>
        <v>15.770207860922147</v>
      </c>
      <c r="O311" s="80">
        <f t="shared" si="39"/>
        <v>0.35766585856080291</v>
      </c>
    </row>
    <row r="312" spans="1:15" x14ac:dyDescent="0.25">
      <c r="A312" s="61">
        <f>'A) Base RI'!A314</f>
        <v>5938</v>
      </c>
      <c r="B312" s="62" t="str">
        <f>'A) Base RI'!B314</f>
        <v>Yverdon-les-Bains</v>
      </c>
      <c r="C312" s="13">
        <f>'B) D RI'!U314</f>
        <v>771340.02758169943</v>
      </c>
      <c r="D312" s="42">
        <f>'B) D RI'!AR314</f>
        <v>29308</v>
      </c>
      <c r="E312" s="269">
        <f t="shared" si="40"/>
        <v>26.318412296359337</v>
      </c>
      <c r="F312" s="80">
        <f t="shared" si="38"/>
        <v>0.57920814819277766</v>
      </c>
      <c r="G312" s="361">
        <f t="shared" si="41"/>
        <v>0</v>
      </c>
      <c r="H312" s="361">
        <f t="shared" si="42"/>
        <v>0</v>
      </c>
      <c r="I312" s="361">
        <f t="shared" si="43"/>
        <v>0</v>
      </c>
      <c r="J312" s="361">
        <f t="shared" si="44"/>
        <v>0</v>
      </c>
      <c r="K312" s="362">
        <f t="shared" si="45"/>
        <v>0</v>
      </c>
      <c r="L312" s="74">
        <f>K312*D312*'B) D RI'!S314</f>
        <v>0</v>
      </c>
      <c r="M312" s="19">
        <f>(('B) D RI'!S314*C312)-(L312*$M$4))/'B) D RI'!S314</f>
        <v>771340.02758169943</v>
      </c>
      <c r="N312" s="349">
        <f t="shared" si="46"/>
        <v>26.318412296359337</v>
      </c>
      <c r="O312" s="80">
        <f t="shared" si="39"/>
        <v>0.59689749259805436</v>
      </c>
    </row>
    <row r="313" spans="1:15" x14ac:dyDescent="0.25">
      <c r="A313" s="63">
        <f>'A) Base RI'!A315</f>
        <v>5939</v>
      </c>
      <c r="B313" s="66" t="str">
        <f>'A) Base RI'!B315</f>
        <v>Yvonand</v>
      </c>
      <c r="C313" s="13">
        <f>'B) D RI'!U315</f>
        <v>88221.551917808203</v>
      </c>
      <c r="D313" s="42">
        <f>'B) D RI'!AR315</f>
        <v>3152</v>
      </c>
      <c r="E313" s="269">
        <f t="shared" si="40"/>
        <v>27.989071039913771</v>
      </c>
      <c r="F313" s="80">
        <f t="shared" si="38"/>
        <v>0.6159755316587664</v>
      </c>
      <c r="G313" s="361">
        <f t="shared" si="41"/>
        <v>0</v>
      </c>
      <c r="H313" s="361">
        <f t="shared" si="42"/>
        <v>0</v>
      </c>
      <c r="I313" s="361">
        <f t="shared" si="43"/>
        <v>0</v>
      </c>
      <c r="J313" s="361">
        <f t="shared" si="44"/>
        <v>0</v>
      </c>
      <c r="K313" s="362">
        <f t="shared" si="45"/>
        <v>0</v>
      </c>
      <c r="L313" s="74">
        <f>K313*D313*'B) D RI'!S315</f>
        <v>0</v>
      </c>
      <c r="M313" s="19">
        <f>(('B) D RI'!S315*C313)-(L313*$M$4))/'B) D RI'!S315</f>
        <v>88221.551917808203</v>
      </c>
      <c r="N313" s="349">
        <f t="shared" si="46"/>
        <v>27.989071039913771</v>
      </c>
      <c r="O313" s="80">
        <f t="shared" si="39"/>
        <v>0.63478777274814535</v>
      </c>
    </row>
    <row r="314" spans="1:15" x14ac:dyDescent="0.25">
      <c r="A314" s="76"/>
      <c r="B314" s="75">
        <f>COUNTA(B5:B313)</f>
        <v>309</v>
      </c>
      <c r="C314" s="363">
        <f>SUM(C5:C313)</f>
        <v>34873950.283385321</v>
      </c>
      <c r="D314" s="363">
        <f>SUM(D5:D313)</f>
        <v>767496</v>
      </c>
      <c r="E314" s="81">
        <f>C314/D314</f>
        <v>45.438608518331456</v>
      </c>
      <c r="F314" s="82">
        <v>1</v>
      </c>
      <c r="G314" s="40"/>
      <c r="H314" s="40"/>
      <c r="I314" s="40"/>
      <c r="J314" s="40"/>
      <c r="K314" s="40"/>
      <c r="L314" s="47">
        <f>SUM(L5:L313)</f>
        <v>90267046.246533066</v>
      </c>
      <c r="M314" s="15">
        <f>SUM(M5:M313)</f>
        <v>33840443.986265205</v>
      </c>
      <c r="N314" s="130">
        <f t="shared" ref="N314" si="47">M314/D314</f>
        <v>44.092013490969599</v>
      </c>
      <c r="O314" s="82">
        <v>1</v>
      </c>
    </row>
    <row r="315" spans="1:15" x14ac:dyDescent="0.25">
      <c r="L315" s="18"/>
      <c r="M315" s="269"/>
    </row>
    <row r="317" spans="1:15" x14ac:dyDescent="0.25">
      <c r="F317" s="20"/>
    </row>
    <row r="318" spans="1:15" x14ac:dyDescent="0.25">
      <c r="F318" s="20"/>
    </row>
    <row r="319" spans="1:15" x14ac:dyDescent="0.25">
      <c r="F319" s="20"/>
      <c r="G319" s="24"/>
    </row>
    <row r="320" spans="1:15" x14ac:dyDescent="0.25">
      <c r="E320" s="38"/>
    </row>
  </sheetData>
  <sheetProtection password="CBF3" sheet="1" objects="1" scenarios="1"/>
  <mergeCells count="8">
    <mergeCell ref="A3:A4"/>
    <mergeCell ref="B3:B4"/>
    <mergeCell ref="F3:F4"/>
    <mergeCell ref="C3:E3"/>
    <mergeCell ref="O3:O4"/>
    <mergeCell ref="N3:N4"/>
    <mergeCell ref="L3:L4"/>
    <mergeCell ref="K3:K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00B050"/>
  </sheetPr>
  <dimension ref="A1:AG332"/>
  <sheetViews>
    <sheetView workbookViewId="0">
      <selection activeCell="F19" sqref="F19"/>
    </sheetView>
  </sheetViews>
  <sheetFormatPr baseColWidth="10" defaultColWidth="10.75" defaultRowHeight="15" x14ac:dyDescent="0.25"/>
  <cols>
    <col min="1" max="1" width="7.25" style="18" customWidth="1"/>
    <col min="2" max="2" width="18" style="18" customWidth="1"/>
    <col min="3" max="3" width="10.375" style="18" customWidth="1"/>
    <col min="4" max="4" width="12.75" style="18" customWidth="1"/>
    <col min="5" max="5" width="9.875" style="18" bestFit="1" customWidth="1"/>
    <col min="6" max="6" width="15.125" style="18" customWidth="1"/>
    <col min="7" max="7" width="12.125" style="18" customWidth="1"/>
    <col min="8" max="8" width="9.25" style="18" customWidth="1"/>
    <col min="9" max="10" width="12.125" style="18" customWidth="1"/>
    <col min="11" max="12" width="9.25" style="18" customWidth="1"/>
    <col min="13" max="13" width="12.125" style="18" customWidth="1"/>
    <col min="14" max="14" width="14" style="18" customWidth="1"/>
    <col min="15" max="20" width="12.125" style="18" customWidth="1"/>
    <col min="21" max="23" width="8.125" style="18" customWidth="1"/>
    <col min="24" max="31" width="11" style="18" customWidth="1"/>
    <col min="32" max="32" width="9.25" style="18" customWidth="1"/>
    <col min="33" max="33" width="11" style="18" customWidth="1"/>
    <col min="34" max="16384" width="10.75" style="18"/>
  </cols>
  <sheetData>
    <row r="1" spans="1:33" s="54" customFormat="1" ht="20.25" customHeight="1" x14ac:dyDescent="0.25">
      <c r="A1" s="65" t="s">
        <v>116</v>
      </c>
      <c r="B1" s="53"/>
      <c r="C1" s="92"/>
      <c r="D1" s="92"/>
      <c r="E1" s="92"/>
      <c r="F1" s="92"/>
      <c r="G1" s="92"/>
      <c r="H1" s="92"/>
      <c r="I1" s="92"/>
      <c r="J1" s="92"/>
      <c r="K1" s="18"/>
      <c r="L1" s="18"/>
      <c r="M1" s="92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</row>
    <row r="2" spans="1:33" s="68" customFormat="1" x14ac:dyDescent="0.25">
      <c r="A2" s="37"/>
      <c r="D2" s="18"/>
      <c r="E2" s="18"/>
      <c r="F2" s="18"/>
      <c r="G2" s="18"/>
      <c r="K2" s="18"/>
      <c r="L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</row>
    <row r="3" spans="1:33" s="68" customFormat="1" ht="30" x14ac:dyDescent="0.25">
      <c r="A3" s="433" t="s">
        <v>115</v>
      </c>
      <c r="B3" s="434"/>
      <c r="C3" s="435"/>
      <c r="D3" s="83" t="s">
        <v>2</v>
      </c>
      <c r="E3" s="88" t="s">
        <v>1</v>
      </c>
      <c r="F3" s="18"/>
      <c r="G3" s="18"/>
      <c r="K3" s="18"/>
      <c r="L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</row>
    <row r="4" spans="1:33" s="68" customFormat="1" x14ac:dyDescent="0.25">
      <c r="A4" s="106" t="s">
        <v>441</v>
      </c>
      <c r="B4" s="107"/>
      <c r="C4" s="119">
        <f>+Paramètres!B57</f>
        <v>735072900</v>
      </c>
      <c r="D4" s="117">
        <f>C4/$E$4</f>
        <v>21.721727418775696</v>
      </c>
      <c r="E4" s="122">
        <f>'D) Ecrêtage'!M314</f>
        <v>33840443.986265205</v>
      </c>
      <c r="F4" s="18"/>
      <c r="G4" s="18"/>
      <c r="K4" s="18"/>
      <c r="L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</row>
    <row r="5" spans="1:33" s="68" customFormat="1" x14ac:dyDescent="0.25">
      <c r="A5" s="108" t="s">
        <v>410</v>
      </c>
      <c r="B5" s="109"/>
      <c r="C5" s="13">
        <f>-'C) Prél. conj.'!H314</f>
        <v>-119451072.64999995</v>
      </c>
      <c r="D5" s="43">
        <f>C5/$E$4</f>
        <v>-3.5298317214301758</v>
      </c>
      <c r="E5" s="99"/>
      <c r="F5" s="18"/>
      <c r="G5" s="18"/>
      <c r="K5" s="18"/>
      <c r="L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</row>
    <row r="6" spans="1:33" s="68" customFormat="1" x14ac:dyDescent="0.25">
      <c r="A6" s="110" t="s">
        <v>411</v>
      </c>
      <c r="B6" s="111"/>
      <c r="C6" s="120">
        <f>-'D) Ecrêtage'!L314</f>
        <v>-90267046.246533066</v>
      </c>
      <c r="D6" s="43">
        <f>C6/$E$4</f>
        <v>-2.6674309085060965</v>
      </c>
      <c r="E6" s="99"/>
      <c r="F6" s="18"/>
      <c r="G6" s="18"/>
      <c r="K6" s="18"/>
      <c r="L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</row>
    <row r="7" spans="1:33" s="68" customFormat="1" x14ac:dyDescent="0.25">
      <c r="A7" s="102" t="s">
        <v>323</v>
      </c>
      <c r="B7" s="104"/>
      <c r="C7" s="121">
        <f>C4+C6+C5</f>
        <v>525354781.10346699</v>
      </c>
      <c r="D7" s="26">
        <f>C7/$E$4</f>
        <v>15.524464788839424</v>
      </c>
      <c r="E7" s="99"/>
      <c r="F7" s="18"/>
      <c r="G7" s="18"/>
      <c r="K7" s="18"/>
      <c r="L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</row>
    <row r="8" spans="1:33" s="68" customFormat="1" x14ac:dyDescent="0.25">
      <c r="A8" s="37"/>
      <c r="D8" s="18"/>
      <c r="E8" s="18"/>
      <c r="F8" s="18"/>
      <c r="G8" s="18"/>
      <c r="K8" s="18"/>
      <c r="L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</row>
    <row r="9" spans="1:33" ht="38.25" customHeight="1" x14ac:dyDescent="0.25">
      <c r="A9" s="424" t="s">
        <v>50</v>
      </c>
      <c r="B9" s="424" t="s">
        <v>119</v>
      </c>
      <c r="C9" s="424" t="s">
        <v>338</v>
      </c>
      <c r="D9" s="424" t="s">
        <v>484</v>
      </c>
      <c r="E9" s="438" t="s">
        <v>526</v>
      </c>
      <c r="F9" s="83" t="s">
        <v>485</v>
      </c>
      <c r="G9" s="436" t="s">
        <v>440</v>
      </c>
    </row>
    <row r="10" spans="1:33" x14ac:dyDescent="0.25">
      <c r="A10" s="425"/>
      <c r="B10" s="426"/>
      <c r="C10" s="425"/>
      <c r="D10" s="425"/>
      <c r="E10" s="439"/>
      <c r="F10" s="365">
        <f>D7</f>
        <v>15.524464788839424</v>
      </c>
      <c r="G10" s="437"/>
    </row>
    <row r="11" spans="1:33" x14ac:dyDescent="0.25">
      <c r="A11" s="57">
        <f>'A) Base RI'!A7</f>
        <v>5401</v>
      </c>
      <c r="B11" s="113" t="str">
        <f>'A) Base RI'!B7</f>
        <v>Aigle</v>
      </c>
      <c r="C11" s="93">
        <f>'A) Base RI'!AN7</f>
        <v>9757</v>
      </c>
      <c r="D11" s="69">
        <f>'C) Prél. conj.'!H5</f>
        <v>852944.81499999994</v>
      </c>
      <c r="E11" s="94">
        <f>'D) Ecrêtage'!L5</f>
        <v>0</v>
      </c>
      <c r="F11" s="69">
        <f>$F$10*'D) Ecrêtage'!M5</f>
        <v>4049485.9452059958</v>
      </c>
      <c r="G11" s="151">
        <f>D11+F11+E11</f>
        <v>4902430.7602059953</v>
      </c>
    </row>
    <row r="12" spans="1:33" x14ac:dyDescent="0.25">
      <c r="A12" s="61">
        <f>'A) Base RI'!A8</f>
        <v>5402</v>
      </c>
      <c r="B12" s="114" t="str">
        <f>'A) Base RI'!B8</f>
        <v>Bex</v>
      </c>
      <c r="C12" s="52">
        <f>'A) Base RI'!AN8</f>
        <v>7236</v>
      </c>
      <c r="D12" s="14">
        <f>'C) Prél. conj.'!H6</f>
        <v>919051.4</v>
      </c>
      <c r="E12" s="19">
        <f>'D) Ecrêtage'!L6</f>
        <v>0</v>
      </c>
      <c r="F12" s="14">
        <f>$F$10*'D) Ecrêtage'!M6</f>
        <v>2730612.1208985299</v>
      </c>
      <c r="G12" s="152">
        <f t="shared" ref="G12:G75" si="0">D12+F12+E12</f>
        <v>3649663.5208985298</v>
      </c>
    </row>
    <row r="13" spans="1:33" x14ac:dyDescent="0.25">
      <c r="A13" s="61">
        <f>'A) Base RI'!A9</f>
        <v>5403</v>
      </c>
      <c r="B13" s="114" t="str">
        <f>'A) Base RI'!B9</f>
        <v>Chessel</v>
      </c>
      <c r="C13" s="52">
        <f>'A) Base RI'!AN9</f>
        <v>396</v>
      </c>
      <c r="D13" s="14">
        <f>'C) Prél. conj.'!H7</f>
        <v>15229.285</v>
      </c>
      <c r="E13" s="19">
        <f>'D) Ecrêtage'!L7</f>
        <v>0</v>
      </c>
      <c r="F13" s="14">
        <f>$F$10*'D) Ecrêtage'!M7</f>
        <v>128613.64598801051</v>
      </c>
      <c r="G13" s="152">
        <f t="shared" si="0"/>
        <v>143842.93098801051</v>
      </c>
    </row>
    <row r="14" spans="1:33" x14ac:dyDescent="0.25">
      <c r="A14" s="61">
        <f>'A) Base RI'!A10</f>
        <v>5404</v>
      </c>
      <c r="B14" s="114" t="str">
        <f>'A) Base RI'!B10</f>
        <v>Corbeyrier</v>
      </c>
      <c r="C14" s="52">
        <f>'A) Base RI'!AN10</f>
        <v>433</v>
      </c>
      <c r="D14" s="14">
        <f>'C) Prél. conj.'!H8</f>
        <v>47581.440000000002</v>
      </c>
      <c r="E14" s="19">
        <f>'D) Ecrêtage'!L8</f>
        <v>0</v>
      </c>
      <c r="F14" s="14">
        <f>$F$10*'D) Ecrêtage'!M8</f>
        <v>154719.74355607672</v>
      </c>
      <c r="G14" s="152">
        <f t="shared" si="0"/>
        <v>202301.18355607672</v>
      </c>
    </row>
    <row r="15" spans="1:33" x14ac:dyDescent="0.25">
      <c r="A15" s="61">
        <f>'A) Base RI'!A11</f>
        <v>5405</v>
      </c>
      <c r="B15" s="114" t="str">
        <f>'A) Base RI'!B11</f>
        <v>Gryon</v>
      </c>
      <c r="C15" s="52">
        <f>'A) Base RI'!AN11</f>
        <v>1265</v>
      </c>
      <c r="D15" s="14">
        <f>'C) Prél. conj.'!H9</f>
        <v>342353.22499999998</v>
      </c>
      <c r="E15" s="19">
        <f>'D) Ecrêtage'!L9</f>
        <v>86759.985667666697</v>
      </c>
      <c r="F15" s="14">
        <f>$F$10*'D) Ecrêtage'!M9</f>
        <v>1109024.6167106389</v>
      </c>
      <c r="G15" s="152">
        <f t="shared" si="0"/>
        <v>1538137.8273783054</v>
      </c>
    </row>
    <row r="16" spans="1:33" x14ac:dyDescent="0.25">
      <c r="A16" s="61">
        <f>'A) Base RI'!A12</f>
        <v>5406</v>
      </c>
      <c r="B16" s="114" t="str">
        <f>'A) Base RI'!B12</f>
        <v>Lavey-Morcles</v>
      </c>
      <c r="C16" s="52">
        <f>'A) Base RI'!AN12</f>
        <v>907</v>
      </c>
      <c r="D16" s="14">
        <f>'C) Prél. conj.'!H10</f>
        <v>42071.574999999997</v>
      </c>
      <c r="E16" s="19">
        <f>'D) Ecrêtage'!L10</f>
        <v>0</v>
      </c>
      <c r="F16" s="14">
        <f>$F$10*'D) Ecrêtage'!M10</f>
        <v>307872.62940788345</v>
      </c>
      <c r="G16" s="152">
        <f t="shared" si="0"/>
        <v>349944.20440788346</v>
      </c>
    </row>
    <row r="17" spans="1:7" x14ac:dyDescent="0.25">
      <c r="A17" s="61">
        <f>'A) Base RI'!A13</f>
        <v>5407</v>
      </c>
      <c r="B17" s="114" t="str">
        <f>'A) Base RI'!B13</f>
        <v>Leysin</v>
      </c>
      <c r="C17" s="52">
        <f>'A) Base RI'!AN13</f>
        <v>4148</v>
      </c>
      <c r="D17" s="14">
        <f>'C) Prél. conj.'!H11</f>
        <v>392730.85000000003</v>
      </c>
      <c r="E17" s="19">
        <f>'D) Ecrêtage'!L11</f>
        <v>0</v>
      </c>
      <c r="F17" s="14">
        <f>$F$10*'D) Ecrêtage'!M11</f>
        <v>1595900.8669619467</v>
      </c>
      <c r="G17" s="152">
        <f t="shared" si="0"/>
        <v>1988631.7169619468</v>
      </c>
    </row>
    <row r="18" spans="1:7" x14ac:dyDescent="0.25">
      <c r="A18" s="61">
        <f>'A) Base RI'!A14</f>
        <v>5408</v>
      </c>
      <c r="B18" s="114" t="str">
        <f>'A) Base RI'!B14</f>
        <v>Noville</v>
      </c>
      <c r="C18" s="52">
        <f>'A) Base RI'!AN14</f>
        <v>1029</v>
      </c>
      <c r="D18" s="14">
        <f>'C) Prél. conj.'!H12</f>
        <v>142891.69</v>
      </c>
      <c r="E18" s="19">
        <f>'D) Ecrêtage'!L12</f>
        <v>0</v>
      </c>
      <c r="F18" s="14">
        <f>$F$10*'D) Ecrêtage'!M12</f>
        <v>539401.08817890077</v>
      </c>
      <c r="G18" s="152">
        <f t="shared" si="0"/>
        <v>682292.77817890071</v>
      </c>
    </row>
    <row r="19" spans="1:7" x14ac:dyDescent="0.25">
      <c r="A19" s="61">
        <f>'A) Base RI'!A15</f>
        <v>5409</v>
      </c>
      <c r="B19" s="114" t="str">
        <f>'A) Base RI'!B15</f>
        <v>Ollon</v>
      </c>
      <c r="C19" s="52">
        <f>'A) Base RI'!AN15</f>
        <v>7419</v>
      </c>
      <c r="D19" s="14">
        <f>'C) Prél. conj.'!H13</f>
        <v>1656106.54</v>
      </c>
      <c r="E19" s="19">
        <f>'D) Ecrêtage'!L13</f>
        <v>1978822.7097887336</v>
      </c>
      <c r="F19" s="14">
        <f>$F$10*'D) Ecrêtage'!M13</f>
        <v>7241384.8598239012</v>
      </c>
      <c r="G19" s="152">
        <f t="shared" si="0"/>
        <v>10876314.109612634</v>
      </c>
    </row>
    <row r="20" spans="1:7" x14ac:dyDescent="0.25">
      <c r="A20" s="61">
        <f>'A) Base RI'!A16</f>
        <v>5410</v>
      </c>
      <c r="B20" s="114" t="str">
        <f>'A) Base RI'!B16</f>
        <v>Ormont-Dessous</v>
      </c>
      <c r="C20" s="52">
        <f>'A) Base RI'!AN16</f>
        <v>1119</v>
      </c>
      <c r="D20" s="14">
        <f>'C) Prél. conj.'!H14</f>
        <v>163754.90000000002</v>
      </c>
      <c r="E20" s="19">
        <f>'D) Ecrêtage'!L14</f>
        <v>0</v>
      </c>
      <c r="F20" s="14">
        <f>$F$10*'D) Ecrêtage'!M14</f>
        <v>546992.06891676935</v>
      </c>
      <c r="G20" s="152">
        <f t="shared" si="0"/>
        <v>710746.96891676937</v>
      </c>
    </row>
    <row r="21" spans="1:7" x14ac:dyDescent="0.25">
      <c r="A21" s="61">
        <f>'A) Base RI'!A17</f>
        <v>5411</v>
      </c>
      <c r="B21" s="114" t="str">
        <f>'A) Base RI'!B17</f>
        <v>Ormont-Dessus</v>
      </c>
      <c r="C21" s="52">
        <f>'A) Base RI'!AN17</f>
        <v>1481</v>
      </c>
      <c r="D21" s="14">
        <f>'C) Prél. conj.'!H15</f>
        <v>257708.465</v>
      </c>
      <c r="E21" s="19">
        <f>'D) Ecrêtage'!L15</f>
        <v>0</v>
      </c>
      <c r="F21" s="14">
        <f>$F$10*'D) Ecrêtage'!M15</f>
        <v>1114504.647247375</v>
      </c>
      <c r="G21" s="152">
        <f t="shared" si="0"/>
        <v>1372213.1122473751</v>
      </c>
    </row>
    <row r="22" spans="1:7" x14ac:dyDescent="0.25">
      <c r="A22" s="61">
        <f>'A) Base RI'!A18</f>
        <v>5412</v>
      </c>
      <c r="B22" s="114" t="str">
        <f>'A) Base RI'!B18</f>
        <v>Rennaz</v>
      </c>
      <c r="C22" s="52">
        <f>'A) Base RI'!AN18</f>
        <v>843</v>
      </c>
      <c r="D22" s="14">
        <f>'C) Prél. conj.'!H16</f>
        <v>92034.03</v>
      </c>
      <c r="E22" s="19">
        <f>'D) Ecrêtage'!L16</f>
        <v>0</v>
      </c>
      <c r="F22" s="14">
        <f>$F$10*'D) Ecrêtage'!M16</f>
        <v>411425.32487313583</v>
      </c>
      <c r="G22" s="152">
        <f t="shared" si="0"/>
        <v>503459.3548731358</v>
      </c>
    </row>
    <row r="23" spans="1:7" x14ac:dyDescent="0.25">
      <c r="A23" s="61">
        <f>'A) Base RI'!A19</f>
        <v>5413</v>
      </c>
      <c r="B23" s="114" t="str">
        <f>'A) Base RI'!B19</f>
        <v>Roche</v>
      </c>
      <c r="C23" s="52">
        <f>'A) Base RI'!AN19</f>
        <v>1507</v>
      </c>
      <c r="D23" s="14">
        <f>'C) Prél. conj.'!H17</f>
        <v>170671.66999999998</v>
      </c>
      <c r="E23" s="19">
        <f>'D) Ecrêtage'!L17</f>
        <v>0</v>
      </c>
      <c r="F23" s="14">
        <f>$F$10*'D) Ecrêtage'!M17</f>
        <v>541201.80749908939</v>
      </c>
      <c r="G23" s="152">
        <f t="shared" si="0"/>
        <v>711873.47749908944</v>
      </c>
    </row>
    <row r="24" spans="1:7" x14ac:dyDescent="0.25">
      <c r="A24" s="61">
        <f>'A) Base RI'!A20</f>
        <v>5414</v>
      </c>
      <c r="B24" s="114" t="str">
        <f>'A) Base RI'!B20</f>
        <v>Villeneuve</v>
      </c>
      <c r="C24" s="52">
        <f>'A) Base RI'!AN20</f>
        <v>5428</v>
      </c>
      <c r="D24" s="14">
        <f>'C) Prél. conj.'!H18</f>
        <v>923904.875</v>
      </c>
      <c r="E24" s="19">
        <f>'D) Ecrêtage'!L18</f>
        <v>0</v>
      </c>
      <c r="F24" s="14">
        <f>$F$10*'D) Ecrêtage'!M18</f>
        <v>2608254.7815365447</v>
      </c>
      <c r="G24" s="152">
        <f t="shared" si="0"/>
        <v>3532159.6565365447</v>
      </c>
    </row>
    <row r="25" spans="1:7" x14ac:dyDescent="0.25">
      <c r="A25" s="61">
        <f>'A) Base RI'!A21</f>
        <v>5415</v>
      </c>
      <c r="B25" s="114" t="str">
        <f>'A) Base RI'!B21</f>
        <v>Yvorne</v>
      </c>
      <c r="C25" s="52">
        <f>'A) Base RI'!AN21</f>
        <v>1032</v>
      </c>
      <c r="D25" s="14">
        <f>'C) Prél. conj.'!H19</f>
        <v>76054.240000000005</v>
      </c>
      <c r="E25" s="19">
        <f>'D) Ecrêtage'!L19</f>
        <v>0</v>
      </c>
      <c r="F25" s="14">
        <f>$F$10*'D) Ecrêtage'!M19</f>
        <v>668420.94800612982</v>
      </c>
      <c r="G25" s="152">
        <f t="shared" si="0"/>
        <v>744475.18800612981</v>
      </c>
    </row>
    <row r="26" spans="1:7" x14ac:dyDescent="0.25">
      <c r="A26" s="61">
        <f>'A) Base RI'!A22</f>
        <v>5421</v>
      </c>
      <c r="B26" s="114" t="str">
        <f>'A) Base RI'!B22</f>
        <v>Apples</v>
      </c>
      <c r="C26" s="52">
        <f>'A) Base RI'!AN22</f>
        <v>1363</v>
      </c>
      <c r="D26" s="14">
        <f>'C) Prél. conj.'!H20</f>
        <v>302853.38500000001</v>
      </c>
      <c r="E26" s="19">
        <f>'D) Ecrêtage'!L20</f>
        <v>0</v>
      </c>
      <c r="F26" s="14">
        <f>$F$10*'D) Ecrêtage'!M20</f>
        <v>890975.29244243097</v>
      </c>
      <c r="G26" s="152">
        <f t="shared" si="0"/>
        <v>1193828.677442431</v>
      </c>
    </row>
    <row r="27" spans="1:7" x14ac:dyDescent="0.25">
      <c r="A27" s="61">
        <f>'A) Base RI'!A23</f>
        <v>5422</v>
      </c>
      <c r="B27" s="114" t="str">
        <f>'A) Base RI'!B23</f>
        <v>Aubonne</v>
      </c>
      <c r="C27" s="52">
        <f>'A) Base RI'!AN23</f>
        <v>3227</v>
      </c>
      <c r="D27" s="14">
        <f>'C) Prél. conj.'!H21</f>
        <v>718772.60000000009</v>
      </c>
      <c r="E27" s="19">
        <f>'D) Ecrêtage'!L21</f>
        <v>1439867.950881765</v>
      </c>
      <c r="F27" s="14">
        <f>$F$10*'D) Ecrêtage'!M21</f>
        <v>3381033.7478116476</v>
      </c>
      <c r="G27" s="152">
        <f t="shared" si="0"/>
        <v>5539674.2986934129</v>
      </c>
    </row>
    <row r="28" spans="1:7" x14ac:dyDescent="0.25">
      <c r="A28" s="61">
        <f>'A) Base RI'!A24</f>
        <v>5423</v>
      </c>
      <c r="B28" s="114" t="str">
        <f>'A) Base RI'!B24</f>
        <v>Ballens</v>
      </c>
      <c r="C28" s="52">
        <f>'A) Base RI'!AN24</f>
        <v>509</v>
      </c>
      <c r="D28" s="14">
        <f>'C) Prél. conj.'!H22</f>
        <v>32756.025000000001</v>
      </c>
      <c r="E28" s="19">
        <f>'D) Ecrêtage'!L22</f>
        <v>0</v>
      </c>
      <c r="F28" s="14">
        <f>$F$10*'D) Ecrêtage'!M22</f>
        <v>290143.05822019168</v>
      </c>
      <c r="G28" s="152">
        <f t="shared" si="0"/>
        <v>322899.08322019171</v>
      </c>
    </row>
    <row r="29" spans="1:7" x14ac:dyDescent="0.25">
      <c r="A29" s="61">
        <f>'A) Base RI'!A25</f>
        <v>5424</v>
      </c>
      <c r="B29" s="114" t="str">
        <f>'A) Base RI'!B25</f>
        <v>Berolle</v>
      </c>
      <c r="C29" s="52">
        <f>'A) Base RI'!AN25</f>
        <v>292</v>
      </c>
      <c r="D29" s="14">
        <f>'C) Prél. conj.'!H23</f>
        <v>25991.55</v>
      </c>
      <c r="E29" s="19">
        <f>'D) Ecrêtage'!L23</f>
        <v>0</v>
      </c>
      <c r="F29" s="14">
        <f>$F$10*'D) Ecrêtage'!M23</f>
        <v>145310.95013519606</v>
      </c>
      <c r="G29" s="152">
        <f t="shared" si="0"/>
        <v>171302.50013519605</v>
      </c>
    </row>
    <row r="30" spans="1:7" x14ac:dyDescent="0.25">
      <c r="A30" s="61">
        <f>'A) Base RI'!A26</f>
        <v>5425</v>
      </c>
      <c r="B30" s="114" t="str">
        <f>'A) Base RI'!B26</f>
        <v>Bière</v>
      </c>
      <c r="C30" s="52">
        <f>'A) Base RI'!AN26</f>
        <v>1550</v>
      </c>
      <c r="D30" s="14">
        <f>'C) Prél. conj.'!H24</f>
        <v>114559.755</v>
      </c>
      <c r="E30" s="19">
        <f>'D) Ecrêtage'!L24</f>
        <v>0</v>
      </c>
      <c r="F30" s="14">
        <f>$F$10*'D) Ecrêtage'!M24</f>
        <v>633202.61676956632</v>
      </c>
      <c r="G30" s="152">
        <f t="shared" si="0"/>
        <v>747762.37176956632</v>
      </c>
    </row>
    <row r="31" spans="1:7" x14ac:dyDescent="0.25">
      <c r="A31" s="61">
        <f>'A) Base RI'!A27</f>
        <v>5426</v>
      </c>
      <c r="B31" s="114" t="str">
        <f>'A) Base RI'!B27</f>
        <v>Bougy-Villars</v>
      </c>
      <c r="C31" s="52">
        <f>'A) Base RI'!AN27</f>
        <v>481</v>
      </c>
      <c r="D31" s="14">
        <f>'C) Prél. conj.'!H25</f>
        <v>123899.59</v>
      </c>
      <c r="E31" s="19">
        <f>'D) Ecrêtage'!L25</f>
        <v>412424.81175799761</v>
      </c>
      <c r="F31" s="14">
        <f>$F$10*'D) Ecrêtage'!M25</f>
        <v>586663.99374392978</v>
      </c>
      <c r="G31" s="152">
        <f t="shared" si="0"/>
        <v>1122988.3955019275</v>
      </c>
    </row>
    <row r="32" spans="1:7" x14ac:dyDescent="0.25">
      <c r="A32" s="61">
        <f>'A) Base RI'!A28</f>
        <v>5427</v>
      </c>
      <c r="B32" s="114" t="str">
        <f>'A) Base RI'!B28</f>
        <v>Féchy</v>
      </c>
      <c r="C32" s="52">
        <f>'A) Base RI'!AN28</f>
        <v>860</v>
      </c>
      <c r="D32" s="14">
        <f>'C) Prél. conj.'!H26</f>
        <v>122443.26999999999</v>
      </c>
      <c r="E32" s="19">
        <f>'D) Ecrêtage'!L26</f>
        <v>439124.7324603647</v>
      </c>
      <c r="F32" s="14">
        <f>$F$10*'D) Ecrêtage'!M26</f>
        <v>929872.25654312538</v>
      </c>
      <c r="G32" s="152">
        <f t="shared" si="0"/>
        <v>1491440.25900349</v>
      </c>
    </row>
    <row r="33" spans="1:7" x14ac:dyDescent="0.25">
      <c r="A33" s="61">
        <f>'A) Base RI'!A29</f>
        <v>5428</v>
      </c>
      <c r="B33" s="114" t="str">
        <f>'A) Base RI'!B29</f>
        <v>Gimel</v>
      </c>
      <c r="C33" s="52">
        <f>'A) Base RI'!AN29</f>
        <v>1907</v>
      </c>
      <c r="D33" s="14">
        <f>'C) Prél. conj.'!H27</f>
        <v>270178.19500000001</v>
      </c>
      <c r="E33" s="19">
        <f>'D) Ecrêtage'!L27</f>
        <v>0</v>
      </c>
      <c r="F33" s="14">
        <f>$F$10*'D) Ecrêtage'!M27</f>
        <v>893371.68522377044</v>
      </c>
      <c r="G33" s="152">
        <f t="shared" si="0"/>
        <v>1163549.8802237704</v>
      </c>
    </row>
    <row r="34" spans="1:7" x14ac:dyDescent="0.25">
      <c r="A34" s="61">
        <f>'A) Base RI'!A30</f>
        <v>5429</v>
      </c>
      <c r="B34" s="114" t="str">
        <f>'A) Base RI'!B30</f>
        <v>Longirod</v>
      </c>
      <c r="C34" s="52">
        <f>'A) Base RI'!AN30</f>
        <v>463</v>
      </c>
      <c r="D34" s="14">
        <f>'C) Prél. conj.'!H28</f>
        <v>34518.775000000001</v>
      </c>
      <c r="E34" s="19">
        <f>'D) Ecrêtage'!L28</f>
        <v>0</v>
      </c>
      <c r="F34" s="14">
        <f>$F$10*'D) Ecrêtage'!M28</f>
        <v>211833.53763399742</v>
      </c>
      <c r="G34" s="152">
        <f t="shared" si="0"/>
        <v>246352.31263399741</v>
      </c>
    </row>
    <row r="35" spans="1:7" x14ac:dyDescent="0.25">
      <c r="A35" s="61">
        <f>'A) Base RI'!A31</f>
        <v>5430</v>
      </c>
      <c r="B35" s="114" t="str">
        <f>'A) Base RI'!B31</f>
        <v>Marchissy</v>
      </c>
      <c r="C35" s="52">
        <f>'A) Base RI'!AN31</f>
        <v>448</v>
      </c>
      <c r="D35" s="14">
        <f>'C) Prél. conj.'!H29</f>
        <v>97974.395000000004</v>
      </c>
      <c r="E35" s="19">
        <f>'D) Ecrêtage'!L29</f>
        <v>0</v>
      </c>
      <c r="F35" s="14">
        <f>$F$10*'D) Ecrêtage'!M29</f>
        <v>200291.77845670516</v>
      </c>
      <c r="G35" s="152">
        <f t="shared" si="0"/>
        <v>298266.17345670518</v>
      </c>
    </row>
    <row r="36" spans="1:7" x14ac:dyDescent="0.25">
      <c r="A36" s="61">
        <f>'A) Base RI'!A32</f>
        <v>5431</v>
      </c>
      <c r="B36" s="114" t="str">
        <f>'A) Base RI'!B32</f>
        <v>Mollens</v>
      </c>
      <c r="C36" s="52">
        <f>'A) Base RI'!AN32</f>
        <v>294</v>
      </c>
      <c r="D36" s="14">
        <f>'C) Prél. conj.'!H30</f>
        <v>18705.8</v>
      </c>
      <c r="E36" s="19">
        <f>'D) Ecrêtage'!L30</f>
        <v>0</v>
      </c>
      <c r="F36" s="14">
        <f>$F$10*'D) Ecrêtage'!M30</f>
        <v>139181.72333205587</v>
      </c>
      <c r="G36" s="152">
        <f t="shared" si="0"/>
        <v>157887.52333205586</v>
      </c>
    </row>
    <row r="37" spans="1:7" x14ac:dyDescent="0.25">
      <c r="A37" s="61">
        <f>'A) Base RI'!A33</f>
        <v>5432</v>
      </c>
      <c r="B37" s="114" t="str">
        <f>'A) Base RI'!B33</f>
        <v>Montherod</v>
      </c>
      <c r="C37" s="52">
        <f>'A) Base RI'!AN33</f>
        <v>518</v>
      </c>
      <c r="D37" s="14">
        <f>'C) Prél. conj.'!H31</f>
        <v>85552.925000000003</v>
      </c>
      <c r="E37" s="19">
        <f>'D) Ecrêtage'!L31</f>
        <v>0</v>
      </c>
      <c r="F37" s="14">
        <f>$F$10*'D) Ecrêtage'!M31</f>
        <v>294012.77849946893</v>
      </c>
      <c r="G37" s="152">
        <f t="shared" si="0"/>
        <v>379565.70349946892</v>
      </c>
    </row>
    <row r="38" spans="1:7" x14ac:dyDescent="0.25">
      <c r="A38" s="61">
        <f>'A) Base RI'!A34</f>
        <v>5434</v>
      </c>
      <c r="B38" s="114" t="str">
        <f>'A) Base RI'!B34</f>
        <v>Saint-George</v>
      </c>
      <c r="C38" s="52">
        <f>'A) Base RI'!AN34</f>
        <v>949</v>
      </c>
      <c r="D38" s="14">
        <f>'C) Prél. conj.'!H32</f>
        <v>135658.18</v>
      </c>
      <c r="E38" s="19">
        <f>'D) Ecrêtage'!L32</f>
        <v>0</v>
      </c>
      <c r="F38" s="14">
        <f>$F$10*'D) Ecrêtage'!M32</f>
        <v>512552.19170342688</v>
      </c>
      <c r="G38" s="152">
        <f t="shared" si="0"/>
        <v>648210.37170342682</v>
      </c>
    </row>
    <row r="39" spans="1:7" x14ac:dyDescent="0.25">
      <c r="A39" s="61">
        <f>'A) Base RI'!A35</f>
        <v>5435</v>
      </c>
      <c r="B39" s="114" t="str">
        <f>'A) Base RI'!B35</f>
        <v>Saint-Livres</v>
      </c>
      <c r="C39" s="52">
        <f>'A) Base RI'!AN35</f>
        <v>713</v>
      </c>
      <c r="D39" s="14">
        <f>'C) Prél. conj.'!H33</f>
        <v>14867.025</v>
      </c>
      <c r="E39" s="19">
        <f>'D) Ecrêtage'!L33</f>
        <v>0</v>
      </c>
      <c r="F39" s="14">
        <f>$F$10*'D) Ecrêtage'!M33</f>
        <v>377791.81724965712</v>
      </c>
      <c r="G39" s="152">
        <f t="shared" si="0"/>
        <v>392658.84224965714</v>
      </c>
    </row>
    <row r="40" spans="1:7" x14ac:dyDescent="0.25">
      <c r="A40" s="61">
        <f>'A) Base RI'!A36</f>
        <v>5436</v>
      </c>
      <c r="B40" s="114" t="str">
        <f>'A) Base RI'!B36</f>
        <v>Saint-Oyens</v>
      </c>
      <c r="C40" s="52">
        <f>'A) Base RI'!AN36</f>
        <v>345</v>
      </c>
      <c r="D40" s="14">
        <f>'C) Prél. conj.'!H34</f>
        <v>38573.975000000006</v>
      </c>
      <c r="E40" s="19">
        <f>'D) Ecrêtage'!L34</f>
        <v>0</v>
      </c>
      <c r="F40" s="14">
        <f>$F$10*'D) Ecrêtage'!M34</f>
        <v>154278.52690407442</v>
      </c>
      <c r="G40" s="152">
        <f t="shared" si="0"/>
        <v>192852.50190407442</v>
      </c>
    </row>
    <row r="41" spans="1:7" x14ac:dyDescent="0.25">
      <c r="A41" s="61">
        <f>'A) Base RI'!A37</f>
        <v>5437</v>
      </c>
      <c r="B41" s="114" t="str">
        <f>'A) Base RI'!B37</f>
        <v>Saubraz</v>
      </c>
      <c r="C41" s="52">
        <f>'A) Base RI'!AN37</f>
        <v>391</v>
      </c>
      <c r="D41" s="14">
        <f>'C) Prél. conj.'!H35</f>
        <v>124207.075</v>
      </c>
      <c r="E41" s="19">
        <f>'D) Ecrêtage'!L35</f>
        <v>0</v>
      </c>
      <c r="F41" s="14">
        <f>$F$10*'D) Ecrêtage'!M35</f>
        <v>141965.89232255006</v>
      </c>
      <c r="G41" s="152">
        <f t="shared" si="0"/>
        <v>266172.96732255007</v>
      </c>
    </row>
    <row r="42" spans="1:7" x14ac:dyDescent="0.25">
      <c r="A42" s="61">
        <f>'A) Base RI'!A38</f>
        <v>5451</v>
      </c>
      <c r="B42" s="114" t="str">
        <f>'A) Base RI'!B38</f>
        <v>Avenches</v>
      </c>
      <c r="C42" s="52">
        <f>'A) Base RI'!AN38</f>
        <v>4090</v>
      </c>
      <c r="D42" s="14">
        <f>'C) Prél. conj.'!H36</f>
        <v>441809.20999999996</v>
      </c>
      <c r="E42" s="19">
        <f>'D) Ecrêtage'!L36</f>
        <v>0</v>
      </c>
      <c r="F42" s="14">
        <f>$F$10*'D) Ecrêtage'!M36</f>
        <v>1583942.7695056102</v>
      </c>
      <c r="G42" s="152">
        <f t="shared" si="0"/>
        <v>2025751.9795056102</v>
      </c>
    </row>
    <row r="43" spans="1:7" x14ac:dyDescent="0.25">
      <c r="A43" s="61">
        <f>'A) Base RI'!A39</f>
        <v>5456</v>
      </c>
      <c r="B43" s="114" t="str">
        <f>'A) Base RI'!B39</f>
        <v>Cudrefin</v>
      </c>
      <c r="C43" s="52">
        <f>'A) Base RI'!AN39</f>
        <v>1516</v>
      </c>
      <c r="D43" s="14">
        <f>'C) Prél. conj.'!H37</f>
        <v>384114.27500000002</v>
      </c>
      <c r="E43" s="19">
        <f>'D) Ecrêtage'!L37</f>
        <v>0</v>
      </c>
      <c r="F43" s="14">
        <f>$F$10*'D) Ecrêtage'!M37</f>
        <v>702829.29555345385</v>
      </c>
      <c r="G43" s="152">
        <f t="shared" si="0"/>
        <v>1086943.5705534539</v>
      </c>
    </row>
    <row r="44" spans="1:7" x14ac:dyDescent="0.25">
      <c r="A44" s="61">
        <f>'A) Base RI'!A40</f>
        <v>5458</v>
      </c>
      <c r="B44" s="114" t="str">
        <f>'A) Base RI'!B40</f>
        <v>Faoug</v>
      </c>
      <c r="C44" s="52">
        <f>'A) Base RI'!AN40</f>
        <v>853</v>
      </c>
      <c r="D44" s="14">
        <f>'C) Prél. conj.'!H38</f>
        <v>90205.45</v>
      </c>
      <c r="E44" s="19">
        <f>'D) Ecrêtage'!L38</f>
        <v>0</v>
      </c>
      <c r="F44" s="14">
        <f>$F$10*'D) Ecrêtage'!M38</f>
        <v>436920.33087256429</v>
      </c>
      <c r="G44" s="152">
        <f t="shared" si="0"/>
        <v>527125.7808725643</v>
      </c>
    </row>
    <row r="45" spans="1:7" x14ac:dyDescent="0.25">
      <c r="A45" s="61">
        <f>'A) Base RI'!A41</f>
        <v>5464</v>
      </c>
      <c r="B45" s="114" t="str">
        <f>'A) Base RI'!B41</f>
        <v>Vully-les-Lacs</v>
      </c>
      <c r="C45" s="52">
        <f>'A) Base RI'!AN41</f>
        <v>2825</v>
      </c>
      <c r="D45" s="14">
        <f>'C) Prél. conj.'!H39</f>
        <v>372380.85</v>
      </c>
      <c r="E45" s="19">
        <f>'D) Ecrêtage'!L39</f>
        <v>0</v>
      </c>
      <c r="F45" s="14">
        <f>$F$10*'D) Ecrêtage'!M39</f>
        <v>1503792.3181032944</v>
      </c>
      <c r="G45" s="152">
        <f t="shared" si="0"/>
        <v>1876173.1681032944</v>
      </c>
    </row>
    <row r="46" spans="1:7" x14ac:dyDescent="0.25">
      <c r="A46" s="61">
        <f>'A) Base RI'!A42</f>
        <v>5471</v>
      </c>
      <c r="B46" s="114" t="str">
        <f>'A) Base RI'!B42</f>
        <v>Bettens</v>
      </c>
      <c r="C46" s="52">
        <f>'A) Base RI'!AN42</f>
        <v>557</v>
      </c>
      <c r="D46" s="14">
        <f>'C) Prél. conj.'!H40</f>
        <v>63631.244999999995</v>
      </c>
      <c r="E46" s="19">
        <f>'D) Ecrêtage'!L40</f>
        <v>0</v>
      </c>
      <c r="F46" s="14">
        <f>$F$10*'D) Ecrêtage'!M40</f>
        <v>282052.46705676574</v>
      </c>
      <c r="G46" s="152">
        <f t="shared" si="0"/>
        <v>345683.71205676574</v>
      </c>
    </row>
    <row r="47" spans="1:7" x14ac:dyDescent="0.25">
      <c r="A47" s="61">
        <f>'A) Base RI'!A43</f>
        <v>5472</v>
      </c>
      <c r="B47" s="114" t="str">
        <f>'A) Base RI'!B43</f>
        <v>Bournens</v>
      </c>
      <c r="C47" s="52">
        <f>'A) Base RI'!AN43</f>
        <v>373</v>
      </c>
      <c r="D47" s="14">
        <f>'C) Prél. conj.'!H41</f>
        <v>50950.8</v>
      </c>
      <c r="E47" s="19">
        <f>'D) Ecrêtage'!L41</f>
        <v>0</v>
      </c>
      <c r="F47" s="14">
        <f>$F$10*'D) Ecrêtage'!M41</f>
        <v>205134.34543361672</v>
      </c>
      <c r="G47" s="152">
        <f t="shared" si="0"/>
        <v>256085.14543361671</v>
      </c>
    </row>
    <row r="48" spans="1:7" x14ac:dyDescent="0.25">
      <c r="A48" s="61">
        <f>'A) Base RI'!A44</f>
        <v>5473</v>
      </c>
      <c r="B48" s="114" t="str">
        <f>'A) Base RI'!B44</f>
        <v>Boussens</v>
      </c>
      <c r="C48" s="52">
        <f>'A) Base RI'!AN44</f>
        <v>958</v>
      </c>
      <c r="D48" s="14">
        <f>'C) Prél. conj.'!H42</f>
        <v>19782.675000000003</v>
      </c>
      <c r="E48" s="19">
        <f>'D) Ecrêtage'!L42</f>
        <v>0</v>
      </c>
      <c r="F48" s="14">
        <f>$F$10*'D) Ecrêtage'!M42</f>
        <v>512427.66163350438</v>
      </c>
      <c r="G48" s="152">
        <f t="shared" si="0"/>
        <v>532210.33663350437</v>
      </c>
    </row>
    <row r="49" spans="1:7" x14ac:dyDescent="0.25">
      <c r="A49" s="61">
        <f>'A) Base RI'!A45</f>
        <v>5474</v>
      </c>
      <c r="B49" s="114" t="str">
        <f>'A) Base RI'!B45</f>
        <v>La Chaux (Cossonay)</v>
      </c>
      <c r="C49" s="52">
        <f>'A) Base RI'!AN45</f>
        <v>421</v>
      </c>
      <c r="D49" s="14">
        <f>'C) Prél. conj.'!H43</f>
        <v>-7381.35</v>
      </c>
      <c r="E49" s="19">
        <f>'D) Ecrêtage'!L43</f>
        <v>0</v>
      </c>
      <c r="F49" s="14">
        <f>$F$10*'D) Ecrêtage'!M43</f>
        <v>197012.41763336453</v>
      </c>
      <c r="G49" s="152">
        <f t="shared" si="0"/>
        <v>189631.06763336452</v>
      </c>
    </row>
    <row r="50" spans="1:7" x14ac:dyDescent="0.25">
      <c r="A50" s="61">
        <f>'A) Base RI'!A46</f>
        <v>5475</v>
      </c>
      <c r="B50" s="114" t="str">
        <f>'A) Base RI'!B46</f>
        <v>Chavannes-le-Veyron</v>
      </c>
      <c r="C50" s="52">
        <f>'A) Base RI'!AN46</f>
        <v>120</v>
      </c>
      <c r="D50" s="14">
        <f>'C) Prél. conj.'!H44</f>
        <v>1824.625</v>
      </c>
      <c r="E50" s="19">
        <f>'D) Ecrêtage'!L44</f>
        <v>0</v>
      </c>
      <c r="F50" s="14">
        <f>$F$10*'D) Ecrêtage'!M44</f>
        <v>42694.677404775772</v>
      </c>
      <c r="G50" s="152">
        <f t="shared" si="0"/>
        <v>44519.302404775772</v>
      </c>
    </row>
    <row r="51" spans="1:7" x14ac:dyDescent="0.25">
      <c r="A51" s="61">
        <f>'A) Base RI'!A47</f>
        <v>5476</v>
      </c>
      <c r="B51" s="114" t="str">
        <f>'A) Base RI'!B47</f>
        <v>Chevilly</v>
      </c>
      <c r="C51" s="52">
        <f>'A) Base RI'!AN47</f>
        <v>286</v>
      </c>
      <c r="D51" s="14">
        <f>'C) Prél. conj.'!H45</f>
        <v>38545.94</v>
      </c>
      <c r="E51" s="19">
        <f>'D) Ecrêtage'!L45</f>
        <v>0</v>
      </c>
      <c r="F51" s="14">
        <f>$F$10*'D) Ecrêtage'!M45</f>
        <v>122451.04748923591</v>
      </c>
      <c r="G51" s="152">
        <f t="shared" si="0"/>
        <v>160996.98748923591</v>
      </c>
    </row>
    <row r="52" spans="1:7" x14ac:dyDescent="0.25">
      <c r="A52" s="61">
        <f>'A) Base RI'!A48</f>
        <v>5477</v>
      </c>
      <c r="B52" s="114" t="str">
        <f>'A) Base RI'!B48</f>
        <v>Cossonay</v>
      </c>
      <c r="C52" s="52">
        <f>'A) Base RI'!AN48</f>
        <v>3642</v>
      </c>
      <c r="D52" s="14">
        <f>'C) Prél. conj.'!H46</f>
        <v>387292.57499999995</v>
      </c>
      <c r="E52" s="19">
        <f>'D) Ecrêtage'!L46</f>
        <v>0</v>
      </c>
      <c r="F52" s="14">
        <f>$F$10*'D) Ecrêtage'!M46</f>
        <v>1872091.2124005498</v>
      </c>
      <c r="G52" s="152">
        <f t="shared" si="0"/>
        <v>2259383.7874005497</v>
      </c>
    </row>
    <row r="53" spans="1:7" x14ac:dyDescent="0.25">
      <c r="A53" s="61">
        <f>'A) Base RI'!A49</f>
        <v>5478</v>
      </c>
      <c r="B53" s="114" t="str">
        <f>'A) Base RI'!B49</f>
        <v>Cottens</v>
      </c>
      <c r="C53" s="52">
        <f>'A) Base RI'!AN49</f>
        <v>473</v>
      </c>
      <c r="D53" s="14">
        <f>'C) Prél. conj.'!H47</f>
        <v>13736.424999999999</v>
      </c>
      <c r="E53" s="19">
        <f>'D) Ecrêtage'!L47</f>
        <v>0</v>
      </c>
      <c r="F53" s="14">
        <f>$F$10*'D) Ecrêtage'!M47</f>
        <v>240073.94802590588</v>
      </c>
      <c r="G53" s="152">
        <f t="shared" si="0"/>
        <v>253810.37302590586</v>
      </c>
    </row>
    <row r="54" spans="1:7" x14ac:dyDescent="0.25">
      <c r="A54" s="61">
        <f>'A) Base RI'!A50</f>
        <v>5479</v>
      </c>
      <c r="B54" s="114" t="str">
        <f>'A) Base RI'!B50</f>
        <v>Cuarnens</v>
      </c>
      <c r="C54" s="52">
        <f>'A) Base RI'!AN50</f>
        <v>439</v>
      </c>
      <c r="D54" s="14">
        <f>'C) Prél. conj.'!H48</f>
        <v>8034.2150000000011</v>
      </c>
      <c r="E54" s="19">
        <f>'D) Ecrêtage'!L48</f>
        <v>0</v>
      </c>
      <c r="F54" s="14">
        <f>$F$10*'D) Ecrêtage'!M48</f>
        <v>183274.45818434565</v>
      </c>
      <c r="G54" s="152">
        <f t="shared" si="0"/>
        <v>191308.67318434565</v>
      </c>
    </row>
    <row r="55" spans="1:7" x14ac:dyDescent="0.25">
      <c r="A55" s="61">
        <f>'A) Base RI'!A51</f>
        <v>5480</v>
      </c>
      <c r="B55" s="114" t="str">
        <f>'A) Base RI'!B51</f>
        <v>Daillens</v>
      </c>
      <c r="C55" s="52">
        <f>'A) Base RI'!AN51</f>
        <v>940</v>
      </c>
      <c r="D55" s="14">
        <f>'C) Prél. conj.'!H49</f>
        <v>175577.69</v>
      </c>
      <c r="E55" s="19">
        <f>'D) Ecrêtage'!L49</f>
        <v>0</v>
      </c>
      <c r="F55" s="14">
        <f>$F$10*'D) Ecrêtage'!M49</f>
        <v>653794.97707437642</v>
      </c>
      <c r="G55" s="152">
        <f t="shared" si="0"/>
        <v>829372.66707437648</v>
      </c>
    </row>
    <row r="56" spans="1:7" x14ac:dyDescent="0.25">
      <c r="A56" s="61">
        <f>'A) Base RI'!A52</f>
        <v>5481</v>
      </c>
      <c r="B56" s="114" t="str">
        <f>'A) Base RI'!B52</f>
        <v>Dizy</v>
      </c>
      <c r="C56" s="52">
        <f>'A) Base RI'!AN52</f>
        <v>221</v>
      </c>
      <c r="D56" s="14">
        <f>'C) Prél. conj.'!H50</f>
        <v>11856.7</v>
      </c>
      <c r="E56" s="19">
        <f>'D) Ecrêtage'!L50</f>
        <v>0</v>
      </c>
      <c r="F56" s="14">
        <f>$F$10*'D) Ecrêtage'!M50</f>
        <v>127937.04299620369</v>
      </c>
      <c r="G56" s="152">
        <f t="shared" si="0"/>
        <v>139793.74299620368</v>
      </c>
    </row>
    <row r="57" spans="1:7" x14ac:dyDescent="0.25">
      <c r="A57" s="61">
        <f>'A) Base RI'!A53</f>
        <v>5482</v>
      </c>
      <c r="B57" s="114" t="str">
        <f>'A) Base RI'!B53</f>
        <v>Eclépens</v>
      </c>
      <c r="C57" s="52">
        <f>'A) Base RI'!AN53</f>
        <v>1039</v>
      </c>
      <c r="D57" s="14">
        <f>'C) Prél. conj.'!H51</f>
        <v>131744.06</v>
      </c>
      <c r="E57" s="19">
        <f>'D) Ecrêtage'!L51</f>
        <v>130808.61481314235</v>
      </c>
      <c r="F57" s="14">
        <f>$F$10*'D) Ecrêtage'!M51</f>
        <v>973438.98336303816</v>
      </c>
      <c r="G57" s="152">
        <f t="shared" si="0"/>
        <v>1235991.6581761807</v>
      </c>
    </row>
    <row r="58" spans="1:7" x14ac:dyDescent="0.25">
      <c r="A58" s="61">
        <f>'A) Base RI'!A54</f>
        <v>5483</v>
      </c>
      <c r="B58" s="114" t="str">
        <f>'A) Base RI'!B54</f>
        <v>Ferreyres</v>
      </c>
      <c r="C58" s="52">
        <f>'A) Base RI'!AN54</f>
        <v>313</v>
      </c>
      <c r="D58" s="14">
        <f>'C) Prél. conj.'!H52</f>
        <v>13325.484999999999</v>
      </c>
      <c r="E58" s="19">
        <f>'D) Ecrêtage'!L52</f>
        <v>0</v>
      </c>
      <c r="F58" s="14">
        <f>$F$10*'D) Ecrêtage'!M52</f>
        <v>141234.71720127022</v>
      </c>
      <c r="G58" s="152">
        <f t="shared" si="0"/>
        <v>154560.20220127021</v>
      </c>
    </row>
    <row r="59" spans="1:7" x14ac:dyDescent="0.25">
      <c r="A59" s="61">
        <f>'A) Base RI'!A55</f>
        <v>5484</v>
      </c>
      <c r="B59" s="114" t="str">
        <f>'A) Base RI'!B55</f>
        <v>Gollion</v>
      </c>
      <c r="C59" s="52">
        <f>'A) Base RI'!AN55</f>
        <v>857</v>
      </c>
      <c r="D59" s="14">
        <f>'C) Prél. conj.'!H53</f>
        <v>122796.68999999999</v>
      </c>
      <c r="E59" s="19">
        <f>'D) Ecrêtage'!L53</f>
        <v>0</v>
      </c>
      <c r="F59" s="14">
        <f>$F$10*'D) Ecrêtage'!M53</f>
        <v>359593.28909262188</v>
      </c>
      <c r="G59" s="152">
        <f t="shared" si="0"/>
        <v>482389.97909262188</v>
      </c>
    </row>
    <row r="60" spans="1:7" x14ac:dyDescent="0.25">
      <c r="A60" s="61">
        <f>'A) Base RI'!A56</f>
        <v>5485</v>
      </c>
      <c r="B60" s="114" t="str">
        <f>'A) Base RI'!B56</f>
        <v>Grancy</v>
      </c>
      <c r="C60" s="52">
        <f>'A) Base RI'!AN56</f>
        <v>396</v>
      </c>
      <c r="D60" s="14">
        <f>'C) Prél. conj.'!H54</f>
        <v>32048.544999999998</v>
      </c>
      <c r="E60" s="19">
        <f>'D) Ecrêtage'!L54</f>
        <v>0</v>
      </c>
      <c r="F60" s="14">
        <f>$F$10*'D) Ecrêtage'!M54</f>
        <v>268547.71640902851</v>
      </c>
      <c r="G60" s="152">
        <f t="shared" si="0"/>
        <v>300596.26140902849</v>
      </c>
    </row>
    <row r="61" spans="1:7" x14ac:dyDescent="0.25">
      <c r="A61" s="61">
        <f>'A) Base RI'!A57</f>
        <v>5486</v>
      </c>
      <c r="B61" s="114" t="str">
        <f>'A) Base RI'!B57</f>
        <v>L'Isle</v>
      </c>
      <c r="C61" s="52">
        <f>'A) Base RI'!AN57</f>
        <v>1032</v>
      </c>
      <c r="D61" s="14">
        <f>'C) Prél. conj.'!H55</f>
        <v>267646.755</v>
      </c>
      <c r="E61" s="19">
        <f>'D) Ecrêtage'!L55</f>
        <v>0</v>
      </c>
      <c r="F61" s="14">
        <f>$F$10*'D) Ecrêtage'!M55</f>
        <v>422458.6544341931</v>
      </c>
      <c r="G61" s="152">
        <f t="shared" si="0"/>
        <v>690105.40943419305</v>
      </c>
    </row>
    <row r="62" spans="1:7" x14ac:dyDescent="0.25">
      <c r="A62" s="61">
        <f>'A) Base RI'!A58</f>
        <v>5487</v>
      </c>
      <c r="B62" s="114" t="str">
        <f>'A) Base RI'!B58</f>
        <v>Lussery-Villars</v>
      </c>
      <c r="C62" s="52">
        <f>'A) Base RI'!AN58</f>
        <v>423</v>
      </c>
      <c r="D62" s="14">
        <f>'C) Prél. conj.'!H56</f>
        <v>23509.85</v>
      </c>
      <c r="E62" s="19">
        <f>'D) Ecrêtage'!L56</f>
        <v>0</v>
      </c>
      <c r="F62" s="14">
        <f>$F$10*'D) Ecrêtage'!M56</f>
        <v>190552.31942024289</v>
      </c>
      <c r="G62" s="152">
        <f t="shared" si="0"/>
        <v>214062.16942024289</v>
      </c>
    </row>
    <row r="63" spans="1:7" x14ac:dyDescent="0.25">
      <c r="A63" s="61">
        <f>'A) Base RI'!A59</f>
        <v>5488</v>
      </c>
      <c r="B63" s="114" t="str">
        <f>'A) Base RI'!B59</f>
        <v>Mauraz</v>
      </c>
      <c r="C63" s="52">
        <f>'A) Base RI'!AN59</f>
        <v>49</v>
      </c>
      <c r="D63" s="14">
        <f>'C) Prél. conj.'!H57</f>
        <v>0</v>
      </c>
      <c r="E63" s="19">
        <f>'D) Ecrêtage'!L57</f>
        <v>0</v>
      </c>
      <c r="F63" s="14">
        <f>$F$10*'D) Ecrêtage'!M57</f>
        <v>22006.325341402193</v>
      </c>
      <c r="G63" s="152">
        <f t="shared" si="0"/>
        <v>22006.325341402193</v>
      </c>
    </row>
    <row r="64" spans="1:7" x14ac:dyDescent="0.25">
      <c r="A64" s="61">
        <f>'A) Base RI'!A60</f>
        <v>5489</v>
      </c>
      <c r="B64" s="114" t="str">
        <f>'A) Base RI'!B60</f>
        <v>Mex</v>
      </c>
      <c r="C64" s="52">
        <f>'A) Base RI'!AN60</f>
        <v>678</v>
      </c>
      <c r="D64" s="14">
        <f>'C) Prél. conj.'!H58</f>
        <v>69865.66</v>
      </c>
      <c r="E64" s="19">
        <f>'D) Ecrêtage'!L58</f>
        <v>3347.4436843022863</v>
      </c>
      <c r="F64" s="14">
        <f>$F$10*'D) Ecrêtage'!M58</f>
        <v>575734.34119094105</v>
      </c>
      <c r="G64" s="152">
        <f t="shared" si="0"/>
        <v>648947.44487524335</v>
      </c>
    </row>
    <row r="65" spans="1:7" x14ac:dyDescent="0.25">
      <c r="A65" s="61">
        <f>'A) Base RI'!A61</f>
        <v>5490</v>
      </c>
      <c r="B65" s="114" t="str">
        <f>'A) Base RI'!B61</f>
        <v>Moiry</v>
      </c>
      <c r="C65" s="52">
        <f>'A) Base RI'!AN61</f>
        <v>290</v>
      </c>
      <c r="D65" s="14">
        <f>'C) Prél. conj.'!H59</f>
        <v>13987.050000000001</v>
      </c>
      <c r="E65" s="19">
        <f>'D) Ecrêtage'!L59</f>
        <v>0</v>
      </c>
      <c r="F65" s="14">
        <f>$F$10*'D) Ecrêtage'!M59</f>
        <v>113665.89357997509</v>
      </c>
      <c r="G65" s="152">
        <f t="shared" si="0"/>
        <v>127652.94357997509</v>
      </c>
    </row>
    <row r="66" spans="1:7" x14ac:dyDescent="0.25">
      <c r="A66" s="61">
        <f>'A) Base RI'!A62</f>
        <v>5491</v>
      </c>
      <c r="B66" s="114" t="str">
        <f>'A) Base RI'!B62</f>
        <v>Mont-la-Ville</v>
      </c>
      <c r="C66" s="52">
        <f>'A) Base RI'!AN62</f>
        <v>382</v>
      </c>
      <c r="D66" s="14">
        <f>'C) Prél. conj.'!H60</f>
        <v>38617.474999999999</v>
      </c>
      <c r="E66" s="19">
        <f>'D) Ecrêtage'!L60</f>
        <v>0</v>
      </c>
      <c r="F66" s="14">
        <f>$F$10*'D) Ecrêtage'!M60</f>
        <v>133505.4436541358</v>
      </c>
      <c r="G66" s="152">
        <f t="shared" si="0"/>
        <v>172122.91865413581</v>
      </c>
    </row>
    <row r="67" spans="1:7" x14ac:dyDescent="0.25">
      <c r="A67" s="61">
        <f>'A) Base RI'!A63</f>
        <v>5492</v>
      </c>
      <c r="B67" s="114" t="str">
        <f>'A) Base RI'!B63</f>
        <v>Montricher</v>
      </c>
      <c r="C67" s="52">
        <f>'A) Base RI'!AN63</f>
        <v>961</v>
      </c>
      <c r="D67" s="14">
        <f>'C) Prél. conj.'!H61</f>
        <v>62904.030000000006</v>
      </c>
      <c r="E67" s="19">
        <f>'D) Ecrêtage'!L61</f>
        <v>4876151.5562670026</v>
      </c>
      <c r="F67" s="14">
        <f>$F$10*'D) Ecrêtage'!M61</f>
        <v>2134650.8538842243</v>
      </c>
      <c r="G67" s="152">
        <f t="shared" si="0"/>
        <v>7073706.4401512267</v>
      </c>
    </row>
    <row r="68" spans="1:7" x14ac:dyDescent="0.25">
      <c r="A68" s="61">
        <f>'A) Base RI'!A64</f>
        <v>5493</v>
      </c>
      <c r="B68" s="114" t="str">
        <f>'A) Base RI'!B64</f>
        <v>Orny</v>
      </c>
      <c r="C68" s="52">
        <f>'A) Base RI'!AN64</f>
        <v>375</v>
      </c>
      <c r="D68" s="14">
        <f>'C) Prél. conj.'!H62</f>
        <v>26914.04</v>
      </c>
      <c r="E68" s="19">
        <f>'D) Ecrêtage'!L62</f>
        <v>0</v>
      </c>
      <c r="F68" s="14">
        <f>$F$10*'D) Ecrêtage'!M62</f>
        <v>164781.71120266427</v>
      </c>
      <c r="G68" s="152">
        <f t="shared" si="0"/>
        <v>191695.75120266428</v>
      </c>
    </row>
    <row r="69" spans="1:7" x14ac:dyDescent="0.25">
      <c r="A69" s="61">
        <f>'A) Base RI'!A65</f>
        <v>5494</v>
      </c>
      <c r="B69" s="114" t="str">
        <f>'A) Base RI'!B65</f>
        <v>Pampigny</v>
      </c>
      <c r="C69" s="52">
        <f>'A) Base RI'!AN65</f>
        <v>1124</v>
      </c>
      <c r="D69" s="14">
        <f>'C) Prél. conj.'!H63</f>
        <v>85028.24</v>
      </c>
      <c r="E69" s="19">
        <f>'D) Ecrêtage'!L63</f>
        <v>0</v>
      </c>
      <c r="F69" s="14">
        <f>$F$10*'D) Ecrêtage'!M63</f>
        <v>527553.78400247591</v>
      </c>
      <c r="G69" s="152">
        <f t="shared" si="0"/>
        <v>612582.0240024759</v>
      </c>
    </row>
    <row r="70" spans="1:7" x14ac:dyDescent="0.25">
      <c r="A70" s="61">
        <f>'A) Base RI'!A66</f>
        <v>5495</v>
      </c>
      <c r="B70" s="114" t="str">
        <f>'A) Base RI'!B66</f>
        <v>Penthalaz</v>
      </c>
      <c r="C70" s="52">
        <f>'A) Base RI'!AN66</f>
        <v>3241</v>
      </c>
      <c r="D70" s="14">
        <f>'C) Prél. conj.'!H64</f>
        <v>227218.715</v>
      </c>
      <c r="E70" s="19">
        <f>'D) Ecrêtage'!L64</f>
        <v>0</v>
      </c>
      <c r="F70" s="14">
        <f>$F$10*'D) Ecrêtage'!M64</f>
        <v>1492868.5718321158</v>
      </c>
      <c r="G70" s="152">
        <f t="shared" si="0"/>
        <v>1720087.2868321158</v>
      </c>
    </row>
    <row r="71" spans="1:7" x14ac:dyDescent="0.25">
      <c r="A71" s="61">
        <f>'A) Base RI'!A67</f>
        <v>5496</v>
      </c>
      <c r="B71" s="114" t="str">
        <f>'A) Base RI'!B67</f>
        <v>Penthaz</v>
      </c>
      <c r="C71" s="52">
        <f>'A) Base RI'!AN67</f>
        <v>1653</v>
      </c>
      <c r="D71" s="14">
        <f>'C) Prél. conj.'!H65</f>
        <v>106496.37</v>
      </c>
      <c r="E71" s="19">
        <f>'D) Ecrêtage'!L65</f>
        <v>0</v>
      </c>
      <c r="F71" s="14">
        <f>$F$10*'D) Ecrêtage'!M65</f>
        <v>857125.7122455918</v>
      </c>
      <c r="G71" s="152">
        <f t="shared" si="0"/>
        <v>963622.0822455918</v>
      </c>
    </row>
    <row r="72" spans="1:7" x14ac:dyDescent="0.25">
      <c r="A72" s="61">
        <f>'A) Base RI'!A68</f>
        <v>5497</v>
      </c>
      <c r="B72" s="114" t="str">
        <f>'A) Base RI'!B68</f>
        <v>Pompaples</v>
      </c>
      <c r="C72" s="52">
        <f>'A) Base RI'!AN68</f>
        <v>834</v>
      </c>
      <c r="D72" s="14">
        <f>'C) Prél. conj.'!H66</f>
        <v>114643.265</v>
      </c>
      <c r="E72" s="19">
        <f>'D) Ecrêtage'!L66</f>
        <v>0</v>
      </c>
      <c r="F72" s="14">
        <f>$F$10*'D) Ecrêtage'!M66</f>
        <v>345065.5742820141</v>
      </c>
      <c r="G72" s="152">
        <f t="shared" si="0"/>
        <v>459708.83928201412</v>
      </c>
    </row>
    <row r="73" spans="1:7" x14ac:dyDescent="0.25">
      <c r="A73" s="61">
        <f>'A) Base RI'!A69</f>
        <v>5498</v>
      </c>
      <c r="B73" s="114" t="str">
        <f>'A) Base RI'!B69</f>
        <v>La Sarraz</v>
      </c>
      <c r="C73" s="52">
        <f>'A) Base RI'!AN69</f>
        <v>2559</v>
      </c>
      <c r="D73" s="14">
        <f>'C) Prél. conj.'!H67</f>
        <v>140870.10499999998</v>
      </c>
      <c r="E73" s="19">
        <f>'D) Ecrêtage'!L67</f>
        <v>0</v>
      </c>
      <c r="F73" s="14">
        <f>$F$10*'D) Ecrêtage'!M67</f>
        <v>1119378.0273149004</v>
      </c>
      <c r="G73" s="152">
        <f t="shared" si="0"/>
        <v>1260248.1323149004</v>
      </c>
    </row>
    <row r="74" spans="1:7" x14ac:dyDescent="0.25">
      <c r="A74" s="61">
        <f>'A) Base RI'!A70</f>
        <v>5499</v>
      </c>
      <c r="B74" s="114" t="str">
        <f>'A) Base RI'!B70</f>
        <v>Senarclens</v>
      </c>
      <c r="C74" s="52">
        <f>'A) Base RI'!AN70</f>
        <v>451</v>
      </c>
      <c r="D74" s="14">
        <f>'C) Prél. conj.'!H68</f>
        <v>60006.765000000007</v>
      </c>
      <c r="E74" s="19">
        <f>'D) Ecrêtage'!L68</f>
        <v>0</v>
      </c>
      <c r="F74" s="14">
        <f>$F$10*'D) Ecrêtage'!M68</f>
        <v>336845.1116584444</v>
      </c>
      <c r="G74" s="152">
        <f t="shared" si="0"/>
        <v>396851.87665844441</v>
      </c>
    </row>
    <row r="75" spans="1:7" x14ac:dyDescent="0.25">
      <c r="A75" s="61">
        <f>'A) Base RI'!A71</f>
        <v>5500</v>
      </c>
      <c r="B75" s="114" t="str">
        <f>'A) Base RI'!B71</f>
        <v>Sévery</v>
      </c>
      <c r="C75" s="52">
        <f>'A) Base RI'!AN71</f>
        <v>231</v>
      </c>
      <c r="D75" s="14">
        <f>'C) Prél. conj.'!H69</f>
        <v>20993.62</v>
      </c>
      <c r="E75" s="19">
        <f>'D) Ecrêtage'!L69</f>
        <v>0</v>
      </c>
      <c r="F75" s="14">
        <f>$F$10*'D) Ecrêtage'!M69</f>
        <v>105056.42172830304</v>
      </c>
      <c r="G75" s="152">
        <f t="shared" si="0"/>
        <v>126050.04172830304</v>
      </c>
    </row>
    <row r="76" spans="1:7" x14ac:dyDescent="0.25">
      <c r="A76" s="61">
        <f>'A) Base RI'!A72</f>
        <v>5501</v>
      </c>
      <c r="B76" s="114" t="str">
        <f>'A) Base RI'!B72</f>
        <v>Sullens</v>
      </c>
      <c r="C76" s="52">
        <f>'A) Base RI'!AN72</f>
        <v>925</v>
      </c>
      <c r="D76" s="14">
        <f>'C) Prél. conj.'!H70</f>
        <v>108221.26999999999</v>
      </c>
      <c r="E76" s="19">
        <f>'D) Ecrêtage'!L70</f>
        <v>0</v>
      </c>
      <c r="F76" s="14">
        <f>$F$10*'D) Ecrêtage'!M70</f>
        <v>557139.69250329991</v>
      </c>
      <c r="G76" s="152">
        <f t="shared" ref="G76:G139" si="1">D76+F76+E76</f>
        <v>665360.96250329993</v>
      </c>
    </row>
    <row r="77" spans="1:7" x14ac:dyDescent="0.25">
      <c r="A77" s="61">
        <f>'A) Base RI'!A73</f>
        <v>5503</v>
      </c>
      <c r="B77" s="114" t="str">
        <f>'A) Base RI'!B73</f>
        <v>Vufflens-la-Ville</v>
      </c>
      <c r="C77" s="52">
        <f>'A) Base RI'!AN73</f>
        <v>1216</v>
      </c>
      <c r="D77" s="14">
        <f>'C) Prél. conj.'!H71</f>
        <v>317319.89500000002</v>
      </c>
      <c r="E77" s="19">
        <f>'D) Ecrêtage'!L71</f>
        <v>0</v>
      </c>
      <c r="F77" s="14">
        <f>$F$10*'D) Ecrêtage'!M71</f>
        <v>952883.05312858394</v>
      </c>
      <c r="G77" s="152">
        <f t="shared" si="1"/>
        <v>1270202.9481285838</v>
      </c>
    </row>
    <row r="78" spans="1:7" x14ac:dyDescent="0.25">
      <c r="A78" s="61">
        <f>'A) Base RI'!A74</f>
        <v>5511</v>
      </c>
      <c r="B78" s="114" t="str">
        <f>'A) Base RI'!B74</f>
        <v>Assens</v>
      </c>
      <c r="C78" s="52">
        <f>'A) Base RI'!AN74</f>
        <v>1031</v>
      </c>
      <c r="D78" s="14">
        <f>'C) Prél. conj.'!H72</f>
        <v>76528.799999999988</v>
      </c>
      <c r="E78" s="19">
        <f>'D) Ecrêtage'!L72</f>
        <v>0</v>
      </c>
      <c r="F78" s="14">
        <f>$F$10*'D) Ecrêtage'!M72</f>
        <v>643063.89032688003</v>
      </c>
      <c r="G78" s="152">
        <f t="shared" si="1"/>
        <v>719592.69032687997</v>
      </c>
    </row>
    <row r="79" spans="1:7" x14ac:dyDescent="0.25">
      <c r="A79" s="61">
        <f>'A) Base RI'!A75</f>
        <v>5512</v>
      </c>
      <c r="B79" s="114" t="str">
        <f>'A) Base RI'!B75</f>
        <v>Bercher</v>
      </c>
      <c r="C79" s="52">
        <f>'A) Base RI'!AN75</f>
        <v>1148</v>
      </c>
      <c r="D79" s="14">
        <f>'C) Prél. conj.'!H73</f>
        <v>79523.490000000005</v>
      </c>
      <c r="E79" s="19">
        <f>'D) Ecrêtage'!L73</f>
        <v>0</v>
      </c>
      <c r="F79" s="14">
        <f>$F$10*'D) Ecrêtage'!M73</f>
        <v>498012.28312119952</v>
      </c>
      <c r="G79" s="152">
        <f t="shared" si="1"/>
        <v>577535.77312119957</v>
      </c>
    </row>
    <row r="80" spans="1:7" x14ac:dyDescent="0.25">
      <c r="A80" s="61">
        <f>'A) Base RI'!A76</f>
        <v>5513</v>
      </c>
      <c r="B80" s="114" t="str">
        <f>'A) Base RI'!B76</f>
        <v>Bioley-Orjulaz</v>
      </c>
      <c r="C80" s="52">
        <f>'A) Base RI'!AN76</f>
        <v>471</v>
      </c>
      <c r="D80" s="14">
        <f>'C) Prél. conj.'!H74</f>
        <v>74384.34</v>
      </c>
      <c r="E80" s="19">
        <f>'D) Ecrêtage'!L74</f>
        <v>0</v>
      </c>
      <c r="F80" s="14">
        <f>$F$10*'D) Ecrêtage'!M74</f>
        <v>372967.06210744538</v>
      </c>
      <c r="G80" s="152">
        <f t="shared" si="1"/>
        <v>447351.40210744541</v>
      </c>
    </row>
    <row r="81" spans="1:7" x14ac:dyDescent="0.25">
      <c r="A81" s="61">
        <f>'A) Base RI'!A77</f>
        <v>5514</v>
      </c>
      <c r="B81" s="114" t="str">
        <f>'A) Base RI'!B77</f>
        <v>Bottens</v>
      </c>
      <c r="C81" s="52">
        <f>'A) Base RI'!AN77</f>
        <v>1220</v>
      </c>
      <c r="D81" s="14">
        <f>'C) Prél. conj.'!H75</f>
        <v>150859.905</v>
      </c>
      <c r="E81" s="19">
        <f>'D) Ecrêtage'!L75</f>
        <v>0</v>
      </c>
      <c r="F81" s="14">
        <f>$F$10*'D) Ecrêtage'!M75</f>
        <v>595311.69017866021</v>
      </c>
      <c r="G81" s="152">
        <f t="shared" si="1"/>
        <v>746171.59517866024</v>
      </c>
    </row>
    <row r="82" spans="1:7" x14ac:dyDescent="0.25">
      <c r="A82" s="61">
        <f>'A) Base RI'!A78</f>
        <v>5515</v>
      </c>
      <c r="B82" s="114" t="str">
        <f>'A) Base RI'!B78</f>
        <v>Bretigny-sur-Morrens</v>
      </c>
      <c r="C82" s="52">
        <f>'A) Base RI'!AN78</f>
        <v>797</v>
      </c>
      <c r="D82" s="14">
        <f>'C) Prél. conj.'!H76</f>
        <v>65685.009999999995</v>
      </c>
      <c r="E82" s="19">
        <f>'D) Ecrêtage'!L76</f>
        <v>0</v>
      </c>
      <c r="F82" s="14">
        <f>$F$10*'D) Ecrêtage'!M76</f>
        <v>377948.47355435765</v>
      </c>
      <c r="G82" s="152">
        <f t="shared" si="1"/>
        <v>443633.48355435766</v>
      </c>
    </row>
    <row r="83" spans="1:7" x14ac:dyDescent="0.25">
      <c r="A83" s="61">
        <f>'A) Base RI'!A79</f>
        <v>5516</v>
      </c>
      <c r="B83" s="114" t="str">
        <f>'A) Base RI'!B79</f>
        <v>Cugy</v>
      </c>
      <c r="C83" s="52">
        <f>'A) Base RI'!AN79</f>
        <v>2755</v>
      </c>
      <c r="D83" s="14">
        <f>'C) Prél. conj.'!H77</f>
        <v>322024.815</v>
      </c>
      <c r="E83" s="19">
        <f>'D) Ecrêtage'!L77</f>
        <v>0</v>
      </c>
      <c r="F83" s="14">
        <f>$F$10*'D) Ecrêtage'!M77</f>
        <v>1629062.460678841</v>
      </c>
      <c r="G83" s="152">
        <f t="shared" si="1"/>
        <v>1951087.2756788409</v>
      </c>
    </row>
    <row r="84" spans="1:7" x14ac:dyDescent="0.25">
      <c r="A84" s="61">
        <f>'A) Base RI'!A80</f>
        <v>5518</v>
      </c>
      <c r="B84" s="114" t="str">
        <f>'A) Base RI'!B80</f>
        <v>Echallens</v>
      </c>
      <c r="C84" s="52">
        <f>'A) Base RI'!AN80</f>
        <v>5606</v>
      </c>
      <c r="D84" s="14">
        <f>'C) Prél. conj.'!H78</f>
        <v>346875.06</v>
      </c>
      <c r="E84" s="19">
        <f>'D) Ecrêtage'!L78</f>
        <v>0</v>
      </c>
      <c r="F84" s="14">
        <f>$F$10*'D) Ecrêtage'!M78</f>
        <v>2816497.5075516957</v>
      </c>
      <c r="G84" s="152">
        <f t="shared" si="1"/>
        <v>3163372.5675516957</v>
      </c>
    </row>
    <row r="85" spans="1:7" x14ac:dyDescent="0.25">
      <c r="A85" s="61">
        <f>'A) Base RI'!A81</f>
        <v>5520</v>
      </c>
      <c r="B85" s="114" t="str">
        <f>'A) Base RI'!B81</f>
        <v>Essertines-sur-Yverdon</v>
      </c>
      <c r="C85" s="52">
        <f>'A) Base RI'!AN81</f>
        <v>945</v>
      </c>
      <c r="D85" s="14">
        <f>'C) Prél. conj.'!H79</f>
        <v>44455.25</v>
      </c>
      <c r="E85" s="19">
        <f>'D) Ecrêtage'!L79</f>
        <v>0</v>
      </c>
      <c r="F85" s="14">
        <f>$F$10*'D) Ecrêtage'!M79</f>
        <v>435020.02565773</v>
      </c>
      <c r="G85" s="152">
        <f t="shared" si="1"/>
        <v>479475.27565773</v>
      </c>
    </row>
    <row r="86" spans="1:7" x14ac:dyDescent="0.25">
      <c r="A86" s="61">
        <f>'A) Base RI'!A82</f>
        <v>5521</v>
      </c>
      <c r="B86" s="114" t="str">
        <f>'A) Base RI'!B82</f>
        <v>Etagnières</v>
      </c>
      <c r="C86" s="52">
        <f>'A) Base RI'!AN82</f>
        <v>1146</v>
      </c>
      <c r="D86" s="14">
        <f>'C) Prél. conj.'!H80</f>
        <v>41368.909999999996</v>
      </c>
      <c r="E86" s="19">
        <f>'D) Ecrêtage'!L80</f>
        <v>0</v>
      </c>
      <c r="F86" s="14">
        <f>$F$10*'D) Ecrêtage'!M80</f>
        <v>629249.2480431922</v>
      </c>
      <c r="G86" s="152">
        <f t="shared" si="1"/>
        <v>670618.15804319223</v>
      </c>
    </row>
    <row r="87" spans="1:7" x14ac:dyDescent="0.25">
      <c r="A87" s="61">
        <f>'A) Base RI'!A83</f>
        <v>5522</v>
      </c>
      <c r="B87" s="114" t="str">
        <f>'A) Base RI'!B83</f>
        <v>Fey</v>
      </c>
      <c r="C87" s="52">
        <f>'A) Base RI'!AN83</f>
        <v>635</v>
      </c>
      <c r="D87" s="14">
        <f>'C) Prél. conj.'!H81</f>
        <v>36654.824999999997</v>
      </c>
      <c r="E87" s="19">
        <f>'D) Ecrêtage'!L81</f>
        <v>0</v>
      </c>
      <c r="F87" s="14">
        <f>$F$10*'D) Ecrêtage'!M81</f>
        <v>282832.65425883443</v>
      </c>
      <c r="G87" s="152">
        <f t="shared" si="1"/>
        <v>319487.47925883444</v>
      </c>
    </row>
    <row r="88" spans="1:7" x14ac:dyDescent="0.25">
      <c r="A88" s="61">
        <f>'A) Base RI'!A84</f>
        <v>5523</v>
      </c>
      <c r="B88" s="114" t="str">
        <f>'A) Base RI'!B84</f>
        <v>Froideville</v>
      </c>
      <c r="C88" s="52">
        <f>'A) Base RI'!AN84</f>
        <v>2422</v>
      </c>
      <c r="D88" s="14">
        <f>'C) Prél. conj.'!H82</f>
        <v>262079.77500000002</v>
      </c>
      <c r="E88" s="19">
        <f>'D) Ecrêtage'!L82</f>
        <v>0</v>
      </c>
      <c r="F88" s="14">
        <f>$F$10*'D) Ecrêtage'!M82</f>
        <v>1208108.5368236792</v>
      </c>
      <c r="G88" s="152">
        <f t="shared" si="1"/>
        <v>1470188.3118236791</v>
      </c>
    </row>
    <row r="89" spans="1:7" x14ac:dyDescent="0.25">
      <c r="A89" s="61">
        <f>'A) Base RI'!A85</f>
        <v>5527</v>
      </c>
      <c r="B89" s="114" t="str">
        <f>'A) Base RI'!B85</f>
        <v>Morrens</v>
      </c>
      <c r="C89" s="52">
        <f>'A) Base RI'!AN85</f>
        <v>1055</v>
      </c>
      <c r="D89" s="14">
        <f>'C) Prél. conj.'!H83</f>
        <v>127594.4</v>
      </c>
      <c r="E89" s="19">
        <f>'D) Ecrêtage'!L83</f>
        <v>0</v>
      </c>
      <c r="F89" s="14">
        <f>$F$10*'D) Ecrêtage'!M83</f>
        <v>574384.66116265068</v>
      </c>
      <c r="G89" s="152">
        <f t="shared" si="1"/>
        <v>701979.0611626507</v>
      </c>
    </row>
    <row r="90" spans="1:7" x14ac:dyDescent="0.25">
      <c r="A90" s="61">
        <f>'A) Base RI'!A86</f>
        <v>5529</v>
      </c>
      <c r="B90" s="114" t="str">
        <f>'A) Base RI'!B86</f>
        <v>Oulens-sous-Echallens</v>
      </c>
      <c r="C90" s="52">
        <f>'A) Base RI'!AN86</f>
        <v>532</v>
      </c>
      <c r="D90" s="14">
        <f>'C) Prél. conj.'!H84</f>
        <v>83531.914999999994</v>
      </c>
      <c r="E90" s="19">
        <f>'D) Ecrêtage'!L84</f>
        <v>0</v>
      </c>
      <c r="F90" s="14">
        <f>$F$10*'D) Ecrêtage'!M84</f>
        <v>261291.33757961338</v>
      </c>
      <c r="G90" s="152">
        <f t="shared" si="1"/>
        <v>344823.25257961336</v>
      </c>
    </row>
    <row r="91" spans="1:7" x14ac:dyDescent="0.25">
      <c r="A91" s="61">
        <f>'A) Base RI'!A87</f>
        <v>5530</v>
      </c>
      <c r="B91" s="114" t="str">
        <f>'A) Base RI'!B87</f>
        <v>Pailly</v>
      </c>
      <c r="C91" s="52">
        <f>'A) Base RI'!AN87</f>
        <v>533</v>
      </c>
      <c r="D91" s="14">
        <f>'C) Prél. conj.'!H85</f>
        <v>24996.31</v>
      </c>
      <c r="E91" s="19">
        <f>'D) Ecrêtage'!L85</f>
        <v>0</v>
      </c>
      <c r="F91" s="14">
        <f>$F$10*'D) Ecrêtage'!M85</f>
        <v>248206.94655275584</v>
      </c>
      <c r="G91" s="152">
        <f t="shared" si="1"/>
        <v>273203.25655275583</v>
      </c>
    </row>
    <row r="92" spans="1:7" x14ac:dyDescent="0.25">
      <c r="A92" s="61">
        <f>'A) Base RI'!A88</f>
        <v>5531</v>
      </c>
      <c r="B92" s="114" t="str">
        <f>'A) Base RI'!B88</f>
        <v>Penthéréaz</v>
      </c>
      <c r="C92" s="52">
        <f>'A) Base RI'!AN88</f>
        <v>389</v>
      </c>
      <c r="D92" s="14">
        <f>'C) Prél. conj.'!H86</f>
        <v>34533.909999999996</v>
      </c>
      <c r="E92" s="19">
        <f>'D) Ecrêtage'!L86</f>
        <v>0</v>
      </c>
      <c r="F92" s="14">
        <f>$F$10*'D) Ecrêtage'!M86</f>
        <v>180529.29592239304</v>
      </c>
      <c r="G92" s="152">
        <f t="shared" si="1"/>
        <v>215063.20592239304</v>
      </c>
    </row>
    <row r="93" spans="1:7" x14ac:dyDescent="0.25">
      <c r="A93" s="61">
        <f>'A) Base RI'!A89</f>
        <v>5533</v>
      </c>
      <c r="B93" s="114" t="str">
        <f>'A) Base RI'!B89</f>
        <v>Poliez-Pittet</v>
      </c>
      <c r="C93" s="52">
        <f>'A) Base RI'!AN89</f>
        <v>815</v>
      </c>
      <c r="D93" s="14">
        <f>'C) Prél. conj.'!H87</f>
        <v>40666.369999999995</v>
      </c>
      <c r="E93" s="19">
        <f>'D) Ecrêtage'!L87</f>
        <v>0</v>
      </c>
      <c r="F93" s="14">
        <f>$F$10*'D) Ecrêtage'!M87</f>
        <v>330467.97367766348</v>
      </c>
      <c r="G93" s="152">
        <f t="shared" si="1"/>
        <v>371134.34367766348</v>
      </c>
    </row>
    <row r="94" spans="1:7" x14ac:dyDescent="0.25">
      <c r="A94" s="61">
        <f>'A) Base RI'!A90</f>
        <v>5534</v>
      </c>
      <c r="B94" s="114" t="str">
        <f>'A) Base RI'!B90</f>
        <v>Rueyres</v>
      </c>
      <c r="C94" s="52">
        <f>'A) Base RI'!AN90</f>
        <v>265</v>
      </c>
      <c r="D94" s="14">
        <f>'C) Prél. conj.'!H88</f>
        <v>51906.879999999997</v>
      </c>
      <c r="E94" s="19">
        <f>'D) Ecrêtage'!L88</f>
        <v>0</v>
      </c>
      <c r="F94" s="14">
        <f>$F$10*'D) Ecrêtage'!M88</f>
        <v>126107.562529378</v>
      </c>
      <c r="G94" s="152">
        <f t="shared" si="1"/>
        <v>178014.44252937799</v>
      </c>
    </row>
    <row r="95" spans="1:7" x14ac:dyDescent="0.25">
      <c r="A95" s="61">
        <f>'A) Base RI'!A91</f>
        <v>5535</v>
      </c>
      <c r="B95" s="114" t="str">
        <f>'A) Base RI'!B91</f>
        <v>Saint-Barthélemy</v>
      </c>
      <c r="C95" s="52">
        <f>'A) Base RI'!AN91</f>
        <v>782</v>
      </c>
      <c r="D95" s="14">
        <f>'C) Prél. conj.'!H89</f>
        <v>14594.355</v>
      </c>
      <c r="E95" s="19">
        <f>'D) Ecrêtage'!L89</f>
        <v>0</v>
      </c>
      <c r="F95" s="14">
        <f>$F$10*'D) Ecrêtage'!M89</f>
        <v>336147.81655062921</v>
      </c>
      <c r="G95" s="152">
        <f t="shared" si="1"/>
        <v>350742.17155062919</v>
      </c>
    </row>
    <row r="96" spans="1:7" x14ac:dyDescent="0.25">
      <c r="A96" s="61">
        <f>'A) Base RI'!A92</f>
        <v>5537</v>
      </c>
      <c r="B96" s="114" t="str">
        <f>'A) Base RI'!B92</f>
        <v>Villars-le-Terroir</v>
      </c>
      <c r="C96" s="52">
        <f>'A) Base RI'!AN92</f>
        <v>1033</v>
      </c>
      <c r="D96" s="14">
        <f>'C) Prél. conj.'!H90</f>
        <v>56688.899999999994</v>
      </c>
      <c r="E96" s="19">
        <f>'D) Ecrêtage'!L90</f>
        <v>0</v>
      </c>
      <c r="F96" s="14">
        <f>$F$10*'D) Ecrêtage'!M90</f>
        <v>437506.25593382854</v>
      </c>
      <c r="G96" s="152">
        <f t="shared" si="1"/>
        <v>494195.15593382856</v>
      </c>
    </row>
    <row r="97" spans="1:7" x14ac:dyDescent="0.25">
      <c r="A97" s="61">
        <f>'A) Base RI'!A93</f>
        <v>5539</v>
      </c>
      <c r="B97" s="114" t="str">
        <f>'A) Base RI'!B93</f>
        <v>Vuarrens</v>
      </c>
      <c r="C97" s="52">
        <f>'A) Base RI'!AN93</f>
        <v>935</v>
      </c>
      <c r="D97" s="14">
        <f>'C) Prél. conj.'!H91</f>
        <v>56423.504999999997</v>
      </c>
      <c r="E97" s="19">
        <f>'D) Ecrêtage'!L91</f>
        <v>0</v>
      </c>
      <c r="F97" s="14">
        <f>$F$10*'D) Ecrêtage'!M91</f>
        <v>353277.40543227404</v>
      </c>
      <c r="G97" s="152">
        <f t="shared" si="1"/>
        <v>409700.91043227405</v>
      </c>
    </row>
    <row r="98" spans="1:7" x14ac:dyDescent="0.25">
      <c r="A98" s="61">
        <f>'A) Base RI'!A94</f>
        <v>5540</v>
      </c>
      <c r="B98" s="114" t="str">
        <f>'A) Base RI'!B94</f>
        <v>Montilliez</v>
      </c>
      <c r="C98" s="52">
        <f>'A) Base RI'!AN94</f>
        <v>1656</v>
      </c>
      <c r="D98" s="14">
        <f>'C) Prél. conj.'!H92</f>
        <v>104112.245</v>
      </c>
      <c r="E98" s="19">
        <f>'D) Ecrêtage'!L92</f>
        <v>0</v>
      </c>
      <c r="F98" s="14">
        <f>$F$10*'D) Ecrêtage'!M92</f>
        <v>732743.32912502647</v>
      </c>
      <c r="G98" s="152">
        <f t="shared" si="1"/>
        <v>836855.57412502647</v>
      </c>
    </row>
    <row r="99" spans="1:7" x14ac:dyDescent="0.25">
      <c r="A99" s="61">
        <f>'A) Base RI'!A95</f>
        <v>5541</v>
      </c>
      <c r="B99" s="114" t="str">
        <f>'A) Base RI'!B95</f>
        <v>Goumoëns</v>
      </c>
      <c r="C99" s="52">
        <f>'A) Base RI'!AN95</f>
        <v>1055</v>
      </c>
      <c r="D99" s="14">
        <f>'C) Prél. conj.'!H93</f>
        <v>64540.364999999991</v>
      </c>
      <c r="E99" s="19">
        <f>'D) Ecrêtage'!L93</f>
        <v>0</v>
      </c>
      <c r="F99" s="14">
        <f>$F$10*'D) Ecrêtage'!M93</f>
        <v>552790.33566540258</v>
      </c>
      <c r="G99" s="152">
        <f t="shared" si="1"/>
        <v>617330.70066540258</v>
      </c>
    </row>
    <row r="100" spans="1:7" x14ac:dyDescent="0.25">
      <c r="A100" s="61">
        <f>'A) Base RI'!A96</f>
        <v>5551</v>
      </c>
      <c r="B100" s="114" t="str">
        <f>'A) Base RI'!B96</f>
        <v>Bonvillars</v>
      </c>
      <c r="C100" s="52">
        <f>'A) Base RI'!AN96</f>
        <v>506</v>
      </c>
      <c r="D100" s="14">
        <f>'C) Prél. conj.'!H94</f>
        <v>20902.285</v>
      </c>
      <c r="E100" s="19">
        <f>'D) Ecrêtage'!L94</f>
        <v>0</v>
      </c>
      <c r="F100" s="14">
        <f>$F$10*'D) Ecrêtage'!M94</f>
        <v>248211.83308020659</v>
      </c>
      <c r="G100" s="152">
        <f t="shared" si="1"/>
        <v>269114.11808020656</v>
      </c>
    </row>
    <row r="101" spans="1:7" x14ac:dyDescent="0.25">
      <c r="A101" s="61">
        <f>'A) Base RI'!A97</f>
        <v>5552</v>
      </c>
      <c r="B101" s="114" t="str">
        <f>'A) Base RI'!B97</f>
        <v>Bullet</v>
      </c>
      <c r="C101" s="52">
        <f>'A) Base RI'!AN97</f>
        <v>606</v>
      </c>
      <c r="D101" s="14">
        <f>'C) Prél. conj.'!H95</f>
        <v>114811.91499999999</v>
      </c>
      <c r="E101" s="19">
        <f>'D) Ecrêtage'!L95</f>
        <v>0</v>
      </c>
      <c r="F101" s="14">
        <f>$F$10*'D) Ecrêtage'!M95</f>
        <v>241026.74806798168</v>
      </c>
      <c r="G101" s="152">
        <f t="shared" si="1"/>
        <v>355838.66306798166</v>
      </c>
    </row>
    <row r="102" spans="1:7" x14ac:dyDescent="0.25">
      <c r="A102" s="61">
        <f>'A) Base RI'!A98</f>
        <v>5553</v>
      </c>
      <c r="B102" s="114" t="str">
        <f>'A) Base RI'!B98</f>
        <v>Champagne</v>
      </c>
      <c r="C102" s="52">
        <f>'A) Base RI'!AN98</f>
        <v>1048</v>
      </c>
      <c r="D102" s="14">
        <f>'C) Prél. conj.'!H96</f>
        <v>151155.95500000002</v>
      </c>
      <c r="E102" s="19">
        <f>'D) Ecrêtage'!L96</f>
        <v>0</v>
      </c>
      <c r="F102" s="14">
        <f>$F$10*'D) Ecrêtage'!M96</f>
        <v>674221.42659602081</v>
      </c>
      <c r="G102" s="152">
        <f t="shared" si="1"/>
        <v>825377.38159602089</v>
      </c>
    </row>
    <row r="103" spans="1:7" x14ac:dyDescent="0.25">
      <c r="A103" s="61">
        <f>'A) Base RI'!A99</f>
        <v>5554</v>
      </c>
      <c r="B103" s="114" t="str">
        <f>'A) Base RI'!B99</f>
        <v>Concise</v>
      </c>
      <c r="C103" s="52">
        <f>'A) Base RI'!AN99</f>
        <v>954</v>
      </c>
      <c r="D103" s="14">
        <f>'C) Prél. conj.'!H97</f>
        <v>141358.04999999999</v>
      </c>
      <c r="E103" s="19">
        <f>'D) Ecrêtage'!L97</f>
        <v>0</v>
      </c>
      <c r="F103" s="14">
        <f>$F$10*'D) Ecrêtage'!M97</f>
        <v>460938.45098141069</v>
      </c>
      <c r="G103" s="152">
        <f t="shared" si="1"/>
        <v>602296.50098141073</v>
      </c>
    </row>
    <row r="104" spans="1:7" x14ac:dyDescent="0.25">
      <c r="A104" s="61">
        <f>'A) Base RI'!A100</f>
        <v>5555</v>
      </c>
      <c r="B104" s="114" t="str">
        <f>'A) Base RI'!B100</f>
        <v>Corcelles-près-Concise</v>
      </c>
      <c r="C104" s="52">
        <f>'A) Base RI'!AN100</f>
        <v>337</v>
      </c>
      <c r="D104" s="14">
        <f>'C) Prél. conj.'!H98</f>
        <v>36584.905000000006</v>
      </c>
      <c r="E104" s="19">
        <f>'D) Ecrêtage'!L98</f>
        <v>0</v>
      </c>
      <c r="F104" s="14">
        <f>$F$10*'D) Ecrêtage'!M98</f>
        <v>151560.48685883498</v>
      </c>
      <c r="G104" s="152">
        <f t="shared" si="1"/>
        <v>188145.39185883498</v>
      </c>
    </row>
    <row r="105" spans="1:7" x14ac:dyDescent="0.25">
      <c r="A105" s="61">
        <f>'A) Base RI'!A101</f>
        <v>5556</v>
      </c>
      <c r="B105" s="114" t="str">
        <f>'A) Base RI'!B101</f>
        <v>Fiez</v>
      </c>
      <c r="C105" s="52">
        <f>'A) Base RI'!AN101</f>
        <v>421</v>
      </c>
      <c r="D105" s="14">
        <f>'C) Prél. conj.'!H99</f>
        <v>23902.205000000002</v>
      </c>
      <c r="E105" s="19">
        <f>'D) Ecrêtage'!L99</f>
        <v>0</v>
      </c>
      <c r="F105" s="14">
        <f>$F$10*'D) Ecrêtage'!M99</f>
        <v>167663.16488083167</v>
      </c>
      <c r="G105" s="152">
        <f t="shared" si="1"/>
        <v>191565.36988083168</v>
      </c>
    </row>
    <row r="106" spans="1:7" x14ac:dyDescent="0.25">
      <c r="A106" s="61">
        <f>'A) Base RI'!A102</f>
        <v>5557</v>
      </c>
      <c r="B106" s="114" t="str">
        <f>'A) Base RI'!B102</f>
        <v>Fontaines-sur-Grandson</v>
      </c>
      <c r="C106" s="52">
        <f>'A) Base RI'!AN102</f>
        <v>191</v>
      </c>
      <c r="D106" s="14">
        <f>'C) Prél. conj.'!H100</f>
        <v>8691.9049999999988</v>
      </c>
      <c r="E106" s="19">
        <f>'D) Ecrêtage'!L100</f>
        <v>0</v>
      </c>
      <c r="F106" s="14">
        <f>$F$10*'D) Ecrêtage'!M100</f>
        <v>65212.879013997263</v>
      </c>
      <c r="G106" s="152">
        <f t="shared" si="1"/>
        <v>73904.784013997269</v>
      </c>
    </row>
    <row r="107" spans="1:7" x14ac:dyDescent="0.25">
      <c r="A107" s="61">
        <f>'A) Base RI'!A103</f>
        <v>5559</v>
      </c>
      <c r="B107" s="114" t="str">
        <f>'A) Base RI'!B103</f>
        <v>Giez</v>
      </c>
      <c r="C107" s="52">
        <f>'A) Base RI'!AN103</f>
        <v>389</v>
      </c>
      <c r="D107" s="14">
        <f>'C) Prél. conj.'!H101</f>
        <v>9416.8649999999998</v>
      </c>
      <c r="E107" s="19">
        <f>'D) Ecrêtage'!L101</f>
        <v>0</v>
      </c>
      <c r="F107" s="14">
        <f>$F$10*'D) Ecrêtage'!M101</f>
        <v>279416.82546522986</v>
      </c>
      <c r="G107" s="152">
        <f t="shared" si="1"/>
        <v>288833.69046522985</v>
      </c>
    </row>
    <row r="108" spans="1:7" x14ac:dyDescent="0.25">
      <c r="A108" s="61">
        <f>'A) Base RI'!A104</f>
        <v>5560</v>
      </c>
      <c r="B108" s="114" t="str">
        <f>'A) Base RI'!B104</f>
        <v>Grandevent</v>
      </c>
      <c r="C108" s="52">
        <f>'A) Base RI'!AN104</f>
        <v>232</v>
      </c>
      <c r="D108" s="14">
        <f>'C) Prél. conj.'!H102</f>
        <v>15610.125</v>
      </c>
      <c r="E108" s="19">
        <f>'D) Ecrêtage'!L102</f>
        <v>0</v>
      </c>
      <c r="F108" s="14">
        <f>$F$10*'D) Ecrêtage'!M102</f>
        <v>99296.718704773215</v>
      </c>
      <c r="G108" s="152">
        <f t="shared" si="1"/>
        <v>114906.84370477321</v>
      </c>
    </row>
    <row r="109" spans="1:7" x14ac:dyDescent="0.25">
      <c r="A109" s="61">
        <f>'A) Base RI'!A105</f>
        <v>5561</v>
      </c>
      <c r="B109" s="114" t="str">
        <f>'A) Base RI'!B105</f>
        <v>Grandson</v>
      </c>
      <c r="C109" s="52">
        <f>'A) Base RI'!AN105</f>
        <v>3303</v>
      </c>
      <c r="D109" s="14">
        <f>'C) Prél. conj.'!H103</f>
        <v>449283.85</v>
      </c>
      <c r="E109" s="19">
        <f>'D) Ecrêtage'!L103</f>
        <v>0</v>
      </c>
      <c r="F109" s="14">
        <f>$F$10*'D) Ecrêtage'!M103</f>
        <v>1653477.6528001402</v>
      </c>
      <c r="G109" s="152">
        <f t="shared" si="1"/>
        <v>2102761.5028001401</v>
      </c>
    </row>
    <row r="110" spans="1:7" x14ac:dyDescent="0.25">
      <c r="A110" s="61">
        <f>'A) Base RI'!A106</f>
        <v>5562</v>
      </c>
      <c r="B110" s="114" t="str">
        <f>'A) Base RI'!B106</f>
        <v>Mauborget</v>
      </c>
      <c r="C110" s="52">
        <f>'A) Base RI'!AN106</f>
        <v>119</v>
      </c>
      <c r="D110" s="14">
        <f>'C) Prél. conj.'!H104</f>
        <v>4801.75</v>
      </c>
      <c r="E110" s="19">
        <f>'D) Ecrêtage'!L104</f>
        <v>0</v>
      </c>
      <c r="F110" s="14">
        <f>$F$10*'D) Ecrêtage'!M104</f>
        <v>60808.271805388038</v>
      </c>
      <c r="G110" s="152">
        <f t="shared" si="1"/>
        <v>65610.021805388038</v>
      </c>
    </row>
    <row r="111" spans="1:7" x14ac:dyDescent="0.25">
      <c r="A111" s="61">
        <f>'A) Base RI'!A107</f>
        <v>5563</v>
      </c>
      <c r="B111" s="114" t="str">
        <f>'A) Base RI'!B107</f>
        <v>Mutrux</v>
      </c>
      <c r="C111" s="52">
        <f>'A) Base RI'!AN107</f>
        <v>153</v>
      </c>
      <c r="D111" s="14">
        <f>'C) Prél. conj.'!H105</f>
        <v>6285.85</v>
      </c>
      <c r="E111" s="19">
        <f>'D) Ecrêtage'!L105</f>
        <v>0</v>
      </c>
      <c r="F111" s="14">
        <f>$F$10*'D) Ecrêtage'!M105</f>
        <v>63684.680952325667</v>
      </c>
      <c r="G111" s="152">
        <f t="shared" si="1"/>
        <v>69970.530952325673</v>
      </c>
    </row>
    <row r="112" spans="1:7" x14ac:dyDescent="0.25">
      <c r="A112" s="61">
        <f>'A) Base RI'!A108</f>
        <v>5564</v>
      </c>
      <c r="B112" s="114" t="str">
        <f>'A) Base RI'!B108</f>
        <v>Novalles</v>
      </c>
      <c r="C112" s="52">
        <f>'A) Base RI'!AN108</f>
        <v>102</v>
      </c>
      <c r="D112" s="14">
        <f>'C) Prél. conj.'!H106</f>
        <v>0</v>
      </c>
      <c r="E112" s="19">
        <f>'D) Ecrêtage'!L106</f>
        <v>0</v>
      </c>
      <c r="F112" s="14">
        <f>$F$10*'D) Ecrêtage'!M106</f>
        <v>32914.931944808552</v>
      </c>
      <c r="G112" s="152">
        <f t="shared" si="1"/>
        <v>32914.931944808552</v>
      </c>
    </row>
    <row r="113" spans="1:7" x14ac:dyDescent="0.25">
      <c r="A113" s="61">
        <f>'A) Base RI'!A109</f>
        <v>5565</v>
      </c>
      <c r="B113" s="114" t="str">
        <f>'A) Base RI'!B109</f>
        <v>Onnens</v>
      </c>
      <c r="C113" s="52">
        <f>'A) Base RI'!AN109</f>
        <v>493</v>
      </c>
      <c r="D113" s="14">
        <f>'C) Prél. conj.'!H107</f>
        <v>42224.165000000001</v>
      </c>
      <c r="E113" s="19">
        <f>'D) Ecrêtage'!L107</f>
        <v>0</v>
      </c>
      <c r="F113" s="14">
        <f>$F$10*'D) Ecrêtage'!M107</f>
        <v>298421.59429948317</v>
      </c>
      <c r="G113" s="152">
        <f t="shared" si="1"/>
        <v>340645.75929948315</v>
      </c>
    </row>
    <row r="114" spans="1:7" x14ac:dyDescent="0.25">
      <c r="A114" s="61">
        <f>'A) Base RI'!A110</f>
        <v>5566</v>
      </c>
      <c r="B114" s="114" t="str">
        <f>'A) Base RI'!B110</f>
        <v>Provence</v>
      </c>
      <c r="C114" s="52">
        <f>'A) Base RI'!AN110</f>
        <v>385</v>
      </c>
      <c r="D114" s="14">
        <f>'C) Prél. conj.'!H108</f>
        <v>20382.455000000002</v>
      </c>
      <c r="E114" s="19">
        <f>'D) Ecrêtage'!L108</f>
        <v>0</v>
      </c>
      <c r="F114" s="14">
        <f>$F$10*'D) Ecrêtage'!M108</f>
        <v>121310.21670602325</v>
      </c>
      <c r="G114" s="152">
        <f t="shared" si="1"/>
        <v>141692.67170602325</v>
      </c>
    </row>
    <row r="115" spans="1:7" x14ac:dyDescent="0.25">
      <c r="A115" s="61">
        <f>'A) Base RI'!A111</f>
        <v>5568</v>
      </c>
      <c r="B115" s="114" t="str">
        <f>'A) Base RI'!B111</f>
        <v>Sainte-Croix</v>
      </c>
      <c r="C115" s="52">
        <f>'A) Base RI'!AN111</f>
        <v>4763</v>
      </c>
      <c r="D115" s="14">
        <f>'C) Prél. conj.'!H109</f>
        <v>921332.15999999992</v>
      </c>
      <c r="E115" s="19">
        <f>'D) Ecrêtage'!L109</f>
        <v>0</v>
      </c>
      <c r="F115" s="14">
        <f>$F$10*'D) Ecrêtage'!M109</f>
        <v>1450528.8288435938</v>
      </c>
      <c r="G115" s="152">
        <f t="shared" si="1"/>
        <v>2371860.9888435937</v>
      </c>
    </row>
    <row r="116" spans="1:7" x14ac:dyDescent="0.25">
      <c r="A116" s="61">
        <f>'A) Base RI'!A112</f>
        <v>5571</v>
      </c>
      <c r="B116" s="114" t="str">
        <f>'A) Base RI'!B112</f>
        <v>Tévenon</v>
      </c>
      <c r="C116" s="52">
        <f>'A) Base RI'!AN112</f>
        <v>811</v>
      </c>
      <c r="D116" s="14">
        <f>'C) Prél. conj.'!H110</f>
        <v>66143.255000000005</v>
      </c>
      <c r="E116" s="19">
        <f>'D) Ecrêtage'!L110</f>
        <v>0</v>
      </c>
      <c r="F116" s="14">
        <f>$F$10*'D) Ecrêtage'!M110</f>
        <v>322383.86848820373</v>
      </c>
      <c r="G116" s="152">
        <f t="shared" si="1"/>
        <v>388527.12348820374</v>
      </c>
    </row>
    <row r="117" spans="1:7" x14ac:dyDescent="0.25">
      <c r="A117" s="61">
        <f>'A) Base RI'!A113</f>
        <v>5581</v>
      </c>
      <c r="B117" s="114" t="str">
        <f>'A) Base RI'!B113</f>
        <v>Belmont-sur-Lausanne</v>
      </c>
      <c r="C117" s="52">
        <f>'A) Base RI'!AN113</f>
        <v>3602</v>
      </c>
      <c r="D117" s="14">
        <f>'C) Prél. conj.'!H111</f>
        <v>404956.22499999998</v>
      </c>
      <c r="E117" s="19">
        <f>'D) Ecrêtage'!L111</f>
        <v>0</v>
      </c>
      <c r="F117" s="14">
        <f>$F$10*'D) Ecrêtage'!M111</f>
        <v>2686265.7017564159</v>
      </c>
      <c r="G117" s="152">
        <f t="shared" si="1"/>
        <v>3091221.926756416</v>
      </c>
    </row>
    <row r="118" spans="1:7" x14ac:dyDescent="0.25">
      <c r="A118" s="61">
        <f>'A) Base RI'!A114</f>
        <v>5582</v>
      </c>
      <c r="B118" s="114" t="str">
        <f>'A) Base RI'!B114</f>
        <v>Cheseaux-sur-Lausanne</v>
      </c>
      <c r="C118" s="52">
        <f>'A) Base RI'!AN114</f>
        <v>4297</v>
      </c>
      <c r="D118" s="14">
        <f>'C) Prél. conj.'!H112</f>
        <v>561608.83000000007</v>
      </c>
      <c r="E118" s="19">
        <f>'D) Ecrêtage'!L112</f>
        <v>0</v>
      </c>
      <c r="F118" s="14">
        <f>$F$10*'D) Ecrêtage'!M112</f>
        <v>2566915.1211883011</v>
      </c>
      <c r="G118" s="152">
        <f t="shared" si="1"/>
        <v>3128523.9511883012</v>
      </c>
    </row>
    <row r="119" spans="1:7" x14ac:dyDescent="0.25">
      <c r="A119" s="61">
        <f>'A) Base RI'!A115</f>
        <v>5583</v>
      </c>
      <c r="B119" s="114" t="str">
        <f>'A) Base RI'!B115</f>
        <v>Crissier</v>
      </c>
      <c r="C119" s="52">
        <f>'A) Base RI'!AN115</f>
        <v>7542</v>
      </c>
      <c r="D119" s="14">
        <f>'C) Prél. conj.'!H113</f>
        <v>1151422.8400000001</v>
      </c>
      <c r="E119" s="19">
        <f>'D) Ecrêtage'!L113</f>
        <v>0</v>
      </c>
      <c r="F119" s="14">
        <f>$F$10*'D) Ecrêtage'!M113</f>
        <v>5028773.4295627</v>
      </c>
      <c r="G119" s="152">
        <f t="shared" si="1"/>
        <v>6180196.2695626998</v>
      </c>
    </row>
    <row r="120" spans="1:7" x14ac:dyDescent="0.25">
      <c r="A120" s="61">
        <f>'A) Base RI'!A116</f>
        <v>5584</v>
      </c>
      <c r="B120" s="114" t="str">
        <f>'A) Base RI'!B116</f>
        <v>Epalinges</v>
      </c>
      <c r="C120" s="52">
        <f>'A) Base RI'!AN116</f>
        <v>9185</v>
      </c>
      <c r="D120" s="14">
        <f>'C) Prél. conj.'!H114</f>
        <v>1670438.01</v>
      </c>
      <c r="E120" s="19">
        <f>'D) Ecrêtage'!L114</f>
        <v>0</v>
      </c>
      <c r="F120" s="14">
        <f>$F$10*'D) Ecrêtage'!M114</f>
        <v>7077969.9828017252</v>
      </c>
      <c r="G120" s="152">
        <f t="shared" si="1"/>
        <v>8748407.9928017259</v>
      </c>
    </row>
    <row r="121" spans="1:7" x14ac:dyDescent="0.25">
      <c r="A121" s="61">
        <f>'A) Base RI'!A117</f>
        <v>5585</v>
      </c>
      <c r="B121" s="114" t="str">
        <f>'A) Base RI'!B117</f>
        <v>Jouxtens-Mézery</v>
      </c>
      <c r="C121" s="52">
        <f>'A) Base RI'!AN117</f>
        <v>1405</v>
      </c>
      <c r="D121" s="14">
        <f>'C) Prél. conj.'!H115</f>
        <v>273743.86</v>
      </c>
      <c r="E121" s="19">
        <f>'D) Ecrêtage'!L115</f>
        <v>2078435.2450456733</v>
      </c>
      <c r="F121" s="14">
        <f>$F$10*'D) Ecrêtage'!M115</f>
        <v>2075429.0073694331</v>
      </c>
      <c r="G121" s="152">
        <f t="shared" si="1"/>
        <v>4427608.112415106</v>
      </c>
    </row>
    <row r="122" spans="1:7" x14ac:dyDescent="0.25">
      <c r="A122" s="61">
        <f>'A) Base RI'!A118</f>
        <v>5586</v>
      </c>
      <c r="B122" s="114" t="str">
        <f>'A) Base RI'!B118</f>
        <v>Lausanne</v>
      </c>
      <c r="C122" s="52">
        <f>'A) Base RI'!AN118</f>
        <v>134937</v>
      </c>
      <c r="D122" s="14">
        <f>'C) Prél. conj.'!H116</f>
        <v>17247371.66</v>
      </c>
      <c r="E122" s="19">
        <f>'D) Ecrêtage'!L116</f>
        <v>0</v>
      </c>
      <c r="F122" s="14">
        <f>$F$10*'D) Ecrêtage'!M116</f>
        <v>91555206.702920884</v>
      </c>
      <c r="G122" s="152">
        <f t="shared" si="1"/>
        <v>108802578.36292088</v>
      </c>
    </row>
    <row r="123" spans="1:7" x14ac:dyDescent="0.25">
      <c r="A123" s="61">
        <f>'A) Base RI'!A119</f>
        <v>5587</v>
      </c>
      <c r="B123" s="114" t="str">
        <f>'A) Base RI'!B119</f>
        <v>Le Mont-sur-Lausanne</v>
      </c>
      <c r="C123" s="52">
        <f>'A) Base RI'!AN119</f>
        <v>7271</v>
      </c>
      <c r="D123" s="14">
        <f>'C) Prél. conj.'!H117</f>
        <v>1628359.5250000001</v>
      </c>
      <c r="E123" s="19">
        <f>'D) Ecrêtage'!L117</f>
        <v>0</v>
      </c>
      <c r="F123" s="14">
        <f>$F$10*'D) Ecrêtage'!M117</f>
        <v>5906267.1586123034</v>
      </c>
      <c r="G123" s="152">
        <f t="shared" si="1"/>
        <v>7534626.6836123038</v>
      </c>
    </row>
    <row r="124" spans="1:7" x14ac:dyDescent="0.25">
      <c r="A124" s="61">
        <f>'A) Base RI'!A120</f>
        <v>5588</v>
      </c>
      <c r="B124" s="114" t="str">
        <f>'A) Base RI'!B120</f>
        <v>Paudex</v>
      </c>
      <c r="C124" s="52">
        <f>'A) Base RI'!AN120</f>
        <v>1485</v>
      </c>
      <c r="D124" s="14">
        <f>'C) Prél. conj.'!H118</f>
        <v>24434.11</v>
      </c>
      <c r="E124" s="19">
        <f>'D) Ecrêtage'!L118</f>
        <v>2016941.1329839095</v>
      </c>
      <c r="F124" s="14">
        <f>$F$10*'D) Ecrêtage'!M118</f>
        <v>2041040.6363569889</v>
      </c>
      <c r="G124" s="152">
        <f t="shared" si="1"/>
        <v>4082415.8793408982</v>
      </c>
    </row>
    <row r="125" spans="1:7" x14ac:dyDescent="0.25">
      <c r="A125" s="61">
        <f>'A) Base RI'!A121</f>
        <v>5589</v>
      </c>
      <c r="B125" s="114" t="str">
        <f>'A) Base RI'!B121</f>
        <v>Prilly</v>
      </c>
      <c r="C125" s="52">
        <f>'A) Base RI'!AN121</f>
        <v>11782</v>
      </c>
      <c r="D125" s="14">
        <f>'C) Prél. conj.'!H119</f>
        <v>1742240.58</v>
      </c>
      <c r="E125" s="19">
        <f>'D) Ecrêtage'!L119</f>
        <v>0</v>
      </c>
      <c r="F125" s="14">
        <f>$F$10*'D) Ecrêtage'!M119</f>
        <v>7178744.9671211112</v>
      </c>
      <c r="G125" s="152">
        <f t="shared" si="1"/>
        <v>8920985.5471211113</v>
      </c>
    </row>
    <row r="126" spans="1:7" x14ac:dyDescent="0.25">
      <c r="A126" s="61">
        <f>'A) Base RI'!A122</f>
        <v>5590</v>
      </c>
      <c r="B126" s="114" t="str">
        <f>'A) Base RI'!B122</f>
        <v>Pully</v>
      </c>
      <c r="C126" s="52">
        <f>'A) Base RI'!AN122</f>
        <v>17811</v>
      </c>
      <c r="D126" s="14">
        <f>'C) Prél. conj.'!H120</f>
        <v>5650311.875</v>
      </c>
      <c r="E126" s="19">
        <f>'D) Ecrêtage'!L120</f>
        <v>9932433.1692279633</v>
      </c>
      <c r="F126" s="14">
        <f>$F$10*'D) Ecrêtage'!M120</f>
        <v>19626120.621437728</v>
      </c>
      <c r="G126" s="152">
        <f t="shared" si="1"/>
        <v>35208865.665665694</v>
      </c>
    </row>
    <row r="127" spans="1:7" x14ac:dyDescent="0.25">
      <c r="A127" s="61">
        <f>'A) Base RI'!A123</f>
        <v>5591</v>
      </c>
      <c r="B127" s="114" t="str">
        <f>'A) Base RI'!B123</f>
        <v>Renens</v>
      </c>
      <c r="C127" s="52">
        <f>'A) Base RI'!AN123</f>
        <v>20362</v>
      </c>
      <c r="D127" s="14">
        <f>'C) Prél. conj.'!H121</f>
        <v>1170371.6850000001</v>
      </c>
      <c r="E127" s="19">
        <f>'D) Ecrêtage'!L121</f>
        <v>0</v>
      </c>
      <c r="F127" s="14">
        <f>$F$10*'D) Ecrêtage'!M121</f>
        <v>8490256.6059711855</v>
      </c>
      <c r="G127" s="152">
        <f t="shared" si="1"/>
        <v>9660628.290971186</v>
      </c>
    </row>
    <row r="128" spans="1:7" x14ac:dyDescent="0.25">
      <c r="A128" s="61">
        <f>'A) Base RI'!A124</f>
        <v>5592</v>
      </c>
      <c r="B128" s="114" t="str">
        <f>'A) Base RI'!B124</f>
        <v>Romanel-sur-Lausanne</v>
      </c>
      <c r="C128" s="52">
        <f>'A) Base RI'!AN124</f>
        <v>3351</v>
      </c>
      <c r="D128" s="14">
        <f>'C) Prél. conj.'!H122</f>
        <v>496984.53</v>
      </c>
      <c r="E128" s="19">
        <f>'D) Ecrêtage'!L122</f>
        <v>0</v>
      </c>
      <c r="F128" s="14">
        <f>$F$10*'D) Ecrêtage'!M122</f>
        <v>1711942.3195967441</v>
      </c>
      <c r="G128" s="152">
        <f t="shared" si="1"/>
        <v>2208926.8495967444</v>
      </c>
    </row>
    <row r="129" spans="1:7" x14ac:dyDescent="0.25">
      <c r="A129" s="61">
        <f>'A) Base RI'!A125</f>
        <v>5601</v>
      </c>
      <c r="B129" s="114" t="str">
        <f>'A) Base RI'!B125</f>
        <v>Chexbres</v>
      </c>
      <c r="C129" s="52">
        <f>'A) Base RI'!AN125</f>
        <v>2218</v>
      </c>
      <c r="D129" s="14">
        <f>'C) Prél. conj.'!H123</f>
        <v>325987.3</v>
      </c>
      <c r="E129" s="19">
        <f>'D) Ecrêtage'!L123</f>
        <v>0</v>
      </c>
      <c r="F129" s="14">
        <f>$F$10*'D) Ecrêtage'!M123</f>
        <v>1621917.8499638957</v>
      </c>
      <c r="G129" s="152">
        <f t="shared" si="1"/>
        <v>1947905.1499638958</v>
      </c>
    </row>
    <row r="130" spans="1:7" x14ac:dyDescent="0.25">
      <c r="A130" s="61">
        <f>'A) Base RI'!A126</f>
        <v>5604</v>
      </c>
      <c r="B130" s="114" t="str">
        <f>'A) Base RI'!B126</f>
        <v>Forel (Lavaux)</v>
      </c>
      <c r="C130" s="52">
        <f>'A) Base RI'!AN126</f>
        <v>2085</v>
      </c>
      <c r="D130" s="14">
        <f>'C) Prél. conj.'!H124</f>
        <v>141138.11499999999</v>
      </c>
      <c r="E130" s="19">
        <f>'D) Ecrêtage'!L124</f>
        <v>0</v>
      </c>
      <c r="F130" s="14">
        <f>$F$10*'D) Ecrêtage'!M124</f>
        <v>1017080.6510183687</v>
      </c>
      <c r="G130" s="152">
        <f t="shared" si="1"/>
        <v>1158218.7660183688</v>
      </c>
    </row>
    <row r="131" spans="1:7" x14ac:dyDescent="0.25">
      <c r="A131" s="61">
        <f>'A) Base RI'!A127</f>
        <v>5606</v>
      </c>
      <c r="B131" s="114" t="str">
        <f>'A) Base RI'!B127</f>
        <v>Lutry</v>
      </c>
      <c r="C131" s="52">
        <f>'A) Base RI'!AN127</f>
        <v>9739</v>
      </c>
      <c r="D131" s="14">
        <f>'C) Prél. conj.'!H125</f>
        <v>3787165.5449999999</v>
      </c>
      <c r="E131" s="19">
        <f>'D) Ecrêtage'!L125</f>
        <v>4703216.9365870431</v>
      </c>
      <c r="F131" s="14">
        <f>$F$10*'D) Ecrêtage'!M125</f>
        <v>10678964.916981086</v>
      </c>
      <c r="G131" s="152">
        <f t="shared" si="1"/>
        <v>19169347.398568131</v>
      </c>
    </row>
    <row r="132" spans="1:7" x14ac:dyDescent="0.25">
      <c r="A132" s="61">
        <f>'A) Base RI'!A128</f>
        <v>5607</v>
      </c>
      <c r="B132" s="114" t="str">
        <f>'A) Base RI'!B128</f>
        <v>Puidoux</v>
      </c>
      <c r="C132" s="52">
        <f>'A) Base RI'!AN128</f>
        <v>2858</v>
      </c>
      <c r="D132" s="14">
        <f>'C) Prél. conj.'!H126</f>
        <v>257998.73</v>
      </c>
      <c r="E132" s="19">
        <f>'D) Ecrêtage'!L126</f>
        <v>0</v>
      </c>
      <c r="F132" s="14">
        <f>$F$10*'D) Ecrêtage'!M126</f>
        <v>1565835.7400530293</v>
      </c>
      <c r="G132" s="152">
        <f t="shared" si="1"/>
        <v>1823834.4700530292</v>
      </c>
    </row>
    <row r="133" spans="1:7" x14ac:dyDescent="0.25">
      <c r="A133" s="61">
        <f>'A) Base RI'!A129</f>
        <v>5609</v>
      </c>
      <c r="B133" s="114" t="str">
        <f>'A) Base RI'!B129</f>
        <v>Rivaz</v>
      </c>
      <c r="C133" s="52">
        <f>'A) Base RI'!AN129</f>
        <v>360</v>
      </c>
      <c r="D133" s="14">
        <f>'C) Prél. conj.'!H127</f>
        <v>51339.424999999996</v>
      </c>
      <c r="E133" s="19">
        <f>'D) Ecrêtage'!L127</f>
        <v>0</v>
      </c>
      <c r="F133" s="14">
        <f>$F$10*'D) Ecrêtage'!M127</f>
        <v>250289.21565155144</v>
      </c>
      <c r="G133" s="152">
        <f t="shared" si="1"/>
        <v>301628.64065155142</v>
      </c>
    </row>
    <row r="134" spans="1:7" x14ac:dyDescent="0.25">
      <c r="A134" s="61">
        <f>'A) Base RI'!A130</f>
        <v>5610</v>
      </c>
      <c r="B134" s="114" t="str">
        <f>'A) Base RI'!B130</f>
        <v>St-Saphorin (Lavaux)</v>
      </c>
      <c r="C134" s="52">
        <f>'A) Base RI'!AN130</f>
        <v>383</v>
      </c>
      <c r="D134" s="14">
        <f>'C) Prél. conj.'!H128</f>
        <v>25961.574999999997</v>
      </c>
      <c r="E134" s="19">
        <f>'D) Ecrêtage'!L128</f>
        <v>2028.9465174389163</v>
      </c>
      <c r="F134" s="14">
        <f>$F$10*'D) Ecrêtage'!M128</f>
        <v>325287.46219300758</v>
      </c>
      <c r="G134" s="152">
        <f t="shared" si="1"/>
        <v>353277.98371044651</v>
      </c>
    </row>
    <row r="135" spans="1:7" x14ac:dyDescent="0.25">
      <c r="A135" s="61">
        <f>'A) Base RI'!A131</f>
        <v>5611</v>
      </c>
      <c r="B135" s="114" t="str">
        <f>'A) Base RI'!B131</f>
        <v>Savigny</v>
      </c>
      <c r="C135" s="52">
        <f>'A) Base RI'!AN131</f>
        <v>3304</v>
      </c>
      <c r="D135" s="14">
        <f>'C) Prél. conj.'!H129</f>
        <v>437330.96500000003</v>
      </c>
      <c r="E135" s="19">
        <f>'D) Ecrêtage'!L129</f>
        <v>0</v>
      </c>
      <c r="F135" s="14">
        <f>$F$10*'D) Ecrêtage'!M129</f>
        <v>2023030.369617952</v>
      </c>
      <c r="G135" s="152">
        <f t="shared" si="1"/>
        <v>2460361.3346179519</v>
      </c>
    </row>
    <row r="136" spans="1:7" x14ac:dyDescent="0.25">
      <c r="A136" s="61">
        <f>'A) Base RI'!A132</f>
        <v>5613</v>
      </c>
      <c r="B136" s="114" t="str">
        <f>'A) Base RI'!B132</f>
        <v>Bourg-en-Lavaux</v>
      </c>
      <c r="C136" s="52">
        <f>'A) Base RI'!AN132</f>
        <v>5247</v>
      </c>
      <c r="D136" s="14">
        <f>'C) Prél. conj.'!H130</f>
        <v>1076991.4099999999</v>
      </c>
      <c r="E136" s="19">
        <f>'D) Ecrêtage'!L130</f>
        <v>209920.79094090534</v>
      </c>
      <c r="F136" s="14">
        <f>$F$10*'D) Ecrêtage'!M130</f>
        <v>4555219.9473567773</v>
      </c>
      <c r="G136" s="152">
        <f t="shared" si="1"/>
        <v>5842132.1482976824</v>
      </c>
    </row>
    <row r="137" spans="1:7" x14ac:dyDescent="0.25">
      <c r="A137" s="61">
        <f>'A) Base RI'!A133</f>
        <v>5621</v>
      </c>
      <c r="B137" s="114" t="str">
        <f>'A) Base RI'!B133</f>
        <v>Aclens</v>
      </c>
      <c r="C137" s="52">
        <f>'A) Base RI'!AN133</f>
        <v>528</v>
      </c>
      <c r="D137" s="14">
        <f>'C) Prél. conj.'!H131</f>
        <v>124156.51999999999</v>
      </c>
      <c r="E137" s="19">
        <f>'D) Ecrêtage'!L131</f>
        <v>110917.82756878357</v>
      </c>
      <c r="F137" s="14">
        <f>$F$10*'D) Ecrêtage'!M131</f>
        <v>506043.07496827393</v>
      </c>
      <c r="G137" s="152">
        <f t="shared" si="1"/>
        <v>741117.42253705743</v>
      </c>
    </row>
    <row r="138" spans="1:7" x14ac:dyDescent="0.25">
      <c r="A138" s="61">
        <f>'A) Base RI'!A134</f>
        <v>5622</v>
      </c>
      <c r="B138" s="114" t="str">
        <f>'A) Base RI'!B134</f>
        <v>Bremblens</v>
      </c>
      <c r="C138" s="52">
        <f>'A) Base RI'!AN134</f>
        <v>511</v>
      </c>
      <c r="D138" s="14">
        <f>'C) Prél. conj.'!H132</f>
        <v>37543.01</v>
      </c>
      <c r="E138" s="19">
        <f>'D) Ecrêtage'!L132</f>
        <v>6256.8132958453843</v>
      </c>
      <c r="F138" s="14">
        <f>$F$10*'D) Ecrêtage'!M132</f>
        <v>435688.95802283887</v>
      </c>
      <c r="G138" s="152">
        <f t="shared" si="1"/>
        <v>479488.78131868428</v>
      </c>
    </row>
    <row r="139" spans="1:7" x14ac:dyDescent="0.25">
      <c r="A139" s="61">
        <f>'A) Base RI'!A135</f>
        <v>5623</v>
      </c>
      <c r="B139" s="114" t="str">
        <f>'A) Base RI'!B135</f>
        <v>Buchillon</v>
      </c>
      <c r="C139" s="52">
        <f>'A) Base RI'!AN135</f>
        <v>624</v>
      </c>
      <c r="D139" s="14">
        <f>'C) Prél. conj.'!H133</f>
        <v>306836.65999999997</v>
      </c>
      <c r="E139" s="19">
        <f>'D) Ecrêtage'!L133</f>
        <v>1383902.5206864451</v>
      </c>
      <c r="F139" s="14">
        <f>$F$10*'D) Ecrêtage'!M133</f>
        <v>1072323.8436581495</v>
      </c>
      <c r="G139" s="152">
        <f t="shared" si="1"/>
        <v>2763063.0243445942</v>
      </c>
    </row>
    <row r="140" spans="1:7" x14ac:dyDescent="0.25">
      <c r="A140" s="61">
        <f>'A) Base RI'!A136</f>
        <v>5624</v>
      </c>
      <c r="B140" s="114" t="str">
        <f>'A) Base RI'!B136</f>
        <v>Bussigny</v>
      </c>
      <c r="C140" s="52">
        <f>'A) Base RI'!AN136</f>
        <v>8215</v>
      </c>
      <c r="D140" s="14">
        <f>'C) Prél. conj.'!H134</f>
        <v>2619725.1599999997</v>
      </c>
      <c r="E140" s="19">
        <f>'D) Ecrêtage'!L134</f>
        <v>0</v>
      </c>
      <c r="F140" s="14">
        <f>$F$10*'D) Ecrêtage'!M134</f>
        <v>4846347.2764863372</v>
      </c>
      <c r="G140" s="152">
        <f t="shared" ref="G140:G203" si="2">D140+F140+E140</f>
        <v>7466072.4364863373</v>
      </c>
    </row>
    <row r="141" spans="1:7" x14ac:dyDescent="0.25">
      <c r="A141" s="61">
        <f>'A) Base RI'!A137</f>
        <v>5625</v>
      </c>
      <c r="B141" s="114" t="str">
        <f>'A) Base RI'!B137</f>
        <v>Bussy-Chardonney</v>
      </c>
      <c r="C141" s="52">
        <f>'A) Base RI'!AN137</f>
        <v>377</v>
      </c>
      <c r="D141" s="14">
        <f>'C) Prél. conj.'!H135</f>
        <v>51607.85</v>
      </c>
      <c r="E141" s="19">
        <f>'D) Ecrêtage'!L135</f>
        <v>0</v>
      </c>
      <c r="F141" s="14">
        <f>$F$10*'D) Ecrêtage'!M135</f>
        <v>251071.22627804766</v>
      </c>
      <c r="G141" s="152">
        <f t="shared" si="2"/>
        <v>302679.07627804764</v>
      </c>
    </row>
    <row r="142" spans="1:7" x14ac:dyDescent="0.25">
      <c r="A142" s="61">
        <f>'A) Base RI'!A138</f>
        <v>5627</v>
      </c>
      <c r="B142" s="114" t="str">
        <f>'A) Base RI'!B138</f>
        <v>Chavannes-près-Renens</v>
      </c>
      <c r="C142" s="52">
        <f>'A) Base RI'!AN138</f>
        <v>7374</v>
      </c>
      <c r="D142" s="14">
        <f>'C) Prél. conj.'!H136</f>
        <v>319737.3</v>
      </c>
      <c r="E142" s="19">
        <f>'D) Ecrêtage'!L136</f>
        <v>0</v>
      </c>
      <c r="F142" s="14">
        <f>$F$10*'D) Ecrêtage'!M136</f>
        <v>2522910.6177990502</v>
      </c>
      <c r="G142" s="152">
        <f t="shared" si="2"/>
        <v>2842647.91779905</v>
      </c>
    </row>
    <row r="143" spans="1:7" x14ac:dyDescent="0.25">
      <c r="A143" s="61">
        <f>'A) Base RI'!A139</f>
        <v>5628</v>
      </c>
      <c r="B143" s="114" t="str">
        <f>'A) Base RI'!B139</f>
        <v>Chigny</v>
      </c>
      <c r="C143" s="52">
        <f>'A) Base RI'!AN139</f>
        <v>331</v>
      </c>
      <c r="D143" s="14">
        <f>'C) Prél. conj.'!H137</f>
        <v>1390.9349999999999</v>
      </c>
      <c r="E143" s="19">
        <f>'D) Ecrêtage'!L137</f>
        <v>22678.527126298399</v>
      </c>
      <c r="F143" s="14">
        <f>$F$10*'D) Ecrêtage'!M137</f>
        <v>292271.64054344076</v>
      </c>
      <c r="G143" s="152">
        <f t="shared" si="2"/>
        <v>316341.10266973916</v>
      </c>
    </row>
    <row r="144" spans="1:7" x14ac:dyDescent="0.25">
      <c r="A144" s="61">
        <f>'A) Base RI'!A140</f>
        <v>5629</v>
      </c>
      <c r="B144" s="114" t="str">
        <f>'A) Base RI'!B140</f>
        <v>Clarmont</v>
      </c>
      <c r="C144" s="52">
        <f>'A) Base RI'!AN140</f>
        <v>160</v>
      </c>
      <c r="D144" s="14">
        <f>'C) Prél. conj.'!H138</f>
        <v>10618</v>
      </c>
      <c r="E144" s="19">
        <f>'D) Ecrêtage'!L138</f>
        <v>0</v>
      </c>
      <c r="F144" s="14">
        <f>$F$10*'D) Ecrêtage'!M138</f>
        <v>117704.92509300115</v>
      </c>
      <c r="G144" s="152">
        <f t="shared" si="2"/>
        <v>128322.92509300115</v>
      </c>
    </row>
    <row r="145" spans="1:7" x14ac:dyDescent="0.25">
      <c r="A145" s="61">
        <f>'A) Base RI'!A141</f>
        <v>5631</v>
      </c>
      <c r="B145" s="114" t="str">
        <f>'A) Base RI'!B141</f>
        <v>Denens</v>
      </c>
      <c r="C145" s="52">
        <f>'A) Base RI'!AN141</f>
        <v>714</v>
      </c>
      <c r="D145" s="14">
        <f>'C) Prél. conj.'!H139</f>
        <v>274075.22499999998</v>
      </c>
      <c r="E145" s="19">
        <f>'D) Ecrêtage'!L139</f>
        <v>0</v>
      </c>
      <c r="F145" s="14">
        <f>$F$10*'D) Ecrêtage'!M139</f>
        <v>531221.71810280299</v>
      </c>
      <c r="G145" s="152">
        <f t="shared" si="2"/>
        <v>805296.94310280296</v>
      </c>
    </row>
    <row r="146" spans="1:7" x14ac:dyDescent="0.25">
      <c r="A146" s="61">
        <f>'A) Base RI'!A142</f>
        <v>5632</v>
      </c>
      <c r="B146" s="114" t="str">
        <f>'A) Base RI'!B142</f>
        <v>Denges</v>
      </c>
      <c r="C146" s="52">
        <f>'A) Base RI'!AN142</f>
        <v>1651</v>
      </c>
      <c r="D146" s="14">
        <f>'C) Prél. conj.'!H140</f>
        <v>144891.66</v>
      </c>
      <c r="E146" s="19">
        <f>'D) Ecrêtage'!L140</f>
        <v>0</v>
      </c>
      <c r="F146" s="14">
        <f>$F$10*'D) Ecrêtage'!M140</f>
        <v>1096020.991786418</v>
      </c>
      <c r="G146" s="152">
        <f t="shared" si="2"/>
        <v>1240912.6517864179</v>
      </c>
    </row>
    <row r="147" spans="1:7" x14ac:dyDescent="0.25">
      <c r="A147" s="61">
        <f>'A) Base RI'!A143</f>
        <v>5633</v>
      </c>
      <c r="B147" s="114" t="str">
        <f>'A) Base RI'!B143</f>
        <v>Echandens</v>
      </c>
      <c r="C147" s="52">
        <f>'A) Base RI'!AN143</f>
        <v>2631</v>
      </c>
      <c r="D147" s="14">
        <f>'C) Prél. conj.'!H141</f>
        <v>336984.005</v>
      </c>
      <c r="E147" s="19">
        <f>'D) Ecrêtage'!L141</f>
        <v>0</v>
      </c>
      <c r="F147" s="14">
        <f>$F$10*'D) Ecrêtage'!M141</f>
        <v>1909718.0732364967</v>
      </c>
      <c r="G147" s="152">
        <f t="shared" si="2"/>
        <v>2246702.0782364965</v>
      </c>
    </row>
    <row r="148" spans="1:7" x14ac:dyDescent="0.25">
      <c r="A148" s="61">
        <f>'A) Base RI'!A144</f>
        <v>5634</v>
      </c>
      <c r="B148" s="114" t="str">
        <f>'A) Base RI'!B144</f>
        <v>Echichens</v>
      </c>
      <c r="C148" s="52">
        <f>'A) Base RI'!AN144</f>
        <v>2585</v>
      </c>
      <c r="D148" s="14">
        <f>'C) Prél. conj.'!H142</f>
        <v>252404.88</v>
      </c>
      <c r="E148" s="19">
        <f>'D) Ecrêtage'!L142</f>
        <v>0</v>
      </c>
      <c r="F148" s="14">
        <f>$F$10*'D) Ecrêtage'!M142</f>
        <v>1888709.5184992766</v>
      </c>
      <c r="G148" s="152">
        <f t="shared" si="2"/>
        <v>2141114.3984992765</v>
      </c>
    </row>
    <row r="149" spans="1:7" x14ac:dyDescent="0.25">
      <c r="A149" s="61">
        <f>'A) Base RI'!A145</f>
        <v>5635</v>
      </c>
      <c r="B149" s="114" t="str">
        <f>'A) Base RI'!B145</f>
        <v>Ecublens</v>
      </c>
      <c r="C149" s="52">
        <f>'A) Base RI'!AN145</f>
        <v>12288</v>
      </c>
      <c r="D149" s="14">
        <f>'C) Prél. conj.'!H143</f>
        <v>1050870.5099999998</v>
      </c>
      <c r="E149" s="19">
        <f>'D) Ecrêtage'!L143</f>
        <v>0</v>
      </c>
      <c r="F149" s="14">
        <f>$F$10*'D) Ecrêtage'!M143</f>
        <v>7297860.7284701485</v>
      </c>
      <c r="G149" s="152">
        <f t="shared" si="2"/>
        <v>8348731.2384701483</v>
      </c>
    </row>
    <row r="150" spans="1:7" x14ac:dyDescent="0.25">
      <c r="A150" s="61">
        <f>'A) Base RI'!A146</f>
        <v>5636</v>
      </c>
      <c r="B150" s="114" t="str">
        <f>'A) Base RI'!B146</f>
        <v>Etoy</v>
      </c>
      <c r="C150" s="52">
        <f>'A) Base RI'!AN146</f>
        <v>2932</v>
      </c>
      <c r="D150" s="14">
        <f>'C) Prél. conj.'!H144</f>
        <v>458134.815</v>
      </c>
      <c r="E150" s="19">
        <f>'D) Ecrêtage'!L144</f>
        <v>0</v>
      </c>
      <c r="F150" s="14">
        <f>$F$10*'D) Ecrêtage'!M144</f>
        <v>2464959.6513156458</v>
      </c>
      <c r="G150" s="152">
        <f t="shared" si="2"/>
        <v>2923094.4663156457</v>
      </c>
    </row>
    <row r="151" spans="1:7" x14ac:dyDescent="0.25">
      <c r="A151" s="61">
        <f>'A) Base RI'!A147</f>
        <v>5637</v>
      </c>
      <c r="B151" s="114" t="str">
        <f>'A) Base RI'!B147</f>
        <v>Lavigny</v>
      </c>
      <c r="C151" s="52">
        <f>'A) Base RI'!AN147</f>
        <v>981</v>
      </c>
      <c r="D151" s="14">
        <f>'C) Prél. conj.'!H145</f>
        <v>197420.79499999998</v>
      </c>
      <c r="E151" s="19">
        <f>'D) Ecrêtage'!L145</f>
        <v>0</v>
      </c>
      <c r="F151" s="14">
        <f>$F$10*'D) Ecrêtage'!M145</f>
        <v>482428.77111208625</v>
      </c>
      <c r="G151" s="152">
        <f t="shared" si="2"/>
        <v>679849.56611208618</v>
      </c>
    </row>
    <row r="152" spans="1:7" x14ac:dyDescent="0.25">
      <c r="A152" s="61">
        <f>'A) Base RI'!A148</f>
        <v>5638</v>
      </c>
      <c r="B152" s="114" t="str">
        <f>'A) Base RI'!B148</f>
        <v>Lonay</v>
      </c>
      <c r="C152" s="52">
        <f>'A) Base RI'!AN148</f>
        <v>2536</v>
      </c>
      <c r="D152" s="14">
        <f>'C) Prél. conj.'!H146</f>
        <v>930985.87</v>
      </c>
      <c r="E152" s="19">
        <f>'D) Ecrêtage'!L146</f>
        <v>281096.5826288719</v>
      </c>
      <c r="F152" s="14">
        <f>$F$10*'D) Ecrêtage'!M146</f>
        <v>2315528.5697359242</v>
      </c>
      <c r="G152" s="152">
        <f t="shared" si="2"/>
        <v>3527611.0223647961</v>
      </c>
    </row>
    <row r="153" spans="1:7" x14ac:dyDescent="0.25">
      <c r="A153" s="61">
        <f>'A) Base RI'!A149</f>
        <v>5639</v>
      </c>
      <c r="B153" s="114" t="str">
        <f>'A) Base RI'!B149</f>
        <v>Lully</v>
      </c>
      <c r="C153" s="52">
        <f>'A) Base RI'!AN149</f>
        <v>760</v>
      </c>
      <c r="D153" s="14">
        <f>'C) Prél. conj.'!H147</f>
        <v>137429.375</v>
      </c>
      <c r="E153" s="19">
        <f>'D) Ecrêtage'!L147</f>
        <v>19290.045926946441</v>
      </c>
      <c r="F153" s="14">
        <f>$F$10*'D) Ecrêtage'!M147</f>
        <v>653779.90239420091</v>
      </c>
      <c r="G153" s="152">
        <f t="shared" si="2"/>
        <v>810499.32332114736</v>
      </c>
    </row>
    <row r="154" spans="1:7" x14ac:dyDescent="0.25">
      <c r="A154" s="61">
        <f>'A) Base RI'!A150</f>
        <v>5640</v>
      </c>
      <c r="B154" s="114" t="str">
        <f>'A) Base RI'!B150</f>
        <v>Lussy-sur-Morges</v>
      </c>
      <c r="C154" s="52">
        <f>'A) Base RI'!AN150</f>
        <v>646</v>
      </c>
      <c r="D154" s="14">
        <f>'C) Prél. conj.'!H148</f>
        <v>139373.5</v>
      </c>
      <c r="E154" s="19">
        <f>'D) Ecrêtage'!L148</f>
        <v>248116.69735762832</v>
      </c>
      <c r="F154" s="14">
        <f>$F$10*'D) Ecrêtage'!M148</f>
        <v>665491.43704972521</v>
      </c>
      <c r="G154" s="152">
        <f t="shared" si="2"/>
        <v>1052981.6344073536</v>
      </c>
    </row>
    <row r="155" spans="1:7" x14ac:dyDescent="0.25">
      <c r="A155" s="61">
        <f>'A) Base RI'!A151</f>
        <v>5642</v>
      </c>
      <c r="B155" s="114" t="str">
        <f>'A) Base RI'!B151</f>
        <v>Morges</v>
      </c>
      <c r="C155" s="52">
        <f>'A) Base RI'!AN151</f>
        <v>15623</v>
      </c>
      <c r="D155" s="14">
        <f>'C) Prél. conj.'!H149</f>
        <v>2455868.09</v>
      </c>
      <c r="E155" s="19">
        <f>'D) Ecrêtage'!L149</f>
        <v>0</v>
      </c>
      <c r="F155" s="14">
        <f>$F$10*'D) Ecrêtage'!M149</f>
        <v>11105893.649018923</v>
      </c>
      <c r="G155" s="152">
        <f t="shared" si="2"/>
        <v>13561761.739018923</v>
      </c>
    </row>
    <row r="156" spans="1:7" x14ac:dyDescent="0.25">
      <c r="A156" s="61">
        <f>'A) Base RI'!A152</f>
        <v>5643</v>
      </c>
      <c r="B156" s="114" t="str">
        <f>'A) Base RI'!B152</f>
        <v>Préverenges</v>
      </c>
      <c r="C156" s="52">
        <f>'A) Base RI'!AN152</f>
        <v>5263</v>
      </c>
      <c r="D156" s="14">
        <f>'C) Prél. conj.'!H150</f>
        <v>459372.97499999998</v>
      </c>
      <c r="E156" s="19">
        <f>'D) Ecrêtage'!L150</f>
        <v>0</v>
      </c>
      <c r="F156" s="14">
        <f>$F$10*'D) Ecrêtage'!M150</f>
        <v>3877910.960418507</v>
      </c>
      <c r="G156" s="152">
        <f t="shared" si="2"/>
        <v>4337283.9354185071</v>
      </c>
    </row>
    <row r="157" spans="1:7" x14ac:dyDescent="0.25">
      <c r="A157" s="61">
        <f>'A) Base RI'!A153</f>
        <v>5644</v>
      </c>
      <c r="B157" s="114" t="str">
        <f>'A) Base RI'!B153</f>
        <v>Reverolle</v>
      </c>
      <c r="C157" s="52">
        <f>'A) Base RI'!AN153</f>
        <v>360</v>
      </c>
      <c r="D157" s="14">
        <f>'C) Prél. conj.'!H151</f>
        <v>50990.68</v>
      </c>
      <c r="E157" s="19">
        <f>'D) Ecrêtage'!L151</f>
        <v>0</v>
      </c>
      <c r="F157" s="14">
        <f>$F$10*'D) Ecrêtage'!M151</f>
        <v>242101.81818841115</v>
      </c>
      <c r="G157" s="152">
        <f t="shared" si="2"/>
        <v>293092.49818841118</v>
      </c>
    </row>
    <row r="158" spans="1:7" x14ac:dyDescent="0.25">
      <c r="A158" s="61">
        <f>'A) Base RI'!A154</f>
        <v>5645</v>
      </c>
      <c r="B158" s="114" t="str">
        <f>'A) Base RI'!B154</f>
        <v>Romanel-sur-Morges</v>
      </c>
      <c r="C158" s="52">
        <f>'A) Base RI'!AN154</f>
        <v>459</v>
      </c>
      <c r="D158" s="14">
        <f>'C) Prél. conj.'!H152</f>
        <v>36648.205000000002</v>
      </c>
      <c r="E158" s="19">
        <f>'D) Ecrêtage'!L152</f>
        <v>7076.5570705570872</v>
      </c>
      <c r="F158" s="14">
        <f>$F$10*'D) Ecrêtage'!M152</f>
        <v>392714.10592973419</v>
      </c>
      <c r="G158" s="152">
        <f t="shared" si="2"/>
        <v>436438.86800029129</v>
      </c>
    </row>
    <row r="159" spans="1:7" x14ac:dyDescent="0.25">
      <c r="A159" s="61">
        <f>'A) Base RI'!A155</f>
        <v>5646</v>
      </c>
      <c r="B159" s="114" t="str">
        <f>'A) Base RI'!B155</f>
        <v>Saint-Prex</v>
      </c>
      <c r="C159" s="52">
        <f>'A) Base RI'!AN155</f>
        <v>5604</v>
      </c>
      <c r="D159" s="14">
        <f>'C) Prél. conj.'!H153</f>
        <v>1617239.575</v>
      </c>
      <c r="E159" s="19">
        <f>'D) Ecrêtage'!L153</f>
        <v>34691.320431308217</v>
      </c>
      <c r="F159" s="14">
        <f>$F$10*'D) Ecrêtage'!M153</f>
        <v>4764577.054320557</v>
      </c>
      <c r="G159" s="152">
        <f t="shared" si="2"/>
        <v>6416507.9497518651</v>
      </c>
    </row>
    <row r="160" spans="1:7" x14ac:dyDescent="0.25">
      <c r="A160" s="61">
        <f>'A) Base RI'!A156</f>
        <v>5648</v>
      </c>
      <c r="B160" s="114" t="str">
        <f>'A) Base RI'!B156</f>
        <v>Saint-Sulpice</v>
      </c>
      <c r="C160" s="52">
        <f>'A) Base RI'!AN156</f>
        <v>3898</v>
      </c>
      <c r="D160" s="14">
        <f>'C) Prél. conj.'!H154</f>
        <v>1312073.655</v>
      </c>
      <c r="E160" s="19">
        <f>'D) Ecrêtage'!L154</f>
        <v>2105989.5305973641</v>
      </c>
      <c r="F160" s="14">
        <f>$F$10*'D) Ecrêtage'!M154</f>
        <v>4384833.0021164361</v>
      </c>
      <c r="G160" s="152">
        <f t="shared" si="2"/>
        <v>7802896.1877138</v>
      </c>
    </row>
    <row r="161" spans="1:7" x14ac:dyDescent="0.25">
      <c r="A161" s="61">
        <f>'A) Base RI'!A157</f>
        <v>5649</v>
      </c>
      <c r="B161" s="114" t="str">
        <f>'A) Base RI'!B157</f>
        <v>Tolochenaz</v>
      </c>
      <c r="C161" s="52">
        <f>'A) Base RI'!AN157</f>
        <v>1855</v>
      </c>
      <c r="D161" s="14">
        <f>'C) Prél. conj.'!H155</f>
        <v>325808.22499999998</v>
      </c>
      <c r="E161" s="19">
        <f>'D) Ecrêtage'!L155</f>
        <v>192202.48925374402</v>
      </c>
      <c r="F161" s="14">
        <f>$F$10*'D) Ecrêtage'!M155</f>
        <v>1667918.9889620221</v>
      </c>
      <c r="G161" s="152">
        <f t="shared" si="2"/>
        <v>2185929.7032157662</v>
      </c>
    </row>
    <row r="162" spans="1:7" x14ac:dyDescent="0.25">
      <c r="A162" s="61">
        <f>'A) Base RI'!A158</f>
        <v>5650</v>
      </c>
      <c r="B162" s="114" t="str">
        <f>'A) Base RI'!B158</f>
        <v>Vaux-sur-Morges</v>
      </c>
      <c r="C162" s="52">
        <f>'A) Base RI'!AN158</f>
        <v>203</v>
      </c>
      <c r="D162" s="14">
        <f>'C) Prél. conj.'!H156</f>
        <v>35577.15</v>
      </c>
      <c r="E162" s="19">
        <f>'D) Ecrêtage'!L156</f>
        <v>4374246.2625419199</v>
      </c>
      <c r="F162" s="14">
        <f>$F$10*'D) Ecrêtage'!M156</f>
        <v>1741183.0495596628</v>
      </c>
      <c r="G162" s="152">
        <f t="shared" si="2"/>
        <v>6151006.4621015824</v>
      </c>
    </row>
    <row r="163" spans="1:7" x14ac:dyDescent="0.25">
      <c r="A163" s="61">
        <f>'A) Base RI'!A159</f>
        <v>5651</v>
      </c>
      <c r="B163" s="114" t="str">
        <f>'A) Base RI'!B159</f>
        <v>Villars-Sainte-Croix</v>
      </c>
      <c r="C163" s="52">
        <f>'A) Base RI'!AN159</f>
        <v>709</v>
      </c>
      <c r="D163" s="14">
        <f>'C) Prél. conj.'!H157</f>
        <v>263337.74</v>
      </c>
      <c r="E163" s="19">
        <f>'D) Ecrêtage'!L157</f>
        <v>0</v>
      </c>
      <c r="F163" s="14">
        <f>$F$10*'D) Ecrêtage'!M157</f>
        <v>587186.45484126243</v>
      </c>
      <c r="G163" s="152">
        <f t="shared" si="2"/>
        <v>850524.19484126242</v>
      </c>
    </row>
    <row r="164" spans="1:7" x14ac:dyDescent="0.25">
      <c r="A164" s="61">
        <f>'A) Base RI'!A160</f>
        <v>5652</v>
      </c>
      <c r="B164" s="114" t="str">
        <f>'A) Base RI'!B160</f>
        <v>Villars-sous-Yens</v>
      </c>
      <c r="C164" s="52">
        <f>'A) Base RI'!AN160</f>
        <v>564</v>
      </c>
      <c r="D164" s="14">
        <f>'C) Prél. conj.'!H158</f>
        <v>28307.879999999997</v>
      </c>
      <c r="E164" s="19">
        <f>'D) Ecrêtage'!L158</f>
        <v>0</v>
      </c>
      <c r="F164" s="14">
        <f>$F$10*'D) Ecrêtage'!M158</f>
        <v>367002.71624702739</v>
      </c>
      <c r="G164" s="152">
        <f t="shared" si="2"/>
        <v>395310.5962470274</v>
      </c>
    </row>
    <row r="165" spans="1:7" x14ac:dyDescent="0.25">
      <c r="A165" s="61">
        <f>'A) Base RI'!A161</f>
        <v>5653</v>
      </c>
      <c r="B165" s="114" t="str">
        <f>'A) Base RI'!B161</f>
        <v>Vufflens-le-Château</v>
      </c>
      <c r="C165" s="52">
        <f>'A) Base RI'!AN161</f>
        <v>821</v>
      </c>
      <c r="D165" s="14">
        <f>'C) Prél. conj.'!H159</f>
        <v>83364.31</v>
      </c>
      <c r="E165" s="19">
        <f>'D) Ecrêtage'!L159</f>
        <v>319055.73353046057</v>
      </c>
      <c r="F165" s="14">
        <f>$F$10*'D) Ecrêtage'!M159</f>
        <v>869980.11090830411</v>
      </c>
      <c r="G165" s="152">
        <f t="shared" si="2"/>
        <v>1272400.1544387648</v>
      </c>
    </row>
    <row r="166" spans="1:7" x14ac:dyDescent="0.25">
      <c r="A166" s="61">
        <f>'A) Base RI'!A162</f>
        <v>5654</v>
      </c>
      <c r="B166" s="114" t="str">
        <f>'A) Base RI'!B162</f>
        <v>Vullierens</v>
      </c>
      <c r="C166" s="52">
        <f>'A) Base RI'!AN162</f>
        <v>460</v>
      </c>
      <c r="D166" s="14">
        <f>'C) Prél. conj.'!H160</f>
        <v>67534.100000000006</v>
      </c>
      <c r="E166" s="19">
        <f>'D) Ecrêtage'!L160</f>
        <v>0</v>
      </c>
      <c r="F166" s="14">
        <f>$F$10*'D) Ecrêtage'!M160</f>
        <v>263122.45214299089</v>
      </c>
      <c r="G166" s="152">
        <f t="shared" si="2"/>
        <v>330656.55214299087</v>
      </c>
    </row>
    <row r="167" spans="1:7" x14ac:dyDescent="0.25">
      <c r="A167" s="61">
        <f>'A) Base RI'!A163</f>
        <v>5655</v>
      </c>
      <c r="B167" s="114" t="str">
        <f>'A) Base RI'!B163</f>
        <v>Yens</v>
      </c>
      <c r="C167" s="52">
        <f>'A) Base RI'!AN163</f>
        <v>1405</v>
      </c>
      <c r="D167" s="14">
        <f>'C) Prél. conj.'!H161</f>
        <v>416280.31000000006</v>
      </c>
      <c r="E167" s="19">
        <f>'D) Ecrêtage'!L161</f>
        <v>0</v>
      </c>
      <c r="F167" s="14">
        <f>$F$10*'D) Ecrêtage'!M161</f>
        <v>1057329.1042498518</v>
      </c>
      <c r="G167" s="152">
        <f t="shared" si="2"/>
        <v>1473609.4142498518</v>
      </c>
    </row>
    <row r="168" spans="1:7" x14ac:dyDescent="0.25">
      <c r="A168" s="61">
        <f>'A) Base RI'!A164</f>
        <v>5661</v>
      </c>
      <c r="B168" s="114" t="str">
        <f>'A) Base RI'!B164</f>
        <v>Boulens</v>
      </c>
      <c r="C168" s="52">
        <f>'A) Base RI'!AN164</f>
        <v>325</v>
      </c>
      <c r="D168" s="14">
        <f>'C) Prél. conj.'!H162</f>
        <v>18907.364999999998</v>
      </c>
      <c r="E168" s="19">
        <f>'D) Ecrêtage'!L162</f>
        <v>0</v>
      </c>
      <c r="F168" s="14">
        <f>$F$10*'D) Ecrêtage'!M162</f>
        <v>112978.90733684239</v>
      </c>
      <c r="G168" s="152">
        <f t="shared" si="2"/>
        <v>131886.27233684238</v>
      </c>
    </row>
    <row r="169" spans="1:7" x14ac:dyDescent="0.25">
      <c r="A169" s="61">
        <f>'A) Base RI'!A165</f>
        <v>5663</v>
      </c>
      <c r="B169" s="114" t="str">
        <f>'A) Base RI'!B165</f>
        <v>Bussy-sur-Moudon</v>
      </c>
      <c r="C169" s="52">
        <f>'A) Base RI'!AN165</f>
        <v>198</v>
      </c>
      <c r="D169" s="14">
        <f>'C) Prél. conj.'!H163</f>
        <v>30763.65</v>
      </c>
      <c r="E169" s="19">
        <f>'D) Ecrêtage'!L163</f>
        <v>0</v>
      </c>
      <c r="F169" s="14">
        <f>$F$10*'D) Ecrêtage'!M163</f>
        <v>77608.414023746314</v>
      </c>
      <c r="G169" s="152">
        <f t="shared" si="2"/>
        <v>108372.06402374632</v>
      </c>
    </row>
    <row r="170" spans="1:7" x14ac:dyDescent="0.25">
      <c r="A170" s="61">
        <f>'A) Base RI'!A166</f>
        <v>5665</v>
      </c>
      <c r="B170" s="114" t="str">
        <f>'A) Base RI'!B166</f>
        <v>Chavannes-sur-Moudon</v>
      </c>
      <c r="C170" s="52">
        <f>'A) Base RI'!AN166</f>
        <v>224</v>
      </c>
      <c r="D170" s="14">
        <f>'C) Prél. conj.'!H164</f>
        <v>0</v>
      </c>
      <c r="E170" s="19">
        <f>'D) Ecrêtage'!L164</f>
        <v>0</v>
      </c>
      <c r="F170" s="14">
        <f>$F$10*'D) Ecrêtage'!M164</f>
        <v>75053.270825670013</v>
      </c>
      <c r="G170" s="152">
        <f t="shared" si="2"/>
        <v>75053.270825670013</v>
      </c>
    </row>
    <row r="171" spans="1:7" x14ac:dyDescent="0.25">
      <c r="A171" s="61">
        <f>'A) Base RI'!A167</f>
        <v>5669</v>
      </c>
      <c r="B171" s="114" t="str">
        <f>'A) Base RI'!B167</f>
        <v>Curtilles</v>
      </c>
      <c r="C171" s="52">
        <f>'A) Base RI'!AN167</f>
        <v>311</v>
      </c>
      <c r="D171" s="14">
        <f>'C) Prél. conj.'!H165</f>
        <v>43047.525000000001</v>
      </c>
      <c r="E171" s="19">
        <f>'D) Ecrêtage'!L165</f>
        <v>0</v>
      </c>
      <c r="F171" s="14">
        <f>$F$10*'D) Ecrêtage'!M165</f>
        <v>135183.93233208027</v>
      </c>
      <c r="G171" s="152">
        <f t="shared" si="2"/>
        <v>178231.45733208026</v>
      </c>
    </row>
    <row r="172" spans="1:7" x14ac:dyDescent="0.25">
      <c r="A172" s="61">
        <f>'A) Base RI'!A168</f>
        <v>5671</v>
      </c>
      <c r="B172" s="114" t="str">
        <f>'A) Base RI'!B168</f>
        <v>Dompierre</v>
      </c>
      <c r="C172" s="52">
        <f>'A) Base RI'!AN168</f>
        <v>247</v>
      </c>
      <c r="D172" s="14">
        <f>'C) Prél. conj.'!H166</f>
        <v>30854.149999999998</v>
      </c>
      <c r="E172" s="19">
        <f>'D) Ecrêtage'!L166</f>
        <v>0</v>
      </c>
      <c r="F172" s="14">
        <f>$F$10*'D) Ecrêtage'!M166</f>
        <v>96666.10339722631</v>
      </c>
      <c r="G172" s="152">
        <f t="shared" si="2"/>
        <v>127520.2533972263</v>
      </c>
    </row>
    <row r="173" spans="1:7" x14ac:dyDescent="0.25">
      <c r="A173" s="61">
        <f>'A) Base RI'!A169</f>
        <v>5673</v>
      </c>
      <c r="B173" s="114" t="str">
        <f>'A) Base RI'!B169</f>
        <v>Hermenches</v>
      </c>
      <c r="C173" s="52">
        <f>'A) Base RI'!AN169</f>
        <v>382</v>
      </c>
      <c r="D173" s="14">
        <f>'C) Prél. conj.'!H167</f>
        <v>30671.174999999999</v>
      </c>
      <c r="E173" s="19">
        <f>'D) Ecrêtage'!L167</f>
        <v>0</v>
      </c>
      <c r="F173" s="14">
        <f>$F$10*'D) Ecrêtage'!M167</f>
        <v>137458.18302277051</v>
      </c>
      <c r="G173" s="152">
        <f t="shared" si="2"/>
        <v>168129.3580227705</v>
      </c>
    </row>
    <row r="174" spans="1:7" x14ac:dyDescent="0.25">
      <c r="A174" s="61">
        <f>'A) Base RI'!A170</f>
        <v>5674</v>
      </c>
      <c r="B174" s="114" t="str">
        <f>'A) Base RI'!B170</f>
        <v>Lovatens</v>
      </c>
      <c r="C174" s="52">
        <f>'A) Base RI'!AN170</f>
        <v>151</v>
      </c>
      <c r="D174" s="14">
        <f>'C) Prél. conj.'!H168</f>
        <v>1098.5</v>
      </c>
      <c r="E174" s="19">
        <f>'D) Ecrêtage'!L168</f>
        <v>0</v>
      </c>
      <c r="F174" s="14">
        <f>$F$10*'D) Ecrêtage'!M168</f>
        <v>51967.086077177053</v>
      </c>
      <c r="G174" s="152">
        <f t="shared" si="2"/>
        <v>53065.586077177053</v>
      </c>
    </row>
    <row r="175" spans="1:7" x14ac:dyDescent="0.25">
      <c r="A175" s="61">
        <f>'A) Base RI'!A171</f>
        <v>5675</v>
      </c>
      <c r="B175" s="114" t="str">
        <f>'A) Base RI'!B171</f>
        <v>Lucens</v>
      </c>
      <c r="C175" s="52">
        <f>'A) Base RI'!AN171</f>
        <v>3890</v>
      </c>
      <c r="D175" s="14">
        <f>'C) Prél. conj.'!H169</f>
        <v>459365.73499999993</v>
      </c>
      <c r="E175" s="19">
        <f>'D) Ecrêtage'!L169</f>
        <v>0</v>
      </c>
      <c r="F175" s="14">
        <f>$F$10*'D) Ecrêtage'!M169</f>
        <v>1423629.4571287353</v>
      </c>
      <c r="G175" s="152">
        <f t="shared" si="2"/>
        <v>1882995.1921287351</v>
      </c>
    </row>
    <row r="176" spans="1:7" x14ac:dyDescent="0.25">
      <c r="A176" s="61">
        <f>'A) Base RI'!A172</f>
        <v>5678</v>
      </c>
      <c r="B176" s="114" t="str">
        <f>'A) Base RI'!B172</f>
        <v>Moudon</v>
      </c>
      <c r="C176" s="52">
        <f>'A) Base RI'!AN172</f>
        <v>5770</v>
      </c>
      <c r="D176" s="14">
        <f>'C) Prél. conj.'!H170</f>
        <v>393334.755</v>
      </c>
      <c r="E176" s="19">
        <f>'D) Ecrêtage'!L170</f>
        <v>0</v>
      </c>
      <c r="F176" s="14">
        <f>$F$10*'D) Ecrêtage'!M170</f>
        <v>1894923.2574914694</v>
      </c>
      <c r="G176" s="152">
        <f t="shared" si="2"/>
        <v>2288258.0124914693</v>
      </c>
    </row>
    <row r="177" spans="1:7" x14ac:dyDescent="0.25">
      <c r="A177" s="61">
        <f>'A) Base RI'!A173</f>
        <v>5680</v>
      </c>
      <c r="B177" s="114" t="str">
        <f>'A) Base RI'!B173</f>
        <v>Ogens</v>
      </c>
      <c r="C177" s="52">
        <f>'A) Base RI'!AN173</f>
        <v>283</v>
      </c>
      <c r="D177" s="14">
        <f>'C) Prél. conj.'!H171</f>
        <v>6650.7999999999993</v>
      </c>
      <c r="E177" s="19">
        <f>'D) Ecrêtage'!L171</f>
        <v>0</v>
      </c>
      <c r="F177" s="14">
        <f>$F$10*'D) Ecrêtage'!M171</f>
        <v>126731.93353730145</v>
      </c>
      <c r="G177" s="152">
        <f t="shared" si="2"/>
        <v>133382.73353730145</v>
      </c>
    </row>
    <row r="178" spans="1:7" x14ac:dyDescent="0.25">
      <c r="A178" s="61">
        <f>'A) Base RI'!A174</f>
        <v>5683</v>
      </c>
      <c r="B178" s="114" t="str">
        <f>'A) Base RI'!B174</f>
        <v>Prévonloup</v>
      </c>
      <c r="C178" s="52">
        <f>'A) Base RI'!AN174</f>
        <v>172</v>
      </c>
      <c r="D178" s="14">
        <f>'C) Prél. conj.'!H172</f>
        <v>7658.55</v>
      </c>
      <c r="E178" s="19">
        <f>'D) Ecrêtage'!L172</f>
        <v>0</v>
      </c>
      <c r="F178" s="14">
        <f>$F$10*'D) Ecrêtage'!M172</f>
        <v>56175.305209024518</v>
      </c>
      <c r="G178" s="152">
        <f t="shared" si="2"/>
        <v>63833.855209024521</v>
      </c>
    </row>
    <row r="179" spans="1:7" x14ac:dyDescent="0.25">
      <c r="A179" s="61">
        <f>'A) Base RI'!A175</f>
        <v>5684</v>
      </c>
      <c r="B179" s="114" t="str">
        <f>'A) Base RI'!B175</f>
        <v>Rossenges</v>
      </c>
      <c r="C179" s="52">
        <f>'A) Base RI'!AN175</f>
        <v>65</v>
      </c>
      <c r="D179" s="14">
        <f>'C) Prél. conj.'!H173</f>
        <v>0</v>
      </c>
      <c r="E179" s="19">
        <f>'D) Ecrêtage'!L173</f>
        <v>0</v>
      </c>
      <c r="F179" s="14">
        <f>$F$10*'D) Ecrêtage'!M173</f>
        <v>40545.860492781874</v>
      </c>
      <c r="G179" s="152">
        <f t="shared" si="2"/>
        <v>40545.860492781874</v>
      </c>
    </row>
    <row r="180" spans="1:7" x14ac:dyDescent="0.25">
      <c r="A180" s="61">
        <f>'A) Base RI'!A176</f>
        <v>5688</v>
      </c>
      <c r="B180" s="114" t="str">
        <f>'A) Base RI'!B176</f>
        <v>Syens</v>
      </c>
      <c r="C180" s="52">
        <f>'A) Base RI'!AN176</f>
        <v>139</v>
      </c>
      <c r="D180" s="14">
        <f>'C) Prél. conj.'!H174</f>
        <v>14136.625</v>
      </c>
      <c r="E180" s="19">
        <f>'D) Ecrêtage'!L174</f>
        <v>0</v>
      </c>
      <c r="F180" s="14">
        <f>$F$10*'D) Ecrêtage'!M174</f>
        <v>83609.128439949738</v>
      </c>
      <c r="G180" s="152">
        <f t="shared" si="2"/>
        <v>97745.753439949738</v>
      </c>
    </row>
    <row r="181" spans="1:7" x14ac:dyDescent="0.25">
      <c r="A181" s="61">
        <f>'A) Base RI'!A177</f>
        <v>5690</v>
      </c>
      <c r="B181" s="114" t="str">
        <f>'A) Base RI'!B177</f>
        <v>Villars-le-Comte</v>
      </c>
      <c r="C181" s="52">
        <f>'A) Base RI'!AN177</f>
        <v>150</v>
      </c>
      <c r="D181" s="14">
        <f>'C) Prél. conj.'!H175</f>
        <v>6711.625</v>
      </c>
      <c r="E181" s="19">
        <f>'D) Ecrêtage'!L175</f>
        <v>0</v>
      </c>
      <c r="F181" s="14">
        <f>$F$10*'D) Ecrêtage'!M175</f>
        <v>52405.141180211183</v>
      </c>
      <c r="G181" s="152">
        <f t="shared" si="2"/>
        <v>59116.766180211183</v>
      </c>
    </row>
    <row r="182" spans="1:7" x14ac:dyDescent="0.25">
      <c r="A182" s="61">
        <f>'A) Base RI'!A178</f>
        <v>5692</v>
      </c>
      <c r="B182" s="114" t="str">
        <f>'A) Base RI'!B178</f>
        <v>Vucherens</v>
      </c>
      <c r="C182" s="52">
        <f>'A) Base RI'!AN178</f>
        <v>543</v>
      </c>
      <c r="D182" s="14">
        <f>'C) Prél. conj.'!H176</f>
        <v>40576.385000000002</v>
      </c>
      <c r="E182" s="19">
        <f>'D) Ecrêtage'!L176</f>
        <v>0</v>
      </c>
      <c r="F182" s="14">
        <f>$F$10*'D) Ecrêtage'!M176</f>
        <v>234821.32115827076</v>
      </c>
      <c r="G182" s="152">
        <f t="shared" si="2"/>
        <v>275397.70615827077</v>
      </c>
    </row>
    <row r="183" spans="1:7" x14ac:dyDescent="0.25">
      <c r="A183" s="61">
        <f>'A) Base RI'!A179</f>
        <v>5693</v>
      </c>
      <c r="B183" s="114" t="str">
        <f>'A) Base RI'!B179</f>
        <v>Montanaire</v>
      </c>
      <c r="C183" s="52">
        <f>'A) Base RI'!AN179</f>
        <v>2421</v>
      </c>
      <c r="D183" s="14">
        <f>'C) Prél. conj.'!H177</f>
        <v>192111.88499999998</v>
      </c>
      <c r="E183" s="19">
        <f>'D) Ecrêtage'!L177</f>
        <v>0</v>
      </c>
      <c r="F183" s="14">
        <f>$F$10*'D) Ecrêtage'!M177</f>
        <v>977851.81422883889</v>
      </c>
      <c r="G183" s="152">
        <f t="shared" si="2"/>
        <v>1169963.6992288388</v>
      </c>
    </row>
    <row r="184" spans="1:7" x14ac:dyDescent="0.25">
      <c r="A184" s="61">
        <f>'A) Base RI'!A180</f>
        <v>5701</v>
      </c>
      <c r="B184" s="114" t="str">
        <f>'A) Base RI'!B180</f>
        <v>Arnex-sur-Nyon</v>
      </c>
      <c r="C184" s="52">
        <f>'A) Base RI'!AN180</f>
        <v>208</v>
      </c>
      <c r="D184" s="14">
        <f>'C) Prél. conj.'!H178</f>
        <v>23796.400000000001</v>
      </c>
      <c r="E184" s="19">
        <f>'D) Ecrêtage'!L178</f>
        <v>72614.991068316318</v>
      </c>
      <c r="F184" s="14">
        <f>$F$10*'D) Ecrêtage'!M178</f>
        <v>212068.94566512638</v>
      </c>
      <c r="G184" s="152">
        <f t="shared" si="2"/>
        <v>308480.33673344267</v>
      </c>
    </row>
    <row r="185" spans="1:7" x14ac:dyDescent="0.25">
      <c r="A185" s="61">
        <f>'A) Base RI'!A181</f>
        <v>5702</v>
      </c>
      <c r="B185" s="114" t="str">
        <f>'A) Base RI'!B181</f>
        <v>Arzier-Le Muids</v>
      </c>
      <c r="C185" s="52">
        <f>'A) Base RI'!AN181</f>
        <v>2506</v>
      </c>
      <c r="D185" s="14">
        <f>'C) Prél. conj.'!H179</f>
        <v>439686.06</v>
      </c>
      <c r="E185" s="19">
        <f>'D) Ecrêtage'!L179</f>
        <v>15982.722123040949</v>
      </c>
      <c r="F185" s="14">
        <f>$F$10*'D) Ecrêtage'!M179</f>
        <v>2129558.4216398136</v>
      </c>
      <c r="G185" s="152">
        <f t="shared" si="2"/>
        <v>2585227.2037628544</v>
      </c>
    </row>
    <row r="186" spans="1:7" x14ac:dyDescent="0.25">
      <c r="A186" s="61">
        <f>'A) Base RI'!A182</f>
        <v>5703</v>
      </c>
      <c r="B186" s="114" t="str">
        <f>'A) Base RI'!B182</f>
        <v>Bassins</v>
      </c>
      <c r="C186" s="52">
        <f>'A) Base RI'!AN182</f>
        <v>1320</v>
      </c>
      <c r="D186" s="14">
        <f>'C) Prél. conj.'!H180</f>
        <v>116136.44</v>
      </c>
      <c r="E186" s="19">
        <f>'D) Ecrêtage'!L180</f>
        <v>0</v>
      </c>
      <c r="F186" s="14">
        <f>$F$10*'D) Ecrêtage'!M180</f>
        <v>801336.3549229278</v>
      </c>
      <c r="G186" s="152">
        <f t="shared" si="2"/>
        <v>917472.79492292786</v>
      </c>
    </row>
    <row r="187" spans="1:7" x14ac:dyDescent="0.25">
      <c r="A187" s="61">
        <f>'A) Base RI'!A183</f>
        <v>5704</v>
      </c>
      <c r="B187" s="114" t="str">
        <f>'A) Base RI'!B183</f>
        <v>Begnins</v>
      </c>
      <c r="C187" s="52">
        <f>'A) Base RI'!AN183</f>
        <v>1802</v>
      </c>
      <c r="D187" s="14">
        <f>'C) Prél. conj.'!H181</f>
        <v>597354.09500000009</v>
      </c>
      <c r="E187" s="19">
        <f>'D) Ecrêtage'!L181</f>
        <v>263778.57131183724</v>
      </c>
      <c r="F187" s="14">
        <f>$F$10*'D) Ecrêtage'!M181</f>
        <v>1655427.9315598824</v>
      </c>
      <c r="G187" s="152">
        <f t="shared" si="2"/>
        <v>2516560.5978717194</v>
      </c>
    </row>
    <row r="188" spans="1:7" x14ac:dyDescent="0.25">
      <c r="A188" s="61">
        <f>'A) Base RI'!A184</f>
        <v>5705</v>
      </c>
      <c r="B188" s="114" t="str">
        <f>'A) Base RI'!B184</f>
        <v>Bogis-Bossey</v>
      </c>
      <c r="C188" s="52">
        <f>'A) Base RI'!AN184</f>
        <v>830</v>
      </c>
      <c r="D188" s="14">
        <f>'C) Prél. conj.'!H182</f>
        <v>180760.11000000002</v>
      </c>
      <c r="E188" s="19">
        <f>'D) Ecrêtage'!L182</f>
        <v>95316.558698692446</v>
      </c>
      <c r="F188" s="14">
        <f>$F$10*'D) Ecrêtage'!M182</f>
        <v>751784.60680069763</v>
      </c>
      <c r="G188" s="152">
        <f t="shared" si="2"/>
        <v>1027861.2754993901</v>
      </c>
    </row>
    <row r="189" spans="1:7" x14ac:dyDescent="0.25">
      <c r="A189" s="61">
        <f>'A) Base RI'!A185</f>
        <v>5706</v>
      </c>
      <c r="B189" s="114" t="str">
        <f>'A) Base RI'!B185</f>
        <v>Borex</v>
      </c>
      <c r="C189" s="52">
        <f>'A) Base RI'!AN185</f>
        <v>1049</v>
      </c>
      <c r="D189" s="14">
        <f>'C) Prél. conj.'!H183</f>
        <v>378857.245</v>
      </c>
      <c r="E189" s="19">
        <f>'D) Ecrêtage'!L183</f>
        <v>76562.863623062323</v>
      </c>
      <c r="F189" s="14">
        <f>$F$10*'D) Ecrêtage'!M183</f>
        <v>933953.32082991209</v>
      </c>
      <c r="G189" s="152">
        <f t="shared" si="2"/>
        <v>1389373.4294529746</v>
      </c>
    </row>
    <row r="190" spans="1:7" x14ac:dyDescent="0.25">
      <c r="A190" s="61">
        <f>'A) Base RI'!A186</f>
        <v>5707</v>
      </c>
      <c r="B190" s="114" t="str">
        <f>'A) Base RI'!B186</f>
        <v>Chavannes-de-Bogis</v>
      </c>
      <c r="C190" s="52">
        <f>'A) Base RI'!AN186</f>
        <v>1155</v>
      </c>
      <c r="D190" s="14">
        <f>'C) Prél. conj.'!H184</f>
        <v>187374.67499999999</v>
      </c>
      <c r="E190" s="19">
        <f>'D) Ecrêtage'!L184</f>
        <v>643178.52970565215</v>
      </c>
      <c r="F190" s="14">
        <f>$F$10*'D) Ecrêtage'!M184</f>
        <v>1288737.1227657984</v>
      </c>
      <c r="G190" s="152">
        <f t="shared" si="2"/>
        <v>2119290.3274714504</v>
      </c>
    </row>
    <row r="191" spans="1:7" x14ac:dyDescent="0.25">
      <c r="A191" s="61">
        <f>'A) Base RI'!A187</f>
        <v>5708</v>
      </c>
      <c r="B191" s="114" t="str">
        <f>'A) Base RI'!B187</f>
        <v>Chavannes-des-Bois</v>
      </c>
      <c r="C191" s="52">
        <f>'A) Base RI'!AN187</f>
        <v>807</v>
      </c>
      <c r="D191" s="14">
        <f>'C) Prél. conj.'!H185</f>
        <v>217399.19500000001</v>
      </c>
      <c r="E191" s="19">
        <f>'D) Ecrêtage'!L185</f>
        <v>436675.78054843255</v>
      </c>
      <c r="F191" s="14">
        <f>$F$10*'D) Ecrêtage'!M185</f>
        <v>889603.30558152776</v>
      </c>
      <c r="G191" s="152">
        <f t="shared" si="2"/>
        <v>1543678.2811299604</v>
      </c>
    </row>
    <row r="192" spans="1:7" x14ac:dyDescent="0.25">
      <c r="A192" s="61">
        <f>'A) Base RI'!A188</f>
        <v>5709</v>
      </c>
      <c r="B192" s="114" t="str">
        <f>'A) Base RI'!B188</f>
        <v>Chéserex</v>
      </c>
      <c r="C192" s="52">
        <f>'A) Base RI'!AN188</f>
        <v>1174</v>
      </c>
      <c r="D192" s="14">
        <f>'C) Prél. conj.'!H186</f>
        <v>72359.544999999998</v>
      </c>
      <c r="E192" s="19">
        <f>'D) Ecrêtage'!L186</f>
        <v>1196918.8632492088</v>
      </c>
      <c r="F192" s="14">
        <f>$F$10*'D) Ecrêtage'!M186</f>
        <v>1562287.0725537795</v>
      </c>
      <c r="G192" s="152">
        <f t="shared" si="2"/>
        <v>2831565.4808029882</v>
      </c>
    </row>
    <row r="193" spans="1:7" x14ac:dyDescent="0.25">
      <c r="A193" s="61">
        <f>'A) Base RI'!A189</f>
        <v>5710</v>
      </c>
      <c r="B193" s="114" t="str">
        <f>'A) Base RI'!B189</f>
        <v>Coinsins</v>
      </c>
      <c r="C193" s="52">
        <f>'A) Base RI'!AN189</f>
        <v>435</v>
      </c>
      <c r="D193" s="14">
        <f>'C) Prél. conj.'!H187</f>
        <v>132990.29999999999</v>
      </c>
      <c r="E193" s="19">
        <f>'D) Ecrêtage'!L187</f>
        <v>2173859.1758757546</v>
      </c>
      <c r="F193" s="14">
        <f>$F$10*'D) Ecrêtage'!M187</f>
        <v>1215178.7860378604</v>
      </c>
      <c r="G193" s="152">
        <f t="shared" si="2"/>
        <v>3522028.2619136153</v>
      </c>
    </row>
    <row r="194" spans="1:7" x14ac:dyDescent="0.25">
      <c r="A194" s="61">
        <f>'A) Base RI'!A190</f>
        <v>5711</v>
      </c>
      <c r="B194" s="114" t="str">
        <f>'A) Base RI'!B190</f>
        <v>Commugny</v>
      </c>
      <c r="C194" s="52">
        <f>'A) Base RI'!AN190</f>
        <v>2591</v>
      </c>
      <c r="D194" s="14">
        <f>'C) Prél. conj.'!H188</f>
        <v>482822.85</v>
      </c>
      <c r="E194" s="19">
        <f>'D) Ecrêtage'!L188</f>
        <v>2355115.2660468849</v>
      </c>
      <c r="F194" s="14">
        <f>$F$10*'D) Ecrêtage'!M188</f>
        <v>3268205.8631755211</v>
      </c>
      <c r="G194" s="152">
        <f t="shared" si="2"/>
        <v>6106143.9792224057</v>
      </c>
    </row>
    <row r="195" spans="1:7" x14ac:dyDescent="0.25">
      <c r="A195" s="61">
        <f>'A) Base RI'!A191</f>
        <v>5712</v>
      </c>
      <c r="B195" s="114" t="str">
        <f>'A) Base RI'!B191</f>
        <v>Coppet</v>
      </c>
      <c r="C195" s="52">
        <f>'A) Base RI'!AN191</f>
        <v>2936</v>
      </c>
      <c r="D195" s="14">
        <f>'C) Prél. conj.'!H189</f>
        <v>1199565.125</v>
      </c>
      <c r="E195" s="19">
        <f>'D) Ecrêtage'!L189</f>
        <v>3660967.7981746858</v>
      </c>
      <c r="F195" s="14">
        <f>$F$10*'D) Ecrêtage'!M189</f>
        <v>4110004.4062620085</v>
      </c>
      <c r="G195" s="152">
        <f t="shared" si="2"/>
        <v>8970537.3294366933</v>
      </c>
    </row>
    <row r="196" spans="1:7" x14ac:dyDescent="0.25">
      <c r="A196" s="61">
        <f>'A) Base RI'!A192</f>
        <v>5713</v>
      </c>
      <c r="B196" s="114" t="str">
        <f>'A) Base RI'!B192</f>
        <v>Crans-près-Céligny</v>
      </c>
      <c r="C196" s="52">
        <f>'A) Base RI'!AN192</f>
        <v>2044</v>
      </c>
      <c r="D196" s="14">
        <f>'C) Prél. conj.'!H190</f>
        <v>647544.87</v>
      </c>
      <c r="E196" s="19">
        <f>'D) Ecrêtage'!L190</f>
        <v>3847602.4520778349</v>
      </c>
      <c r="F196" s="14">
        <f>$F$10*'D) Ecrêtage'!M190</f>
        <v>3293422.745384567</v>
      </c>
      <c r="G196" s="152">
        <f t="shared" si="2"/>
        <v>7788570.0674624015</v>
      </c>
    </row>
    <row r="197" spans="1:7" x14ac:dyDescent="0.25">
      <c r="A197" s="61">
        <f>'A) Base RI'!A193</f>
        <v>5714</v>
      </c>
      <c r="B197" s="114" t="str">
        <f>'A) Base RI'!B193</f>
        <v>Crassier</v>
      </c>
      <c r="C197" s="52">
        <f>'A) Base RI'!AN193</f>
        <v>1141</v>
      </c>
      <c r="D197" s="14">
        <f>'C) Prél. conj.'!H191</f>
        <v>173590.58000000002</v>
      </c>
      <c r="E197" s="19">
        <f>'D) Ecrêtage'!L191</f>
        <v>294359.45827278111</v>
      </c>
      <c r="F197" s="14">
        <f>$F$10*'D) Ecrêtage'!M191</f>
        <v>1117776.5652790442</v>
      </c>
      <c r="G197" s="152">
        <f t="shared" si="2"/>
        <v>1585726.6035518255</v>
      </c>
    </row>
    <row r="198" spans="1:7" x14ac:dyDescent="0.25">
      <c r="A198" s="61">
        <f>'A) Base RI'!A194</f>
        <v>5715</v>
      </c>
      <c r="B198" s="114" t="str">
        <f>'A) Base RI'!B194</f>
        <v>Duillier</v>
      </c>
      <c r="C198" s="52">
        <f>'A) Base RI'!AN194</f>
        <v>998</v>
      </c>
      <c r="D198" s="14">
        <f>'C) Prél. conj.'!H192</f>
        <v>307363.33</v>
      </c>
      <c r="E198" s="19">
        <f>'D) Ecrêtage'!L192</f>
        <v>92568.819937482709</v>
      </c>
      <c r="F198" s="14">
        <f>$F$10*'D) Ecrêtage'!M192</f>
        <v>891129.25845844415</v>
      </c>
      <c r="G198" s="152">
        <f t="shared" si="2"/>
        <v>1291061.4083959269</v>
      </c>
    </row>
    <row r="199" spans="1:7" x14ac:dyDescent="0.25">
      <c r="A199" s="61">
        <f>'A) Base RI'!A195</f>
        <v>5716</v>
      </c>
      <c r="B199" s="114" t="str">
        <f>'A) Base RI'!B195</f>
        <v>Eysins</v>
      </c>
      <c r="C199" s="52">
        <f>'A) Base RI'!AN195</f>
        <v>1469</v>
      </c>
      <c r="D199" s="14">
        <f>'C) Prél. conj.'!H193</f>
        <v>378158.16000000003</v>
      </c>
      <c r="E199" s="19">
        <f>'D) Ecrêtage'!L193</f>
        <v>1119821.8810414472</v>
      </c>
      <c r="F199" s="14">
        <f>$F$10*'D) Ecrêtage'!M193</f>
        <v>1745384.3459037689</v>
      </c>
      <c r="G199" s="152">
        <f t="shared" si="2"/>
        <v>3243364.386945216</v>
      </c>
    </row>
    <row r="200" spans="1:7" x14ac:dyDescent="0.25">
      <c r="A200" s="61">
        <f>'A) Base RI'!A196</f>
        <v>5717</v>
      </c>
      <c r="B200" s="114" t="str">
        <f>'A) Base RI'!B196</f>
        <v>Founex</v>
      </c>
      <c r="C200" s="52">
        <f>'A) Base RI'!AN196</f>
        <v>3372</v>
      </c>
      <c r="D200" s="14">
        <f>'C) Prél. conj.'!H194</f>
        <v>1192208.7549999999</v>
      </c>
      <c r="E200" s="19">
        <f>'D) Ecrêtage'!L194</f>
        <v>4201831.1730839293</v>
      </c>
      <c r="F200" s="14">
        <f>$F$10*'D) Ecrêtage'!M194</f>
        <v>4621323.7453069845</v>
      </c>
      <c r="G200" s="152">
        <f t="shared" si="2"/>
        <v>10015363.673390914</v>
      </c>
    </row>
    <row r="201" spans="1:7" x14ac:dyDescent="0.25">
      <c r="A201" s="61">
        <f>'A) Base RI'!A197</f>
        <v>5718</v>
      </c>
      <c r="B201" s="114" t="str">
        <f>'A) Base RI'!B197</f>
        <v>Genolier</v>
      </c>
      <c r="C201" s="52">
        <f>'A) Base RI'!AN197</f>
        <v>1890</v>
      </c>
      <c r="D201" s="14">
        <f>'C) Prél. conj.'!H195</f>
        <v>569900.29500000004</v>
      </c>
      <c r="E201" s="19">
        <f>'D) Ecrêtage'!L195</f>
        <v>984379.07991031697</v>
      </c>
      <c r="F201" s="14">
        <f>$F$10*'D) Ecrêtage'!M195</f>
        <v>2110244.5289144558</v>
      </c>
      <c r="G201" s="152">
        <f t="shared" si="2"/>
        <v>3664523.9038247727</v>
      </c>
    </row>
    <row r="202" spans="1:7" x14ac:dyDescent="0.25">
      <c r="A202" s="61">
        <f>'A) Base RI'!A198</f>
        <v>5719</v>
      </c>
      <c r="B202" s="114" t="str">
        <f>'A) Base RI'!B198</f>
        <v>Gingins</v>
      </c>
      <c r="C202" s="52">
        <f>'A) Base RI'!AN198</f>
        <v>1204</v>
      </c>
      <c r="D202" s="14">
        <f>'C) Prél. conj.'!H196</f>
        <v>340376.67499999999</v>
      </c>
      <c r="E202" s="19">
        <f>'D) Ecrêtage'!L196</f>
        <v>715730.11901949812</v>
      </c>
      <c r="F202" s="14">
        <f>$F$10*'D) Ecrêtage'!M196</f>
        <v>1371631.3523042251</v>
      </c>
      <c r="G202" s="152">
        <f t="shared" si="2"/>
        <v>2427738.1463237233</v>
      </c>
    </row>
    <row r="203" spans="1:7" x14ac:dyDescent="0.25">
      <c r="A203" s="61">
        <f>'A) Base RI'!A199</f>
        <v>5720</v>
      </c>
      <c r="B203" s="114" t="str">
        <f>'A) Base RI'!B199</f>
        <v>Givrins</v>
      </c>
      <c r="C203" s="52">
        <f>'A) Base RI'!AN199</f>
        <v>971</v>
      </c>
      <c r="D203" s="14">
        <f>'C) Prél. conj.'!H197</f>
        <v>408018.26</v>
      </c>
      <c r="E203" s="19">
        <f>'D) Ecrêtage'!L197</f>
        <v>707542.70720222441</v>
      </c>
      <c r="F203" s="14">
        <f>$F$10*'D) Ecrêtage'!M197</f>
        <v>1141024.5015322121</v>
      </c>
      <c r="G203" s="152">
        <f t="shared" si="2"/>
        <v>2256585.4687344367</v>
      </c>
    </row>
    <row r="204" spans="1:7" x14ac:dyDescent="0.25">
      <c r="A204" s="61">
        <f>'A) Base RI'!A200</f>
        <v>5721</v>
      </c>
      <c r="B204" s="114" t="str">
        <f>'A) Base RI'!B200</f>
        <v>Gland</v>
      </c>
      <c r="C204" s="52">
        <f>'A) Base RI'!AN200</f>
        <v>12663</v>
      </c>
      <c r="D204" s="14">
        <f>'C) Prél. conj.'!H198</f>
        <v>2411919.35</v>
      </c>
      <c r="E204" s="19">
        <f>'D) Ecrêtage'!L198</f>
        <v>0</v>
      </c>
      <c r="F204" s="14">
        <f>$F$10*'D) Ecrêtage'!M198</f>
        <v>8640526.7132278793</v>
      </c>
      <c r="G204" s="152">
        <f t="shared" ref="G204:G267" si="3">D204+F204+E204</f>
        <v>11052446.063227879</v>
      </c>
    </row>
    <row r="205" spans="1:7" x14ac:dyDescent="0.25">
      <c r="A205" s="61">
        <f>'A) Base RI'!A201</f>
        <v>5722</v>
      </c>
      <c r="B205" s="114" t="str">
        <f>'A) Base RI'!B201</f>
        <v>Grens</v>
      </c>
      <c r="C205" s="52">
        <f>'A) Base RI'!AN201</f>
        <v>380</v>
      </c>
      <c r="D205" s="14">
        <f>'C) Prél. conj.'!H199</f>
        <v>20682.414999999997</v>
      </c>
      <c r="E205" s="19">
        <f>'D) Ecrêtage'!L199</f>
        <v>44493.129860950285</v>
      </c>
      <c r="F205" s="14">
        <f>$F$10*'D) Ecrêtage'!M199</f>
        <v>347451.631694643</v>
      </c>
      <c r="G205" s="152">
        <f t="shared" si="3"/>
        <v>412627.17655559327</v>
      </c>
    </row>
    <row r="206" spans="1:7" x14ac:dyDescent="0.25">
      <c r="A206" s="61">
        <f>'A) Base RI'!A202</f>
        <v>5723</v>
      </c>
      <c r="B206" s="114" t="str">
        <f>'A) Base RI'!B202</f>
        <v>Mies</v>
      </c>
      <c r="C206" s="52">
        <f>'A) Base RI'!AN202</f>
        <v>1778</v>
      </c>
      <c r="D206" s="14">
        <f>'C) Prél. conj.'!H200</f>
        <v>542685.58500000008</v>
      </c>
      <c r="E206" s="19">
        <f>'D) Ecrêtage'!L200</f>
        <v>4313907.670656532</v>
      </c>
      <c r="F206" s="14">
        <f>$F$10*'D) Ecrêtage'!M200</f>
        <v>3238611.3713975535</v>
      </c>
      <c r="G206" s="152">
        <f t="shared" si="3"/>
        <v>8095204.627054086</v>
      </c>
    </row>
    <row r="207" spans="1:7" x14ac:dyDescent="0.25">
      <c r="A207" s="61">
        <f>'A) Base RI'!A203</f>
        <v>5724</v>
      </c>
      <c r="B207" s="114" t="str">
        <f>'A) Base RI'!B203</f>
        <v>Nyon</v>
      </c>
      <c r="C207" s="52">
        <f>'A) Base RI'!AN203</f>
        <v>19861</v>
      </c>
      <c r="D207" s="14">
        <f>'C) Prél. conj.'!H201</f>
        <v>4202659.45</v>
      </c>
      <c r="E207" s="19">
        <f>'D) Ecrêtage'!L201</f>
        <v>6499932.3640954187</v>
      </c>
      <c r="F207" s="14">
        <f>$F$10*'D) Ecrêtage'!M201</f>
        <v>20246786.079806834</v>
      </c>
      <c r="G207" s="152">
        <f t="shared" si="3"/>
        <v>30949377.893902253</v>
      </c>
    </row>
    <row r="208" spans="1:7" x14ac:dyDescent="0.25">
      <c r="A208" s="61">
        <f>'A) Base RI'!A204</f>
        <v>5725</v>
      </c>
      <c r="B208" s="114" t="str">
        <f>'A) Base RI'!B204</f>
        <v>Prangins</v>
      </c>
      <c r="C208" s="52">
        <f>'A) Base RI'!AN204</f>
        <v>3976</v>
      </c>
      <c r="D208" s="14">
        <f>'C) Prél. conj.'!H202</f>
        <v>1186628.7749999999</v>
      </c>
      <c r="E208" s="19">
        <f>'D) Ecrêtage'!L202</f>
        <v>1300676.2507169286</v>
      </c>
      <c r="F208" s="14">
        <f>$F$10*'D) Ecrêtage'!M202</f>
        <v>4098056.2035634238</v>
      </c>
      <c r="G208" s="152">
        <f t="shared" si="3"/>
        <v>6585361.2292803526</v>
      </c>
    </row>
    <row r="209" spans="1:7" x14ac:dyDescent="0.25">
      <c r="A209" s="61">
        <f>'A) Base RI'!A205</f>
        <v>5726</v>
      </c>
      <c r="B209" s="114" t="str">
        <f>'A) Base RI'!B205</f>
        <v>La Rippe</v>
      </c>
      <c r="C209" s="52">
        <f>'A) Base RI'!AN205</f>
        <v>1104</v>
      </c>
      <c r="D209" s="14">
        <f>'C) Prél. conj.'!H203</f>
        <v>199559.36</v>
      </c>
      <c r="E209" s="19">
        <f>'D) Ecrêtage'!L203</f>
        <v>5452.3451769992271</v>
      </c>
      <c r="F209" s="14">
        <f>$F$10*'D) Ecrêtage'!M203</f>
        <v>937298.12053468765</v>
      </c>
      <c r="G209" s="152">
        <f t="shared" si="3"/>
        <v>1142309.8257116869</v>
      </c>
    </row>
    <row r="210" spans="1:7" x14ac:dyDescent="0.25">
      <c r="A210" s="61">
        <f>'A) Base RI'!A206</f>
        <v>5727</v>
      </c>
      <c r="B210" s="114" t="str">
        <f>'A) Base RI'!B206</f>
        <v>Saint-Cergue</v>
      </c>
      <c r="C210" s="52">
        <f>'A) Base RI'!AN206</f>
        <v>2406</v>
      </c>
      <c r="D210" s="14">
        <f>'C) Prél. conj.'!H204</f>
        <v>352920.81999999995</v>
      </c>
      <c r="E210" s="19">
        <f>'D) Ecrêtage'!L204</f>
        <v>0</v>
      </c>
      <c r="F210" s="14">
        <f>$F$10*'D) Ecrêtage'!M204</f>
        <v>1434221.0283030511</v>
      </c>
      <c r="G210" s="152">
        <f t="shared" si="3"/>
        <v>1787141.8483030512</v>
      </c>
    </row>
    <row r="211" spans="1:7" x14ac:dyDescent="0.25">
      <c r="A211" s="61">
        <f>'A) Base RI'!A207</f>
        <v>5728</v>
      </c>
      <c r="B211" s="114" t="str">
        <f>'A) Base RI'!B207</f>
        <v>Signy-Avenex</v>
      </c>
      <c r="C211" s="52">
        <f>'A) Base RI'!AN207</f>
        <v>481</v>
      </c>
      <c r="D211" s="14">
        <f>'C) Prél. conj.'!H205</f>
        <v>153309.20000000001</v>
      </c>
      <c r="E211" s="19">
        <f>'D) Ecrêtage'!L205</f>
        <v>154048.45383303033</v>
      </c>
      <c r="F211" s="14">
        <f>$F$10*'D) Ecrêtage'!M205</f>
        <v>494370.8939816145</v>
      </c>
      <c r="G211" s="152">
        <f t="shared" si="3"/>
        <v>801728.54781464487</v>
      </c>
    </row>
    <row r="212" spans="1:7" x14ac:dyDescent="0.25">
      <c r="A212" s="61">
        <f>'A) Base RI'!A208</f>
        <v>5729</v>
      </c>
      <c r="B212" s="114" t="str">
        <f>'A) Base RI'!B208</f>
        <v>Tannay</v>
      </c>
      <c r="C212" s="52">
        <f>'A) Base RI'!AN208</f>
        <v>1448</v>
      </c>
      <c r="D212" s="14">
        <f>'C) Prél. conj.'!H206</f>
        <v>282415.79000000004</v>
      </c>
      <c r="E212" s="19">
        <f>'D) Ecrêtage'!L206</f>
        <v>1590486.4258053182</v>
      </c>
      <c r="F212" s="14">
        <f>$F$10*'D) Ecrêtage'!M206</f>
        <v>1886071.3500595726</v>
      </c>
      <c r="G212" s="152">
        <f t="shared" si="3"/>
        <v>3758973.5658648908</v>
      </c>
    </row>
    <row r="213" spans="1:7" x14ac:dyDescent="0.25">
      <c r="A213" s="61">
        <f>'A) Base RI'!A209</f>
        <v>5730</v>
      </c>
      <c r="B213" s="114" t="str">
        <f>'A) Base RI'!B209</f>
        <v>Trélex</v>
      </c>
      <c r="C213" s="52">
        <f>'A) Base RI'!AN209</f>
        <v>1394</v>
      </c>
      <c r="D213" s="14">
        <f>'C) Prél. conj.'!H207</f>
        <v>169423.37</v>
      </c>
      <c r="E213" s="19">
        <f>'D) Ecrêtage'!L207</f>
        <v>1797729.7473008325</v>
      </c>
      <c r="F213" s="14">
        <f>$F$10*'D) Ecrêtage'!M207</f>
        <v>1971211.9200833458</v>
      </c>
      <c r="G213" s="152">
        <f t="shared" si="3"/>
        <v>3938365.0373841785</v>
      </c>
    </row>
    <row r="214" spans="1:7" x14ac:dyDescent="0.25">
      <c r="A214" s="61">
        <f>'A) Base RI'!A210</f>
        <v>5731</v>
      </c>
      <c r="B214" s="114" t="str">
        <f>'A) Base RI'!B210</f>
        <v>Le Vaud</v>
      </c>
      <c r="C214" s="52">
        <f>'A) Base RI'!AN210</f>
        <v>1243</v>
      </c>
      <c r="D214" s="14">
        <f>'C) Prél. conj.'!H208</f>
        <v>151214.75</v>
      </c>
      <c r="E214" s="19">
        <f>'D) Ecrêtage'!L208</f>
        <v>0</v>
      </c>
      <c r="F214" s="14">
        <f>$F$10*'D) Ecrêtage'!M208</f>
        <v>721109.56997431803</v>
      </c>
      <c r="G214" s="152">
        <f t="shared" si="3"/>
        <v>872324.31997431803</v>
      </c>
    </row>
    <row r="215" spans="1:7" x14ac:dyDescent="0.25">
      <c r="A215" s="61">
        <f>'A) Base RI'!A211</f>
        <v>5732</v>
      </c>
      <c r="B215" s="114" t="str">
        <f>'A) Base RI'!B211</f>
        <v>Vich</v>
      </c>
      <c r="C215" s="52">
        <f>'A) Base RI'!AN211</f>
        <v>882</v>
      </c>
      <c r="D215" s="14">
        <f>'C) Prél. conj.'!H209</f>
        <v>365636.25</v>
      </c>
      <c r="E215" s="19">
        <f>'D) Ecrêtage'!L209</f>
        <v>225232.4406979669</v>
      </c>
      <c r="F215" s="14">
        <f>$F$10*'D) Ecrêtage'!M209</f>
        <v>856018.02127019479</v>
      </c>
      <c r="G215" s="152">
        <f t="shared" si="3"/>
        <v>1446886.7119681616</v>
      </c>
    </row>
    <row r="216" spans="1:7" x14ac:dyDescent="0.25">
      <c r="A216" s="61">
        <f>'A) Base RI'!A212</f>
        <v>5741</v>
      </c>
      <c r="B216" s="114" t="str">
        <f>'A) Base RI'!B212</f>
        <v>L'Abergement</v>
      </c>
      <c r="C216" s="52">
        <f>'A) Base RI'!AN212</f>
        <v>250</v>
      </c>
      <c r="D216" s="14">
        <f>'C) Prél. conj.'!H210</f>
        <v>16172.32</v>
      </c>
      <c r="E216" s="19">
        <f>'D) Ecrêtage'!L210</f>
        <v>0</v>
      </c>
      <c r="F216" s="14">
        <f>$F$10*'D) Ecrêtage'!M210</f>
        <v>108591.90785456686</v>
      </c>
      <c r="G216" s="152">
        <f t="shared" si="3"/>
        <v>124764.22785456685</v>
      </c>
    </row>
    <row r="217" spans="1:7" x14ac:dyDescent="0.25">
      <c r="A217" s="61">
        <f>'A) Base RI'!A213</f>
        <v>5742</v>
      </c>
      <c r="B217" s="114" t="str">
        <f>'A) Base RI'!B213</f>
        <v>Agiez</v>
      </c>
      <c r="C217" s="52">
        <f>'A) Base RI'!AN213</f>
        <v>308</v>
      </c>
      <c r="D217" s="14">
        <f>'C) Prél. conj.'!H211</f>
        <v>3893.45</v>
      </c>
      <c r="E217" s="19">
        <f>'D) Ecrêtage'!L211</f>
        <v>0</v>
      </c>
      <c r="F217" s="14">
        <f>$F$10*'D) Ecrêtage'!M211</f>
        <v>143974.5544122213</v>
      </c>
      <c r="G217" s="152">
        <f t="shared" si="3"/>
        <v>147868.00441222131</v>
      </c>
    </row>
    <row r="218" spans="1:7" x14ac:dyDescent="0.25">
      <c r="A218" s="61">
        <f>'A) Base RI'!A214</f>
        <v>5743</v>
      </c>
      <c r="B218" s="114" t="str">
        <f>'A) Base RI'!B214</f>
        <v>Arnex-sur-Orbe</v>
      </c>
      <c r="C218" s="52">
        <f>'A) Base RI'!AN214</f>
        <v>625</v>
      </c>
      <c r="D218" s="14">
        <f>'C) Prél. conj.'!H212</f>
        <v>42060.934999999998</v>
      </c>
      <c r="E218" s="19">
        <f>'D) Ecrêtage'!L212</f>
        <v>0</v>
      </c>
      <c r="F218" s="14">
        <f>$F$10*'D) Ecrêtage'!M212</f>
        <v>269331.36798334977</v>
      </c>
      <c r="G218" s="152">
        <f t="shared" si="3"/>
        <v>311392.30298334977</v>
      </c>
    </row>
    <row r="219" spans="1:7" x14ac:dyDescent="0.25">
      <c r="A219" s="61">
        <f>'A) Base RI'!A215</f>
        <v>5744</v>
      </c>
      <c r="B219" s="114" t="str">
        <f>'A) Base RI'!B215</f>
        <v>Ballaigues</v>
      </c>
      <c r="C219" s="52">
        <f>'A) Base RI'!AN215</f>
        <v>1069</v>
      </c>
      <c r="D219" s="14">
        <f>'C) Prél. conj.'!H213</f>
        <v>272880.10499999998</v>
      </c>
      <c r="E219" s="19">
        <f>'D) Ecrêtage'!L213</f>
        <v>0</v>
      </c>
      <c r="F219" s="14">
        <f>$F$10*'D) Ecrêtage'!M213</f>
        <v>826094.93572341837</v>
      </c>
      <c r="G219" s="152">
        <f t="shared" si="3"/>
        <v>1098975.0407234184</v>
      </c>
    </row>
    <row r="220" spans="1:7" x14ac:dyDescent="0.25">
      <c r="A220" s="61">
        <f>'A) Base RI'!A216</f>
        <v>5745</v>
      </c>
      <c r="B220" s="114" t="str">
        <f>'A) Base RI'!B216</f>
        <v>Baulmes</v>
      </c>
      <c r="C220" s="52">
        <f>'A) Base RI'!AN216</f>
        <v>1034</v>
      </c>
      <c r="D220" s="14">
        <f>'C) Prél. conj.'!H214</f>
        <v>92721.69</v>
      </c>
      <c r="E220" s="19">
        <f>'D) Ecrêtage'!L214</f>
        <v>0</v>
      </c>
      <c r="F220" s="14">
        <f>$F$10*'D) Ecrêtage'!M214</f>
        <v>427266.67446226499</v>
      </c>
      <c r="G220" s="152">
        <f t="shared" si="3"/>
        <v>519988.36446226499</v>
      </c>
    </row>
    <row r="221" spans="1:7" x14ac:dyDescent="0.25">
      <c r="A221" s="61">
        <f>'A) Base RI'!A217</f>
        <v>5746</v>
      </c>
      <c r="B221" s="114" t="str">
        <f>'A) Base RI'!B217</f>
        <v>Bavois</v>
      </c>
      <c r="C221" s="52">
        <f>'A) Base RI'!AN217</f>
        <v>939</v>
      </c>
      <c r="D221" s="14">
        <f>'C) Prél. conj.'!H215</f>
        <v>67899.335000000006</v>
      </c>
      <c r="E221" s="19">
        <f>'D) Ecrêtage'!L215</f>
        <v>0</v>
      </c>
      <c r="F221" s="14">
        <f>$F$10*'D) Ecrêtage'!M215</f>
        <v>371501.74000116467</v>
      </c>
      <c r="G221" s="152">
        <f t="shared" si="3"/>
        <v>439401.07500116469</v>
      </c>
    </row>
    <row r="222" spans="1:7" x14ac:dyDescent="0.25">
      <c r="A222" s="61">
        <f>'A) Base RI'!A218</f>
        <v>5747</v>
      </c>
      <c r="B222" s="114" t="str">
        <f>'A) Base RI'!B218</f>
        <v>Bofflens</v>
      </c>
      <c r="C222" s="52">
        <f>'A) Base RI'!AN218</f>
        <v>187</v>
      </c>
      <c r="D222" s="14">
        <f>'C) Prél. conj.'!H216</f>
        <v>6864.5499999999993</v>
      </c>
      <c r="E222" s="19">
        <f>'D) Ecrêtage'!L216</f>
        <v>0</v>
      </c>
      <c r="F222" s="14">
        <f>$F$10*'D) Ecrêtage'!M216</f>
        <v>80470.161014053461</v>
      </c>
      <c r="G222" s="152">
        <f t="shared" si="3"/>
        <v>87334.711014053464</v>
      </c>
    </row>
    <row r="223" spans="1:7" x14ac:dyDescent="0.25">
      <c r="A223" s="61">
        <f>'A) Base RI'!A219</f>
        <v>5748</v>
      </c>
      <c r="B223" s="114" t="str">
        <f>'A) Base RI'!B219</f>
        <v>Bretonnières</v>
      </c>
      <c r="C223" s="52">
        <f>'A) Base RI'!AN219</f>
        <v>252</v>
      </c>
      <c r="D223" s="14">
        <f>'C) Prél. conj.'!H217</f>
        <v>26051.394999999997</v>
      </c>
      <c r="E223" s="19">
        <f>'D) Ecrêtage'!L217</f>
        <v>0</v>
      </c>
      <c r="F223" s="14">
        <f>$F$10*'D) Ecrêtage'!M217</f>
        <v>95333.472127638874</v>
      </c>
      <c r="G223" s="152">
        <f t="shared" si="3"/>
        <v>121384.86712763886</v>
      </c>
    </row>
    <row r="224" spans="1:7" x14ac:dyDescent="0.25">
      <c r="A224" s="61">
        <f>'A) Base RI'!A220</f>
        <v>5749</v>
      </c>
      <c r="B224" s="114" t="str">
        <f>'A) Base RI'!B220</f>
        <v>Chavornay</v>
      </c>
      <c r="C224" s="52">
        <f>'A) Base RI'!AN220</f>
        <v>4672</v>
      </c>
      <c r="D224" s="14">
        <f>'C) Prél. conj.'!H218</f>
        <v>331931.26</v>
      </c>
      <c r="E224" s="19">
        <f>'D) Ecrêtage'!L218</f>
        <v>0</v>
      </c>
      <c r="F224" s="14">
        <f>$F$10*'D) Ecrêtage'!M218</f>
        <v>1930419.4848085581</v>
      </c>
      <c r="G224" s="152">
        <f t="shared" si="3"/>
        <v>2262350.7448085584</v>
      </c>
    </row>
    <row r="225" spans="1:7" x14ac:dyDescent="0.25">
      <c r="A225" s="61">
        <f>'A) Base RI'!A221</f>
        <v>5750</v>
      </c>
      <c r="B225" s="114" t="str">
        <f>'A) Base RI'!B221</f>
        <v>Les Clées</v>
      </c>
      <c r="C225" s="52">
        <f>'A) Base RI'!AN221</f>
        <v>186</v>
      </c>
      <c r="D225" s="14">
        <f>'C) Prél. conj.'!H219</f>
        <v>5803.09</v>
      </c>
      <c r="E225" s="19">
        <f>'D) Ecrêtage'!L219</f>
        <v>0</v>
      </c>
      <c r="F225" s="14">
        <f>$F$10*'D) Ecrêtage'!M219</f>
        <v>67781.593406702043</v>
      </c>
      <c r="G225" s="152">
        <f t="shared" si="3"/>
        <v>73584.683406702039</v>
      </c>
    </row>
    <row r="226" spans="1:7" x14ac:dyDescent="0.25">
      <c r="A226" s="61">
        <f>'A) Base RI'!A222</f>
        <v>5752</v>
      </c>
      <c r="B226" s="114" t="str">
        <f>'A) Base RI'!B222</f>
        <v>Croy</v>
      </c>
      <c r="C226" s="52">
        <f>'A) Base RI'!AN222</f>
        <v>335</v>
      </c>
      <c r="D226" s="14">
        <f>'C) Prél. conj.'!H220</f>
        <v>43167.74</v>
      </c>
      <c r="E226" s="19">
        <f>'D) Ecrêtage'!L220</f>
        <v>0</v>
      </c>
      <c r="F226" s="14">
        <f>$F$10*'D) Ecrêtage'!M220</f>
        <v>200053.31909964746</v>
      </c>
      <c r="G226" s="152">
        <f t="shared" si="3"/>
        <v>243221.05909964745</v>
      </c>
    </row>
    <row r="227" spans="1:7" x14ac:dyDescent="0.25">
      <c r="A227" s="61">
        <f>'A) Base RI'!A223</f>
        <v>5754</v>
      </c>
      <c r="B227" s="114" t="str">
        <f>'A) Base RI'!B223</f>
        <v>Juriens</v>
      </c>
      <c r="C227" s="52">
        <f>'A) Base RI'!AN223</f>
        <v>302</v>
      </c>
      <c r="D227" s="14">
        <f>'C) Prél. conj.'!H221</f>
        <v>18860.559999999998</v>
      </c>
      <c r="E227" s="19">
        <f>'D) Ecrêtage'!L221</f>
        <v>0</v>
      </c>
      <c r="F227" s="14">
        <f>$F$10*'D) Ecrêtage'!M221</f>
        <v>100533.50790567973</v>
      </c>
      <c r="G227" s="152">
        <f t="shared" si="3"/>
        <v>119394.06790567972</v>
      </c>
    </row>
    <row r="228" spans="1:7" x14ac:dyDescent="0.25">
      <c r="A228" s="61">
        <f>'A) Base RI'!A224</f>
        <v>5755</v>
      </c>
      <c r="B228" s="114" t="str">
        <f>'A) Base RI'!B224</f>
        <v>Lignerolle</v>
      </c>
      <c r="C228" s="52">
        <f>'A) Base RI'!AN224</f>
        <v>394</v>
      </c>
      <c r="D228" s="14">
        <f>'C) Prél. conj.'!H222</f>
        <v>41764.019999999997</v>
      </c>
      <c r="E228" s="19">
        <f>'D) Ecrêtage'!L222</f>
        <v>0</v>
      </c>
      <c r="F228" s="14">
        <f>$F$10*'D) Ecrêtage'!M222</f>
        <v>137725.14426014415</v>
      </c>
      <c r="G228" s="152">
        <f t="shared" si="3"/>
        <v>179489.16426014414</v>
      </c>
    </row>
    <row r="229" spans="1:7" x14ac:dyDescent="0.25">
      <c r="A229" s="61">
        <f>'A) Base RI'!A225</f>
        <v>5756</v>
      </c>
      <c r="B229" s="114" t="str">
        <f>'A) Base RI'!B225</f>
        <v>Montcherand</v>
      </c>
      <c r="C229" s="52">
        <f>'A) Base RI'!AN225</f>
        <v>474</v>
      </c>
      <c r="D229" s="14">
        <f>'C) Prél. conj.'!H223</f>
        <v>33654.689999999995</v>
      </c>
      <c r="E229" s="19">
        <f>'D) Ecrêtage'!L223</f>
        <v>0</v>
      </c>
      <c r="F229" s="14">
        <f>$F$10*'D) Ecrêtage'!M223</f>
        <v>229890.08071191696</v>
      </c>
      <c r="G229" s="152">
        <f t="shared" si="3"/>
        <v>263544.77071191696</v>
      </c>
    </row>
    <row r="230" spans="1:7" x14ac:dyDescent="0.25">
      <c r="A230" s="61">
        <f>'A) Base RI'!A226</f>
        <v>5757</v>
      </c>
      <c r="B230" s="114" t="str">
        <f>'A) Base RI'!B226</f>
        <v>Orbe</v>
      </c>
      <c r="C230" s="52">
        <f>'A) Base RI'!AN226</f>
        <v>6767</v>
      </c>
      <c r="D230" s="14">
        <f>'C) Prél. conj.'!H224</f>
        <v>1233481.8</v>
      </c>
      <c r="E230" s="19">
        <f>'D) Ecrêtage'!L224</f>
        <v>0</v>
      </c>
      <c r="F230" s="14">
        <f>$F$10*'D) Ecrêtage'!M224</f>
        <v>3266819.0506862085</v>
      </c>
      <c r="G230" s="152">
        <f t="shared" si="3"/>
        <v>4500300.8506862083</v>
      </c>
    </row>
    <row r="231" spans="1:7" x14ac:dyDescent="0.25">
      <c r="A231" s="61">
        <f>'A) Base RI'!A227</f>
        <v>5758</v>
      </c>
      <c r="B231" s="114" t="str">
        <f>'A) Base RI'!B227</f>
        <v>La Praz</v>
      </c>
      <c r="C231" s="52">
        <f>'A) Base RI'!AN227</f>
        <v>160</v>
      </c>
      <c r="D231" s="14">
        <f>'C) Prél. conj.'!H225</f>
        <v>6325.6750000000002</v>
      </c>
      <c r="E231" s="19">
        <f>'D) Ecrêtage'!L225</f>
        <v>0</v>
      </c>
      <c r="F231" s="14">
        <f>$F$10*'D) Ecrêtage'!M225</f>
        <v>59989.76672713361</v>
      </c>
      <c r="G231" s="152">
        <f t="shared" si="3"/>
        <v>66315.441727133613</v>
      </c>
    </row>
    <row r="232" spans="1:7" x14ac:dyDescent="0.25">
      <c r="A232" s="61">
        <f>'A) Base RI'!A228</f>
        <v>5759</v>
      </c>
      <c r="B232" s="114" t="str">
        <f>'A) Base RI'!B228</f>
        <v>Premier</v>
      </c>
      <c r="C232" s="52">
        <f>'A) Base RI'!AN228</f>
        <v>185</v>
      </c>
      <c r="D232" s="14">
        <f>'C) Prél. conj.'!H226</f>
        <v>10440.755000000001</v>
      </c>
      <c r="E232" s="19">
        <f>'D) Ecrêtage'!L226</f>
        <v>0</v>
      </c>
      <c r="F232" s="14">
        <f>$F$10*'D) Ecrêtage'!M226</f>
        <v>70771.766702802284</v>
      </c>
      <c r="G232" s="152">
        <f t="shared" si="3"/>
        <v>81212.521702802289</v>
      </c>
    </row>
    <row r="233" spans="1:7" x14ac:dyDescent="0.25">
      <c r="A233" s="61">
        <f>'A) Base RI'!A229</f>
        <v>5760</v>
      </c>
      <c r="B233" s="114" t="str">
        <f>'A) Base RI'!B229</f>
        <v>Rances</v>
      </c>
      <c r="C233" s="52">
        <f>'A) Base RI'!AN229</f>
        <v>460</v>
      </c>
      <c r="D233" s="14">
        <f>'C) Prél. conj.'!H227</f>
        <v>25221.895</v>
      </c>
      <c r="E233" s="19">
        <f>'D) Ecrêtage'!L227</f>
        <v>0</v>
      </c>
      <c r="F233" s="14">
        <f>$F$10*'D) Ecrêtage'!M227</f>
        <v>178069.87836548913</v>
      </c>
      <c r="G233" s="152">
        <f t="shared" si="3"/>
        <v>203291.77336548912</v>
      </c>
    </row>
    <row r="234" spans="1:7" x14ac:dyDescent="0.25">
      <c r="A234" s="61">
        <f>'A) Base RI'!A230</f>
        <v>5761</v>
      </c>
      <c r="B234" s="114" t="str">
        <f>'A) Base RI'!B230</f>
        <v>Romainmôtier-Envy</v>
      </c>
      <c r="C234" s="52">
        <f>'A) Base RI'!AN230</f>
        <v>525</v>
      </c>
      <c r="D234" s="14">
        <f>'C) Prél. conj.'!H228</f>
        <v>42732.544999999998</v>
      </c>
      <c r="E234" s="19">
        <f>'D) Ecrêtage'!L228</f>
        <v>0</v>
      </c>
      <c r="F234" s="14">
        <f>$F$10*'D) Ecrêtage'!M228</f>
        <v>176161.62437877103</v>
      </c>
      <c r="G234" s="152">
        <f t="shared" si="3"/>
        <v>218894.16937877104</v>
      </c>
    </row>
    <row r="235" spans="1:7" x14ac:dyDescent="0.25">
      <c r="A235" s="61">
        <f>'A) Base RI'!A231</f>
        <v>5762</v>
      </c>
      <c r="B235" s="114" t="str">
        <f>'A) Base RI'!B231</f>
        <v>Sergey</v>
      </c>
      <c r="C235" s="52">
        <f>'A) Base RI'!AN231</f>
        <v>144</v>
      </c>
      <c r="D235" s="14">
        <f>'C) Prél. conj.'!H229</f>
        <v>1245.06</v>
      </c>
      <c r="E235" s="19">
        <f>'D) Ecrêtage'!L229</f>
        <v>0</v>
      </c>
      <c r="F235" s="14">
        <f>$F$10*'D) Ecrêtage'!M229</f>
        <v>48200.502021432985</v>
      </c>
      <c r="G235" s="152">
        <f t="shared" si="3"/>
        <v>49445.562021432983</v>
      </c>
    </row>
    <row r="236" spans="1:7" x14ac:dyDescent="0.25">
      <c r="A236" s="61">
        <f>'A) Base RI'!A232</f>
        <v>5763</v>
      </c>
      <c r="B236" s="114" t="str">
        <f>'A) Base RI'!B232</f>
        <v>Valeyres-sous-Rances</v>
      </c>
      <c r="C236" s="52">
        <f>'A) Base RI'!AN232</f>
        <v>600</v>
      </c>
      <c r="D236" s="14">
        <f>'C) Prél. conj.'!H230</f>
        <v>57368.539999999994</v>
      </c>
      <c r="E236" s="19">
        <f>'D) Ecrêtage'!L230</f>
        <v>0</v>
      </c>
      <c r="F236" s="14">
        <f>$F$10*'D) Ecrêtage'!M230</f>
        <v>250396.44864502375</v>
      </c>
      <c r="G236" s="152">
        <f t="shared" si="3"/>
        <v>307764.98864502372</v>
      </c>
    </row>
    <row r="237" spans="1:7" x14ac:dyDescent="0.25">
      <c r="A237" s="61">
        <f>'A) Base RI'!A233</f>
        <v>5764</v>
      </c>
      <c r="B237" s="114" t="str">
        <f>'A) Base RI'!B233</f>
        <v>Vallorbe</v>
      </c>
      <c r="C237" s="52">
        <f>'A) Base RI'!AN233</f>
        <v>3650</v>
      </c>
      <c r="D237" s="14">
        <f>'C) Prél. conj.'!H231</f>
        <v>914852.48499999999</v>
      </c>
      <c r="E237" s="19">
        <f>'D) Ecrêtage'!L231</f>
        <v>0</v>
      </c>
      <c r="F237" s="14">
        <f>$F$10*'D) Ecrêtage'!M231</f>
        <v>1310171.5806900831</v>
      </c>
      <c r="G237" s="152">
        <f t="shared" si="3"/>
        <v>2225024.065690083</v>
      </c>
    </row>
    <row r="238" spans="1:7" x14ac:dyDescent="0.25">
      <c r="A238" s="61">
        <f>'A) Base RI'!A234</f>
        <v>5765</v>
      </c>
      <c r="B238" s="114" t="str">
        <f>'A) Base RI'!B234</f>
        <v>Vaulion</v>
      </c>
      <c r="C238" s="52">
        <f>'A) Base RI'!AN234</f>
        <v>491</v>
      </c>
      <c r="D238" s="14">
        <f>'C) Prél. conj.'!H232</f>
        <v>57562.77</v>
      </c>
      <c r="E238" s="19">
        <f>'D) Ecrêtage'!L232</f>
        <v>0</v>
      </c>
      <c r="F238" s="14">
        <f>$F$10*'D) Ecrêtage'!M232</f>
        <v>144463.84431023436</v>
      </c>
      <c r="G238" s="152">
        <f t="shared" si="3"/>
        <v>202026.61431023435</v>
      </c>
    </row>
    <row r="239" spans="1:7" x14ac:dyDescent="0.25">
      <c r="A239" s="61">
        <f>'A) Base RI'!A235</f>
        <v>5766</v>
      </c>
      <c r="B239" s="114" t="str">
        <f>'A) Base RI'!B235</f>
        <v>Vuiteboeuf</v>
      </c>
      <c r="C239" s="52">
        <f>'A) Base RI'!AN235</f>
        <v>538</v>
      </c>
      <c r="D239" s="14">
        <f>'C) Prél. conj.'!H233</f>
        <v>39919.395000000004</v>
      </c>
      <c r="E239" s="19">
        <f>'D) Ecrêtage'!L233</f>
        <v>0</v>
      </c>
      <c r="F239" s="14">
        <f>$F$10*'D) Ecrêtage'!M233</f>
        <v>180316.12913524039</v>
      </c>
      <c r="G239" s="152">
        <f t="shared" si="3"/>
        <v>220235.52413524041</v>
      </c>
    </row>
    <row r="240" spans="1:7" x14ac:dyDescent="0.25">
      <c r="A240" s="61">
        <f>'A) Base RI'!A236</f>
        <v>5785</v>
      </c>
      <c r="B240" s="114" t="str">
        <f>'A) Base RI'!B236</f>
        <v>Corcelles-le-Jorat</v>
      </c>
      <c r="C240" s="52">
        <f>'A) Base RI'!AN236</f>
        <v>421</v>
      </c>
      <c r="D240" s="14">
        <f>'C) Prél. conj.'!H234</f>
        <v>20339.5</v>
      </c>
      <c r="E240" s="19">
        <f>'D) Ecrêtage'!L234</f>
        <v>0</v>
      </c>
      <c r="F240" s="14">
        <f>$F$10*'D) Ecrêtage'!M234</f>
        <v>190843.15157050273</v>
      </c>
      <c r="G240" s="152">
        <f t="shared" si="3"/>
        <v>211182.65157050273</v>
      </c>
    </row>
    <row r="241" spans="1:7" x14ac:dyDescent="0.25">
      <c r="A241" s="61">
        <f>'A) Base RI'!A237</f>
        <v>5788</v>
      </c>
      <c r="B241" s="114" t="str">
        <f>'A) Base RI'!B237</f>
        <v>Essertes</v>
      </c>
      <c r="C241" s="52">
        <f>'A) Base RI'!AN237</f>
        <v>330</v>
      </c>
      <c r="D241" s="14">
        <f>'C) Prél. conj.'!H235</f>
        <v>21718.474999999999</v>
      </c>
      <c r="E241" s="19">
        <f>'D) Ecrêtage'!L235</f>
        <v>0</v>
      </c>
      <c r="F241" s="14">
        <f>$F$10*'D) Ecrêtage'!M235</f>
        <v>161645.69299234782</v>
      </c>
      <c r="G241" s="152">
        <f t="shared" si="3"/>
        <v>183364.16799234782</v>
      </c>
    </row>
    <row r="242" spans="1:7" x14ac:dyDescent="0.25">
      <c r="A242" s="61">
        <f>'A) Base RI'!A238</f>
        <v>5790</v>
      </c>
      <c r="B242" s="114" t="str">
        <f>'A) Base RI'!B238</f>
        <v>Maracon</v>
      </c>
      <c r="C242" s="52">
        <f>'A) Base RI'!AN238</f>
        <v>444</v>
      </c>
      <c r="D242" s="14">
        <f>'C) Prél. conj.'!H236</f>
        <v>107656.375</v>
      </c>
      <c r="E242" s="19">
        <f>'D) Ecrêtage'!L236</f>
        <v>0</v>
      </c>
      <c r="F242" s="14">
        <f>$F$10*'D) Ecrêtage'!M236</f>
        <v>187965.7032696298</v>
      </c>
      <c r="G242" s="152">
        <f t="shared" si="3"/>
        <v>295622.0782696298</v>
      </c>
    </row>
    <row r="243" spans="1:7" x14ac:dyDescent="0.25">
      <c r="A243" s="61">
        <f>'A) Base RI'!A239</f>
        <v>5792</v>
      </c>
      <c r="B243" s="114" t="str">
        <f>'A) Base RI'!B239</f>
        <v>Montpreveyres</v>
      </c>
      <c r="C243" s="52">
        <f>'A) Base RI'!AN239</f>
        <v>628</v>
      </c>
      <c r="D243" s="14">
        <f>'C) Prél. conj.'!H237</f>
        <v>29056.69</v>
      </c>
      <c r="E243" s="19">
        <f>'D) Ecrêtage'!L237</f>
        <v>0</v>
      </c>
      <c r="F243" s="14">
        <f>$F$10*'D) Ecrêtage'!M237</f>
        <v>296338.65539436979</v>
      </c>
      <c r="G243" s="152">
        <f t="shared" si="3"/>
        <v>325395.3453943698</v>
      </c>
    </row>
    <row r="244" spans="1:7" x14ac:dyDescent="0.25">
      <c r="A244" s="61">
        <f>'A) Base RI'!A240</f>
        <v>5798</v>
      </c>
      <c r="B244" s="114" t="str">
        <f>'A) Base RI'!B240</f>
        <v>Ropraz</v>
      </c>
      <c r="C244" s="52">
        <f>'A) Base RI'!AN240</f>
        <v>405</v>
      </c>
      <c r="D244" s="14">
        <f>'C) Prél. conj.'!H238</f>
        <v>43367.275000000001</v>
      </c>
      <c r="E244" s="19">
        <f>'D) Ecrêtage'!L238</f>
        <v>0</v>
      </c>
      <c r="F244" s="14">
        <f>$F$10*'D) Ecrêtage'!M238</f>
        <v>148387.5959553147</v>
      </c>
      <c r="G244" s="152">
        <f t="shared" si="3"/>
        <v>191754.87095531469</v>
      </c>
    </row>
    <row r="245" spans="1:7" x14ac:dyDescent="0.25">
      <c r="A245" s="61">
        <f>'A) Base RI'!A241</f>
        <v>5799</v>
      </c>
      <c r="B245" s="114" t="str">
        <f>'A) Base RI'!B241</f>
        <v>Servion</v>
      </c>
      <c r="C245" s="52">
        <f>'A) Base RI'!AN241</f>
        <v>1908</v>
      </c>
      <c r="D245" s="14">
        <f>'C) Prél. conj.'!H239</f>
        <v>243935.60499999995</v>
      </c>
      <c r="E245" s="19">
        <f>'D) Ecrêtage'!L239</f>
        <v>0</v>
      </c>
      <c r="F245" s="14">
        <f>$F$10*'D) Ecrêtage'!M239</f>
        <v>797437.07408786577</v>
      </c>
      <c r="G245" s="152">
        <f t="shared" si="3"/>
        <v>1041372.6790878657</v>
      </c>
    </row>
    <row r="246" spans="1:7" x14ac:dyDescent="0.25">
      <c r="A246" s="61">
        <f>'A) Base RI'!A242</f>
        <v>5803</v>
      </c>
      <c r="B246" s="114" t="str">
        <f>'A) Base RI'!B242</f>
        <v>Vulliens</v>
      </c>
      <c r="C246" s="52">
        <f>'A) Base RI'!AN242</f>
        <v>462</v>
      </c>
      <c r="D246" s="14">
        <f>'C) Prél. conj.'!H240</f>
        <v>86546.75</v>
      </c>
      <c r="E246" s="19">
        <f>'D) Ecrêtage'!L240</f>
        <v>0</v>
      </c>
      <c r="F246" s="14">
        <f>$F$10*'D) Ecrêtage'!M240</f>
        <v>195439.80631341485</v>
      </c>
      <c r="G246" s="152">
        <f t="shared" si="3"/>
        <v>281986.55631341483</v>
      </c>
    </row>
    <row r="247" spans="1:7" x14ac:dyDescent="0.25">
      <c r="A247" s="61">
        <f>'A) Base RI'!A243</f>
        <v>5804</v>
      </c>
      <c r="B247" s="114" t="str">
        <f>'A) Base RI'!B243</f>
        <v>Jorat-Menthue</v>
      </c>
      <c r="C247" s="52">
        <f>'A) Base RI'!AN243</f>
        <v>1518</v>
      </c>
      <c r="D247" s="14">
        <f>'C) Prél. conj.'!H241</f>
        <v>116592.78</v>
      </c>
      <c r="E247" s="19">
        <f>'D) Ecrêtage'!L241</f>
        <v>0</v>
      </c>
      <c r="F247" s="14">
        <f>$F$10*'D) Ecrêtage'!M241</f>
        <v>639043.898058541</v>
      </c>
      <c r="G247" s="152">
        <f t="shared" si="3"/>
        <v>755636.67805854103</v>
      </c>
    </row>
    <row r="248" spans="1:7" x14ac:dyDescent="0.25">
      <c r="A248" s="61">
        <f>'A) Base RI'!A244</f>
        <v>5805</v>
      </c>
      <c r="B248" s="114" t="str">
        <f>'A) Base RI'!B244</f>
        <v>Oron</v>
      </c>
      <c r="C248" s="52">
        <f>'A) Base RI'!AN244</f>
        <v>5297</v>
      </c>
      <c r="D248" s="14">
        <f>'C) Prél. conj.'!H242</f>
        <v>461266.41499999998</v>
      </c>
      <c r="E248" s="19">
        <f>'D) Ecrêtage'!L242</f>
        <v>0</v>
      </c>
      <c r="F248" s="14">
        <f>$F$10*'D) Ecrêtage'!M242</f>
        <v>2274404.1048557889</v>
      </c>
      <c r="G248" s="152">
        <f t="shared" si="3"/>
        <v>2735670.5198557889</v>
      </c>
    </row>
    <row r="249" spans="1:7" x14ac:dyDescent="0.25">
      <c r="A249" s="61">
        <f>'A) Base RI'!A245</f>
        <v>5806</v>
      </c>
      <c r="B249" s="114" t="str">
        <f>'A) Base RI'!B245</f>
        <v>Jorat-Mézières</v>
      </c>
      <c r="C249" s="52">
        <f>'A) Base RI'!AN245</f>
        <v>2755</v>
      </c>
      <c r="D249" s="14">
        <f>'C) Prél. conj.'!H243</f>
        <v>219222.84999999998</v>
      </c>
      <c r="E249" s="19">
        <f>'D) Ecrêtage'!L243</f>
        <v>0</v>
      </c>
      <c r="F249" s="14">
        <f>$F$10*'D) Ecrêtage'!M243</f>
        <v>1289452.0804982912</v>
      </c>
      <c r="G249" s="152">
        <f t="shared" si="3"/>
        <v>1508674.9304982913</v>
      </c>
    </row>
    <row r="250" spans="1:7" x14ac:dyDescent="0.25">
      <c r="A250" s="61">
        <f>'A) Base RI'!A246</f>
        <v>5812</v>
      </c>
      <c r="B250" s="114" t="str">
        <f>'A) Base RI'!B246</f>
        <v>Champtauroz</v>
      </c>
      <c r="C250" s="52">
        <f>'A) Base RI'!AN246</f>
        <v>133</v>
      </c>
      <c r="D250" s="14">
        <f>'C) Prél. conj.'!H244</f>
        <v>17538.3</v>
      </c>
      <c r="E250" s="19">
        <f>'D) Ecrêtage'!L244</f>
        <v>0</v>
      </c>
      <c r="F250" s="14">
        <f>$F$10*'D) Ecrêtage'!M244</f>
        <v>37572.123186755278</v>
      </c>
      <c r="G250" s="152">
        <f t="shared" si="3"/>
        <v>55110.423186755273</v>
      </c>
    </row>
    <row r="251" spans="1:7" x14ac:dyDescent="0.25">
      <c r="A251" s="61">
        <f>'A) Base RI'!A247</f>
        <v>5813</v>
      </c>
      <c r="B251" s="114" t="str">
        <f>'A) Base RI'!B247</f>
        <v>Chevroux</v>
      </c>
      <c r="C251" s="52">
        <f>'A) Base RI'!AN247</f>
        <v>430</v>
      </c>
      <c r="D251" s="14">
        <f>'C) Prél. conj.'!H245</f>
        <v>33217.599999999999</v>
      </c>
      <c r="E251" s="19">
        <f>'D) Ecrêtage'!L245</f>
        <v>0</v>
      </c>
      <c r="F251" s="14">
        <f>$F$10*'D) Ecrêtage'!M245</f>
        <v>179933.18206427875</v>
      </c>
      <c r="G251" s="152">
        <f t="shared" si="3"/>
        <v>213150.78206427876</v>
      </c>
    </row>
    <row r="252" spans="1:7" x14ac:dyDescent="0.25">
      <c r="A252" s="61">
        <f>'A) Base RI'!A248</f>
        <v>5816</v>
      </c>
      <c r="B252" s="114" t="str">
        <f>'A) Base RI'!B248</f>
        <v>Corcelles-près-Payerne</v>
      </c>
      <c r="C252" s="52">
        <f>'A) Base RI'!AN248</f>
        <v>2229</v>
      </c>
      <c r="D252" s="14">
        <f>'C) Prél. conj.'!H246</f>
        <v>240558.625</v>
      </c>
      <c r="E252" s="19">
        <f>'D) Ecrêtage'!L246</f>
        <v>0</v>
      </c>
      <c r="F252" s="14">
        <f>$F$10*'D) Ecrêtage'!M246</f>
        <v>822076.4252406013</v>
      </c>
      <c r="G252" s="152">
        <f t="shared" si="3"/>
        <v>1062635.0502406014</v>
      </c>
    </row>
    <row r="253" spans="1:7" x14ac:dyDescent="0.25">
      <c r="A253" s="61">
        <f>'A) Base RI'!A249</f>
        <v>5817</v>
      </c>
      <c r="B253" s="114" t="str">
        <f>'A) Base RI'!B249</f>
        <v>Grandcour</v>
      </c>
      <c r="C253" s="52">
        <f>'A) Base RI'!AN249</f>
        <v>856</v>
      </c>
      <c r="D253" s="14">
        <f>'C) Prél. conj.'!H247</f>
        <v>40069.525000000001</v>
      </c>
      <c r="E253" s="19">
        <f>'D) Ecrêtage'!L247</f>
        <v>0</v>
      </c>
      <c r="F253" s="14">
        <f>$F$10*'D) Ecrêtage'!M247</f>
        <v>324395.95120807574</v>
      </c>
      <c r="G253" s="152">
        <f t="shared" si="3"/>
        <v>364465.47620807576</v>
      </c>
    </row>
    <row r="254" spans="1:7" x14ac:dyDescent="0.25">
      <c r="A254" s="61">
        <f>'A) Base RI'!A250</f>
        <v>5819</v>
      </c>
      <c r="B254" s="114" t="str">
        <f>'A) Base RI'!B250</f>
        <v>Henniez</v>
      </c>
      <c r="C254" s="52">
        <f>'A) Base RI'!AN250</f>
        <v>339</v>
      </c>
      <c r="D254" s="14">
        <f>'C) Prél. conj.'!H248</f>
        <v>25073.47</v>
      </c>
      <c r="E254" s="19">
        <f>'D) Ecrêtage'!L248</f>
        <v>0</v>
      </c>
      <c r="F254" s="14">
        <f>$F$10*'D) Ecrêtage'!M248</f>
        <v>203478.84022968539</v>
      </c>
      <c r="G254" s="152">
        <f t="shared" si="3"/>
        <v>228552.31022968539</v>
      </c>
    </row>
    <row r="255" spans="1:7" x14ac:dyDescent="0.25">
      <c r="A255" s="61">
        <f>'A) Base RI'!A251</f>
        <v>5821</v>
      </c>
      <c r="B255" s="114" t="str">
        <f>'A) Base RI'!B251</f>
        <v>Missy</v>
      </c>
      <c r="C255" s="52">
        <f>'A) Base RI'!AN251</f>
        <v>350</v>
      </c>
      <c r="D255" s="14">
        <f>'C) Prél. conj.'!H249</f>
        <v>48571.149999999994</v>
      </c>
      <c r="E255" s="19">
        <f>'D) Ecrêtage'!L249</f>
        <v>0</v>
      </c>
      <c r="F255" s="14">
        <f>$F$10*'D) Ecrêtage'!M249</f>
        <v>113542.94053757269</v>
      </c>
      <c r="G255" s="152">
        <f t="shared" si="3"/>
        <v>162114.09053757269</v>
      </c>
    </row>
    <row r="256" spans="1:7" x14ac:dyDescent="0.25">
      <c r="A256" s="61">
        <f>'A) Base RI'!A252</f>
        <v>5822</v>
      </c>
      <c r="B256" s="114" t="str">
        <f>'A) Base RI'!B252</f>
        <v>Payerne</v>
      </c>
      <c r="C256" s="52">
        <f>'A) Base RI'!AN252</f>
        <v>9302</v>
      </c>
      <c r="D256" s="14">
        <f>'C) Prél. conj.'!H250</f>
        <v>684913.22</v>
      </c>
      <c r="E256" s="19">
        <f>'D) Ecrêtage'!L250</f>
        <v>0</v>
      </c>
      <c r="F256" s="14">
        <f>$F$10*'D) Ecrêtage'!M250</f>
        <v>3484396.3942388911</v>
      </c>
      <c r="G256" s="152">
        <f t="shared" si="3"/>
        <v>4169309.6142388908</v>
      </c>
    </row>
    <row r="257" spans="1:7" x14ac:dyDescent="0.25">
      <c r="A257" s="61">
        <f>'A) Base RI'!A253</f>
        <v>5827</v>
      </c>
      <c r="B257" s="114" t="str">
        <f>'A) Base RI'!B253</f>
        <v>Trey</v>
      </c>
      <c r="C257" s="52">
        <f>'A) Base RI'!AN253</f>
        <v>255</v>
      </c>
      <c r="D257" s="14">
        <f>'C) Prél. conj.'!H251</f>
        <v>26004.920000000002</v>
      </c>
      <c r="E257" s="19">
        <f>'D) Ecrêtage'!L251</f>
        <v>0</v>
      </c>
      <c r="F257" s="14">
        <f>$F$10*'D) Ecrêtage'!M251</f>
        <v>101597.27692773039</v>
      </c>
      <c r="G257" s="152">
        <f t="shared" si="3"/>
        <v>127602.19692773039</v>
      </c>
    </row>
    <row r="258" spans="1:7" x14ac:dyDescent="0.25">
      <c r="A258" s="61">
        <f>'A) Base RI'!A254</f>
        <v>5828</v>
      </c>
      <c r="B258" s="114" t="str">
        <f>'A) Base RI'!B254</f>
        <v>Treytorrens (Payerne)</v>
      </c>
      <c r="C258" s="52">
        <f>'A) Base RI'!AN254</f>
        <v>124</v>
      </c>
      <c r="D258" s="14">
        <f>'C) Prél. conj.'!H252</f>
        <v>8149.125</v>
      </c>
      <c r="E258" s="19">
        <f>'D) Ecrêtage'!L252</f>
        <v>0</v>
      </c>
      <c r="F258" s="14">
        <f>$F$10*'D) Ecrêtage'!M252</f>
        <v>33168.280842686196</v>
      </c>
      <c r="G258" s="152">
        <f t="shared" si="3"/>
        <v>41317.405842686196</v>
      </c>
    </row>
    <row r="259" spans="1:7" x14ac:dyDescent="0.25">
      <c r="A259" s="61">
        <f>'A) Base RI'!A255</f>
        <v>5830</v>
      </c>
      <c r="B259" s="114" t="str">
        <f>'A) Base RI'!B255</f>
        <v>Villarzel</v>
      </c>
      <c r="C259" s="52">
        <f>'A) Base RI'!AN255</f>
        <v>415</v>
      </c>
      <c r="D259" s="14">
        <f>'C) Prél. conj.'!H253</f>
        <v>15729.525</v>
      </c>
      <c r="E259" s="19">
        <f>'D) Ecrêtage'!L253</f>
        <v>0</v>
      </c>
      <c r="F259" s="14">
        <f>$F$10*'D) Ecrêtage'!M253</f>
        <v>158923.65913551889</v>
      </c>
      <c r="G259" s="152">
        <f t="shared" si="3"/>
        <v>174653.18413551888</v>
      </c>
    </row>
    <row r="260" spans="1:7" x14ac:dyDescent="0.25">
      <c r="A260" s="61">
        <f>'A) Base RI'!A256</f>
        <v>5831</v>
      </c>
      <c r="B260" s="114" t="str">
        <f>'A) Base RI'!B256</f>
        <v>Valbroye</v>
      </c>
      <c r="C260" s="52">
        <f>'A) Base RI'!AN256</f>
        <v>2960</v>
      </c>
      <c r="D260" s="14">
        <f>'C) Prél. conj.'!H254</f>
        <v>109432.42500000002</v>
      </c>
      <c r="E260" s="19">
        <f>'D) Ecrêtage'!L254</f>
        <v>0</v>
      </c>
      <c r="F260" s="14">
        <f>$F$10*'D) Ecrêtage'!M254</f>
        <v>1211493.7810486958</v>
      </c>
      <c r="G260" s="152">
        <f t="shared" si="3"/>
        <v>1320926.2060486958</v>
      </c>
    </row>
    <row r="261" spans="1:7" x14ac:dyDescent="0.25">
      <c r="A261" s="61">
        <f>'A) Base RI'!A257</f>
        <v>5841</v>
      </c>
      <c r="B261" s="114" t="str">
        <f>'A) Base RI'!B257</f>
        <v>Château-d'Oex</v>
      </c>
      <c r="C261" s="52">
        <f>'A) Base RI'!AN257</f>
        <v>3408</v>
      </c>
      <c r="D261" s="14">
        <f>'C) Prél. conj.'!H255</f>
        <v>595497.32499999995</v>
      </c>
      <c r="E261" s="19">
        <f>'D) Ecrêtage'!L255</f>
        <v>0</v>
      </c>
      <c r="F261" s="14">
        <f>$F$10*'D) Ecrêtage'!M255</f>
        <v>1669279.4984358198</v>
      </c>
      <c r="G261" s="152">
        <f t="shared" si="3"/>
        <v>2264776.8234358197</v>
      </c>
    </row>
    <row r="262" spans="1:7" x14ac:dyDescent="0.25">
      <c r="A262" s="61">
        <f>'A) Base RI'!A258</f>
        <v>5842</v>
      </c>
      <c r="B262" s="114" t="str">
        <f>'A) Base RI'!B258</f>
        <v>Rossinière</v>
      </c>
      <c r="C262" s="52">
        <f>'A) Base RI'!AN258</f>
        <v>565</v>
      </c>
      <c r="D262" s="14">
        <f>'C) Prél. conj.'!H256</f>
        <v>33048.175000000003</v>
      </c>
      <c r="E262" s="19">
        <f>'D) Ecrêtage'!L256</f>
        <v>0</v>
      </c>
      <c r="F262" s="14">
        <f>$F$10*'D) Ecrêtage'!M256</f>
        <v>256993.93610291477</v>
      </c>
      <c r="G262" s="152">
        <f t="shared" si="3"/>
        <v>290042.11110291479</v>
      </c>
    </row>
    <row r="263" spans="1:7" x14ac:dyDescent="0.25">
      <c r="A263" s="61">
        <f>'A) Base RI'!A259</f>
        <v>5843</v>
      </c>
      <c r="B263" s="114" t="str">
        <f>'A) Base RI'!B259</f>
        <v>Rougemont</v>
      </c>
      <c r="C263" s="52">
        <f>'A) Base RI'!AN259</f>
        <v>881</v>
      </c>
      <c r="D263" s="14">
        <f>'C) Prél. conj.'!H257</f>
        <v>1062441.9249999998</v>
      </c>
      <c r="E263" s="19">
        <f>'D) Ecrêtage'!L257</f>
        <v>1406358.5732079614</v>
      </c>
      <c r="F263" s="14">
        <f>$F$10*'D) Ecrêtage'!M257</f>
        <v>1227195.721181869</v>
      </c>
      <c r="G263" s="152">
        <f t="shared" si="3"/>
        <v>3695996.2193898303</v>
      </c>
    </row>
    <row r="264" spans="1:7" x14ac:dyDescent="0.25">
      <c r="A264" s="61">
        <f>'A) Base RI'!A260</f>
        <v>5851</v>
      </c>
      <c r="B264" s="114" t="str">
        <f>'A) Base RI'!B260</f>
        <v>Allaman</v>
      </c>
      <c r="C264" s="52">
        <f>'A) Base RI'!AN260</f>
        <v>393</v>
      </c>
      <c r="D264" s="14">
        <f>'C) Prél. conj.'!H258</f>
        <v>-240242.10499999998</v>
      </c>
      <c r="E264" s="19">
        <f>'D) Ecrêtage'!L258</f>
        <v>108989.62055734367</v>
      </c>
      <c r="F264" s="14">
        <f>$F$10*'D) Ecrêtage'!M258</f>
        <v>390739.3243892297</v>
      </c>
      <c r="G264" s="152">
        <f t="shared" si="3"/>
        <v>259486.8399465734</v>
      </c>
    </row>
    <row r="265" spans="1:7" x14ac:dyDescent="0.25">
      <c r="A265" s="61">
        <f>'A) Base RI'!A261</f>
        <v>5852</v>
      </c>
      <c r="B265" s="114" t="str">
        <f>'A) Base RI'!B261</f>
        <v>Bursinel</v>
      </c>
      <c r="C265" s="52">
        <f>'A) Base RI'!AN261</f>
        <v>477</v>
      </c>
      <c r="D265" s="14">
        <f>'C) Prél. conj.'!H259</f>
        <v>120412.34999999999</v>
      </c>
      <c r="E265" s="19">
        <f>'D) Ecrêtage'!L259</f>
        <v>128552.90426668781</v>
      </c>
      <c r="F265" s="14">
        <f>$F$10*'D) Ecrêtage'!M259</f>
        <v>470649.76965213666</v>
      </c>
      <c r="G265" s="152">
        <f t="shared" si="3"/>
        <v>719615.0239188245</v>
      </c>
    </row>
    <row r="266" spans="1:7" x14ac:dyDescent="0.25">
      <c r="A266" s="61">
        <f>'A) Base RI'!A262</f>
        <v>5853</v>
      </c>
      <c r="B266" s="114" t="str">
        <f>'A) Base RI'!B262</f>
        <v>Bursins</v>
      </c>
      <c r="C266" s="52">
        <f>'A) Base RI'!AN262</f>
        <v>772</v>
      </c>
      <c r="D266" s="14">
        <f>'C) Prél. conj.'!H260</f>
        <v>149689.06</v>
      </c>
      <c r="E266" s="19">
        <f>'D) Ecrêtage'!L260</f>
        <v>0</v>
      </c>
      <c r="F266" s="14">
        <f>$F$10*'D) Ecrêtage'!M260</f>
        <v>576248.48467431206</v>
      </c>
      <c r="G266" s="152">
        <f t="shared" si="3"/>
        <v>725937.544674312</v>
      </c>
    </row>
    <row r="267" spans="1:7" x14ac:dyDescent="0.25">
      <c r="A267" s="61">
        <f>'A) Base RI'!A263</f>
        <v>5854</v>
      </c>
      <c r="B267" s="114" t="str">
        <f>'A) Base RI'!B263</f>
        <v>Burtigny</v>
      </c>
      <c r="C267" s="52">
        <f>'A) Base RI'!AN263</f>
        <v>352</v>
      </c>
      <c r="D267" s="14">
        <f>'C) Prél. conj.'!H261</f>
        <v>11104.744999999999</v>
      </c>
      <c r="E267" s="19">
        <f>'D) Ecrêtage'!L261</f>
        <v>0</v>
      </c>
      <c r="F267" s="14">
        <f>$F$10*'D) Ecrêtage'!M261</f>
        <v>159035.16395594916</v>
      </c>
      <c r="G267" s="152">
        <f t="shared" si="3"/>
        <v>170139.90895594915</v>
      </c>
    </row>
    <row r="268" spans="1:7" x14ac:dyDescent="0.25">
      <c r="A268" s="61">
        <f>'A) Base RI'!A264</f>
        <v>5855</v>
      </c>
      <c r="B268" s="114" t="str">
        <f>'A) Base RI'!B264</f>
        <v>Dully</v>
      </c>
      <c r="C268" s="52">
        <f>'A) Base RI'!AN264</f>
        <v>636</v>
      </c>
      <c r="D268" s="14">
        <f>'C) Prél. conj.'!H262</f>
        <v>457655.17</v>
      </c>
      <c r="E268" s="19">
        <f>'D) Ecrêtage'!L262</f>
        <v>685941.00003334961</v>
      </c>
      <c r="F268" s="14">
        <f>$F$10*'D) Ecrêtage'!M262</f>
        <v>873312.60540462274</v>
      </c>
      <c r="G268" s="152">
        <f t="shared" ref="G268:G319" si="4">D268+F268+E268</f>
        <v>2016908.7754379725</v>
      </c>
    </row>
    <row r="269" spans="1:7" x14ac:dyDescent="0.25">
      <c r="A269" s="61">
        <f>'A) Base RI'!A265</f>
        <v>5856</v>
      </c>
      <c r="B269" s="114" t="str">
        <f>'A) Base RI'!B265</f>
        <v>Essertines-sur-Rolle</v>
      </c>
      <c r="C269" s="52">
        <f>'A) Base RI'!AN265</f>
        <v>700</v>
      </c>
      <c r="D269" s="14">
        <f>'C) Prél. conj.'!H263</f>
        <v>18940.8</v>
      </c>
      <c r="E269" s="19">
        <f>'D) Ecrêtage'!L263</f>
        <v>0</v>
      </c>
      <c r="F269" s="14">
        <f>$F$10*'D) Ecrêtage'!M263</f>
        <v>446580.73463067471</v>
      </c>
      <c r="G269" s="152">
        <f t="shared" si="4"/>
        <v>465521.53463067469</v>
      </c>
    </row>
    <row r="270" spans="1:7" x14ac:dyDescent="0.25">
      <c r="A270" s="61">
        <f>'A) Base RI'!A266</f>
        <v>5857</v>
      </c>
      <c r="B270" s="114" t="str">
        <f>'A) Base RI'!B266</f>
        <v>Gilly</v>
      </c>
      <c r="C270" s="52">
        <f>'A) Base RI'!AN266</f>
        <v>1131</v>
      </c>
      <c r="D270" s="14">
        <f>'C) Prél. conj.'!H264</f>
        <v>350634.69999999995</v>
      </c>
      <c r="E270" s="19">
        <f>'D) Ecrêtage'!L264</f>
        <v>0</v>
      </c>
      <c r="F270" s="14">
        <f>$F$10*'D) Ecrêtage'!M264</f>
        <v>864633.80563969549</v>
      </c>
      <c r="G270" s="152">
        <f t="shared" si="4"/>
        <v>1215268.5056396956</v>
      </c>
    </row>
    <row r="271" spans="1:7" x14ac:dyDescent="0.25">
      <c r="A271" s="61">
        <f>'A) Base RI'!A267</f>
        <v>5858</v>
      </c>
      <c r="B271" s="114" t="str">
        <f>'A) Base RI'!B267</f>
        <v>Luins</v>
      </c>
      <c r="C271" s="52">
        <f>'A) Base RI'!AN267</f>
        <v>633</v>
      </c>
      <c r="D271" s="14">
        <f>'C) Prél. conj.'!H265</f>
        <v>29865.14</v>
      </c>
      <c r="E271" s="19">
        <f>'D) Ecrêtage'!L265</f>
        <v>0</v>
      </c>
      <c r="F271" s="14">
        <f>$F$10*'D) Ecrêtage'!M265</f>
        <v>521537.74407283898</v>
      </c>
      <c r="G271" s="152">
        <f t="shared" si="4"/>
        <v>551402.88407283893</v>
      </c>
    </row>
    <row r="272" spans="1:7" x14ac:dyDescent="0.25">
      <c r="A272" s="61">
        <f>'A) Base RI'!A268</f>
        <v>5859</v>
      </c>
      <c r="B272" s="114" t="str">
        <f>'A) Base RI'!B268</f>
        <v>Mont-sur-Rolle</v>
      </c>
      <c r="C272" s="52">
        <f>'A) Base RI'!AN268</f>
        <v>2594</v>
      </c>
      <c r="D272" s="14">
        <f>'C) Prél. conj.'!H266</f>
        <v>286083.35499999998</v>
      </c>
      <c r="E272" s="19">
        <f>'D) Ecrêtage'!L266</f>
        <v>140305.04368584574</v>
      </c>
      <c r="F272" s="14">
        <f>$F$10*'D) Ecrêtage'!M266</f>
        <v>2269366.2361216452</v>
      </c>
      <c r="G272" s="152">
        <f t="shared" si="4"/>
        <v>2695754.6348074907</v>
      </c>
    </row>
    <row r="273" spans="1:7" x14ac:dyDescent="0.25">
      <c r="A273" s="61">
        <f>'A) Base RI'!A269</f>
        <v>5860</v>
      </c>
      <c r="B273" s="114" t="str">
        <f>'A) Base RI'!B269</f>
        <v>Perroy</v>
      </c>
      <c r="C273" s="52">
        <f>'A) Base RI'!AN269</f>
        <v>1464</v>
      </c>
      <c r="D273" s="14">
        <f>'C) Prél. conj.'!H267</f>
        <v>379135.93</v>
      </c>
      <c r="E273" s="19">
        <f>'D) Ecrêtage'!L267</f>
        <v>181767.98001866756</v>
      </c>
      <c r="F273" s="14">
        <f>$F$10*'D) Ecrêtage'!M267</f>
        <v>1339335.6085358136</v>
      </c>
      <c r="G273" s="152">
        <f t="shared" si="4"/>
        <v>1900239.5185544812</v>
      </c>
    </row>
    <row r="274" spans="1:7" x14ac:dyDescent="0.25">
      <c r="A274" s="61">
        <f>'A) Base RI'!A270</f>
        <v>5861</v>
      </c>
      <c r="B274" s="114" t="str">
        <f>'A) Base RI'!B270</f>
        <v>Rolle</v>
      </c>
      <c r="C274" s="52">
        <f>'A) Base RI'!AN270</f>
        <v>6047</v>
      </c>
      <c r="D274" s="14">
        <f>'C) Prél. conj.'!H268</f>
        <v>1316944.82</v>
      </c>
      <c r="E274" s="19">
        <f>'D) Ecrêtage'!L268</f>
        <v>5515475.7957162783</v>
      </c>
      <c r="F274" s="14">
        <f>$F$10*'D) Ecrêtage'!M268</f>
        <v>7589951.2074260041</v>
      </c>
      <c r="G274" s="152">
        <f t="shared" si="4"/>
        <v>14422371.823142283</v>
      </c>
    </row>
    <row r="275" spans="1:7" x14ac:dyDescent="0.25">
      <c r="A275" s="61">
        <f>'A) Base RI'!A271</f>
        <v>5862</v>
      </c>
      <c r="B275" s="114" t="str">
        <f>'A) Base RI'!B271</f>
        <v>Tartegnin</v>
      </c>
      <c r="C275" s="52">
        <f>'A) Base RI'!AN271</f>
        <v>230</v>
      </c>
      <c r="D275" s="14">
        <f>'C) Prél. conj.'!H269</f>
        <v>14706.764999999999</v>
      </c>
      <c r="E275" s="19">
        <f>'D) Ecrêtage'!L269</f>
        <v>0</v>
      </c>
      <c r="F275" s="14">
        <f>$F$10*'D) Ecrêtage'!M269</f>
        <v>155102.85284825467</v>
      </c>
      <c r="G275" s="152">
        <f t="shared" si="4"/>
        <v>169809.61784825468</v>
      </c>
    </row>
    <row r="276" spans="1:7" x14ac:dyDescent="0.25">
      <c r="A276" s="61">
        <f>'A) Base RI'!A272</f>
        <v>5863</v>
      </c>
      <c r="B276" s="114" t="str">
        <f>'A) Base RI'!B272</f>
        <v>Vinzel</v>
      </c>
      <c r="C276" s="52">
        <f>'A) Base RI'!AN272</f>
        <v>349</v>
      </c>
      <c r="D276" s="14">
        <f>'C) Prél. conj.'!H270</f>
        <v>27212.969999999998</v>
      </c>
      <c r="E276" s="19">
        <f>'D) Ecrêtage'!L270</f>
        <v>180219.61224814842</v>
      </c>
      <c r="F276" s="14">
        <f>$F$10*'D) Ecrêtage'!M270</f>
        <v>372390.39831755211</v>
      </c>
      <c r="G276" s="152">
        <f t="shared" si="4"/>
        <v>579822.98056570045</v>
      </c>
    </row>
    <row r="277" spans="1:7" x14ac:dyDescent="0.25">
      <c r="A277" s="61">
        <f>'A) Base RI'!A273</f>
        <v>5871</v>
      </c>
      <c r="B277" s="114" t="str">
        <f>'A) Base RI'!B273</f>
        <v>L'Abbaye</v>
      </c>
      <c r="C277" s="52">
        <f>'A) Base RI'!AN273</f>
        <v>1423</v>
      </c>
      <c r="D277" s="14">
        <f>'C) Prél. conj.'!H271</f>
        <v>256815.66999999998</v>
      </c>
      <c r="E277" s="19">
        <f>'D) Ecrêtage'!L271</f>
        <v>0</v>
      </c>
      <c r="F277" s="14">
        <f>$F$10*'D) Ecrêtage'!M271</f>
        <v>764899.92313186591</v>
      </c>
      <c r="G277" s="152">
        <f t="shared" si="4"/>
        <v>1021715.5931318658</v>
      </c>
    </row>
    <row r="278" spans="1:7" x14ac:dyDescent="0.25">
      <c r="A278" s="61">
        <f>'A) Base RI'!A274</f>
        <v>5872</v>
      </c>
      <c r="B278" s="114" t="str">
        <f>'A) Base RI'!B274</f>
        <v>Le Chenit</v>
      </c>
      <c r="C278" s="52">
        <f>'A) Base RI'!AN274</f>
        <v>4614</v>
      </c>
      <c r="D278" s="14">
        <f>'C) Prél. conj.'!H272</f>
        <v>1580840.92</v>
      </c>
      <c r="E278" s="19">
        <f>'D) Ecrêtage'!L272</f>
        <v>1531013.2072357778</v>
      </c>
      <c r="F278" s="14">
        <f>$F$10*'D) Ecrêtage'!M272</f>
        <v>4630884.6374423066</v>
      </c>
      <c r="G278" s="152">
        <f t="shared" si="4"/>
        <v>7742738.7646780843</v>
      </c>
    </row>
    <row r="279" spans="1:7" x14ac:dyDescent="0.25">
      <c r="A279" s="61">
        <f>'A) Base RI'!A275</f>
        <v>5873</v>
      </c>
      <c r="B279" s="114" t="str">
        <f>'A) Base RI'!B275</f>
        <v>Le Lieu</v>
      </c>
      <c r="C279" s="52">
        <f>'A) Base RI'!AN275</f>
        <v>859</v>
      </c>
      <c r="D279" s="14">
        <f>'C) Prél. conj.'!H273</f>
        <v>341783.96500000003</v>
      </c>
      <c r="E279" s="19">
        <f>'D) Ecrêtage'!L273</f>
        <v>0</v>
      </c>
      <c r="F279" s="14">
        <f>$F$10*'D) Ecrêtage'!M273</f>
        <v>557430.10252455808</v>
      </c>
      <c r="G279" s="152">
        <f t="shared" si="4"/>
        <v>899214.06752455817</v>
      </c>
    </row>
    <row r="280" spans="1:7" x14ac:dyDescent="0.25">
      <c r="A280" s="61">
        <f>'A) Base RI'!A276</f>
        <v>5881</v>
      </c>
      <c r="B280" s="114" t="str">
        <f>'A) Base RI'!B276</f>
        <v>Blonay</v>
      </c>
      <c r="C280" s="52">
        <f>'A) Base RI'!AN276</f>
        <v>6132</v>
      </c>
      <c r="D280" s="14">
        <f>'C) Prél. conj.'!H274</f>
        <v>970747.81</v>
      </c>
      <c r="E280" s="19">
        <f>'D) Ecrêtage'!L274</f>
        <v>401869.58238349081</v>
      </c>
      <c r="F280" s="14">
        <f>$F$10*'D) Ecrêtage'!M274</f>
        <v>5380329.5416993899</v>
      </c>
      <c r="G280" s="152">
        <f t="shared" si="4"/>
        <v>6752946.9340828806</v>
      </c>
    </row>
    <row r="281" spans="1:7" x14ac:dyDescent="0.25">
      <c r="A281" s="61">
        <f>'A) Base RI'!A277</f>
        <v>5882</v>
      </c>
      <c r="B281" s="114" t="str">
        <f>'A) Base RI'!B277</f>
        <v>Chardonne</v>
      </c>
      <c r="C281" s="52">
        <f>'A) Base RI'!AN277</f>
        <v>2889</v>
      </c>
      <c r="D281" s="14">
        <f>'C) Prél. conj.'!H275</f>
        <v>726736.07499999995</v>
      </c>
      <c r="E281" s="19">
        <f>'D) Ecrêtage'!L275</f>
        <v>127060.87725028844</v>
      </c>
      <c r="F281" s="14">
        <f>$F$10*'D) Ecrêtage'!M275</f>
        <v>2509108.8789385888</v>
      </c>
      <c r="G281" s="152">
        <f t="shared" si="4"/>
        <v>3362905.8311888771</v>
      </c>
    </row>
    <row r="282" spans="1:7" x14ac:dyDescent="0.25">
      <c r="A282" s="61">
        <f>'A) Base RI'!A278</f>
        <v>5883</v>
      </c>
      <c r="B282" s="114" t="str">
        <f>'A) Base RI'!B278</f>
        <v>Corseaux</v>
      </c>
      <c r="C282" s="52">
        <f>'A) Base RI'!AN278</f>
        <v>2172</v>
      </c>
      <c r="D282" s="14">
        <f>'C) Prél. conj.'!H276</f>
        <v>562320.1</v>
      </c>
      <c r="E282" s="19">
        <f>'D) Ecrêtage'!L276</f>
        <v>598737.36546019395</v>
      </c>
      <c r="F282" s="14">
        <f>$F$10*'D) Ecrêtage'!M276</f>
        <v>2147609.8678831453</v>
      </c>
      <c r="G282" s="152">
        <f t="shared" si="4"/>
        <v>3308667.3333433392</v>
      </c>
    </row>
    <row r="283" spans="1:7" x14ac:dyDescent="0.25">
      <c r="A283" s="61">
        <f>'A) Base RI'!A279</f>
        <v>5884</v>
      </c>
      <c r="B283" s="114" t="str">
        <f>'A) Base RI'!B279</f>
        <v>Corsier-sur-Vevey</v>
      </c>
      <c r="C283" s="52">
        <f>'A) Base RI'!AN279</f>
        <v>3427</v>
      </c>
      <c r="D283" s="14">
        <f>'C) Prél. conj.'!H277</f>
        <v>342765.065</v>
      </c>
      <c r="E283" s="19">
        <f>'D) Ecrêtage'!L277</f>
        <v>0</v>
      </c>
      <c r="F283" s="14">
        <f>$F$10*'D) Ecrêtage'!M277</f>
        <v>2055127.6051575411</v>
      </c>
      <c r="G283" s="152">
        <f t="shared" si="4"/>
        <v>2397892.6701575411</v>
      </c>
    </row>
    <row r="284" spans="1:7" x14ac:dyDescent="0.25">
      <c r="A284" s="61">
        <f>'A) Base RI'!A280</f>
        <v>5885</v>
      </c>
      <c r="B284" s="114" t="str">
        <f>'A) Base RI'!B280</f>
        <v>Jongny</v>
      </c>
      <c r="C284" s="52">
        <f>'A) Base RI'!AN280</f>
        <v>1493</v>
      </c>
      <c r="D284" s="14">
        <f>'C) Prél. conj.'!H278</f>
        <v>191570.67500000002</v>
      </c>
      <c r="E284" s="19">
        <f>'D) Ecrêtage'!L278</f>
        <v>1673973.5020874992</v>
      </c>
      <c r="F284" s="14">
        <f>$F$10*'D) Ecrêtage'!M278</f>
        <v>1898432.06560883</v>
      </c>
      <c r="G284" s="152">
        <f t="shared" si="4"/>
        <v>3763976.242696329</v>
      </c>
    </row>
    <row r="285" spans="1:7" x14ac:dyDescent="0.25">
      <c r="A285" s="61">
        <f>'A) Base RI'!A281</f>
        <v>5886</v>
      </c>
      <c r="B285" s="114" t="str">
        <f>'A) Base RI'!B281</f>
        <v>Montreux</v>
      </c>
      <c r="C285" s="52">
        <f>'A) Base RI'!AN281</f>
        <v>26283</v>
      </c>
      <c r="D285" s="14">
        <f>'C) Prél. conj.'!H279</f>
        <v>6938750.9849999994</v>
      </c>
      <c r="E285" s="19">
        <f>'D) Ecrêtage'!L279</f>
        <v>0</v>
      </c>
      <c r="F285" s="14">
        <f>$F$10*'D) Ecrêtage'!M279</f>
        <v>17280985.635690693</v>
      </c>
      <c r="G285" s="152">
        <f t="shared" si="4"/>
        <v>24219736.620690692</v>
      </c>
    </row>
    <row r="286" spans="1:7" x14ac:dyDescent="0.25">
      <c r="A286" s="61">
        <f>'A) Base RI'!A282</f>
        <v>5888</v>
      </c>
      <c r="B286" s="114" t="str">
        <f>'A) Base RI'!B282</f>
        <v>Saint-Légier-La Chiésaz</v>
      </c>
      <c r="C286" s="52">
        <f>'A) Base RI'!AN282</f>
        <v>5071</v>
      </c>
      <c r="D286" s="14">
        <f>'C) Prél. conj.'!H280</f>
        <v>677291.875</v>
      </c>
      <c r="E286" s="19">
        <f>'D) Ecrêtage'!L280</f>
        <v>875456.86799536587</v>
      </c>
      <c r="F286" s="14">
        <f>$F$10*'D) Ecrêtage'!M280</f>
        <v>4730722.4116822165</v>
      </c>
      <c r="G286" s="152">
        <f t="shared" si="4"/>
        <v>6283471.154677582</v>
      </c>
    </row>
    <row r="287" spans="1:7" x14ac:dyDescent="0.25">
      <c r="A287" s="61">
        <f>'A) Base RI'!A283</f>
        <v>5889</v>
      </c>
      <c r="B287" s="114" t="str">
        <f>'A) Base RI'!B283</f>
        <v>La Tour-de-Peilz</v>
      </c>
      <c r="C287" s="52">
        <f>'A) Base RI'!AN283</f>
        <v>11421</v>
      </c>
      <c r="D287" s="14">
        <f>'C) Prél. conj.'!H281</f>
        <v>1079705.5750000002</v>
      </c>
      <c r="E287" s="19">
        <f>'D) Ecrêtage'!L281</f>
        <v>0</v>
      </c>
      <c r="F287" s="14">
        <f>$F$10*'D) Ecrêtage'!M281</f>
        <v>9161630.2939687278</v>
      </c>
      <c r="G287" s="152">
        <f t="shared" si="4"/>
        <v>10241335.868968729</v>
      </c>
    </row>
    <row r="288" spans="1:7" x14ac:dyDescent="0.25">
      <c r="A288" s="61">
        <f>'A) Base RI'!A284</f>
        <v>5890</v>
      </c>
      <c r="B288" s="114" t="str">
        <f>'A) Base RI'!B284</f>
        <v>Vevey</v>
      </c>
      <c r="C288" s="52">
        <f>'A) Base RI'!AN284</f>
        <v>19217</v>
      </c>
      <c r="D288" s="14">
        <f>'C) Prél. conj.'!H282</f>
        <v>2343830.105</v>
      </c>
      <c r="E288" s="19">
        <f>'D) Ecrêtage'!L282</f>
        <v>0</v>
      </c>
      <c r="F288" s="14">
        <f>$F$10*'D) Ecrêtage'!M282</f>
        <v>14315973.591335582</v>
      </c>
      <c r="G288" s="152">
        <f t="shared" si="4"/>
        <v>16659803.696335582</v>
      </c>
    </row>
    <row r="289" spans="1:7" x14ac:dyDescent="0.25">
      <c r="A289" s="61">
        <f>'A) Base RI'!A285</f>
        <v>5891</v>
      </c>
      <c r="B289" s="114" t="str">
        <f>'A) Base RI'!B285</f>
        <v>Veytaux</v>
      </c>
      <c r="C289" s="52">
        <f>'A) Base RI'!AN285</f>
        <v>854</v>
      </c>
      <c r="D289" s="14">
        <f>'C) Prél. conj.'!H283</f>
        <v>112666.95000000001</v>
      </c>
      <c r="E289" s="19">
        <f>'D) Ecrêtage'!L283</f>
        <v>0</v>
      </c>
      <c r="F289" s="14">
        <f>$F$10*'D) Ecrêtage'!M283</f>
        <v>578432.94007926376</v>
      </c>
      <c r="G289" s="152">
        <f t="shared" si="4"/>
        <v>691099.89007926383</v>
      </c>
    </row>
    <row r="290" spans="1:7" x14ac:dyDescent="0.25">
      <c r="A290" s="61">
        <f>'A) Base RI'!A286</f>
        <v>5902</v>
      </c>
      <c r="B290" s="114" t="str">
        <f>'A) Base RI'!B286</f>
        <v>Belmont-sur-Yverdon</v>
      </c>
      <c r="C290" s="52">
        <f>'A) Base RI'!AN286</f>
        <v>369</v>
      </c>
      <c r="D290" s="14">
        <f>'C) Prél. conj.'!H284</f>
        <v>56664.810000000005</v>
      </c>
      <c r="E290" s="19">
        <f>'D) Ecrêtage'!L284</f>
        <v>0</v>
      </c>
      <c r="F290" s="14">
        <f>$F$10*'D) Ecrêtage'!M284</f>
        <v>134165.91362434236</v>
      </c>
      <c r="G290" s="152">
        <f t="shared" si="4"/>
        <v>190830.72362434235</v>
      </c>
    </row>
    <row r="291" spans="1:7" x14ac:dyDescent="0.25">
      <c r="A291" s="61">
        <f>'A) Base RI'!A287</f>
        <v>5903</v>
      </c>
      <c r="B291" s="114" t="str">
        <f>'A) Base RI'!B287</f>
        <v>Bioley-Magnoux</v>
      </c>
      <c r="C291" s="52">
        <f>'A) Base RI'!AN287</f>
        <v>201</v>
      </c>
      <c r="D291" s="14">
        <f>'C) Prél. conj.'!H285</f>
        <v>45488.510000000009</v>
      </c>
      <c r="E291" s="19">
        <f>'D) Ecrêtage'!L285</f>
        <v>0</v>
      </c>
      <c r="F291" s="14">
        <f>$F$10*'D) Ecrêtage'!M285</f>
        <v>93869.098023747662</v>
      </c>
      <c r="G291" s="152">
        <f t="shared" si="4"/>
        <v>139357.60802374769</v>
      </c>
    </row>
    <row r="292" spans="1:7" x14ac:dyDescent="0.25">
      <c r="A292" s="61">
        <f>'A) Base RI'!A288</f>
        <v>5904</v>
      </c>
      <c r="B292" s="114" t="str">
        <f>'A) Base RI'!B288</f>
        <v>Chamblon</v>
      </c>
      <c r="C292" s="52">
        <f>'A) Base RI'!AN288</f>
        <v>568</v>
      </c>
      <c r="D292" s="14">
        <f>'C) Prél. conj.'!H286</f>
        <v>75655.024999999994</v>
      </c>
      <c r="E292" s="19">
        <f>'D) Ecrêtage'!L286</f>
        <v>0</v>
      </c>
      <c r="F292" s="14">
        <f>$F$10*'D) Ecrêtage'!M286</f>
        <v>313135.20087649941</v>
      </c>
      <c r="G292" s="152">
        <f t="shared" si="4"/>
        <v>388790.22587649943</v>
      </c>
    </row>
    <row r="293" spans="1:7" x14ac:dyDescent="0.25">
      <c r="A293" s="61">
        <f>'A) Base RI'!A289</f>
        <v>5905</v>
      </c>
      <c r="B293" s="114" t="str">
        <f>'A) Base RI'!B289</f>
        <v>Champvent</v>
      </c>
      <c r="C293" s="52">
        <f>'A) Base RI'!AN289</f>
        <v>617</v>
      </c>
      <c r="D293" s="14">
        <f>'C) Prél. conj.'!H287</f>
        <v>47943.83</v>
      </c>
      <c r="E293" s="19">
        <f>'D) Ecrêtage'!L287</f>
        <v>0</v>
      </c>
      <c r="F293" s="14">
        <f>$F$10*'D) Ecrêtage'!M287</f>
        <v>282867.63450766722</v>
      </c>
      <c r="G293" s="152">
        <f t="shared" si="4"/>
        <v>330811.46450766723</v>
      </c>
    </row>
    <row r="294" spans="1:7" x14ac:dyDescent="0.25">
      <c r="A294" s="61">
        <f>'A) Base RI'!A290</f>
        <v>5907</v>
      </c>
      <c r="B294" s="114" t="str">
        <f>'A) Base RI'!B290</f>
        <v>Chavannes-le-Chêne</v>
      </c>
      <c r="C294" s="52">
        <f>'A) Base RI'!AN290</f>
        <v>278</v>
      </c>
      <c r="D294" s="14">
        <f>'C) Prél. conj.'!H288</f>
        <v>20225.530000000002</v>
      </c>
      <c r="E294" s="19">
        <f>'D) Ecrêtage'!L288</f>
        <v>0</v>
      </c>
      <c r="F294" s="14">
        <f>$F$10*'D) Ecrêtage'!M288</f>
        <v>107922.16426044249</v>
      </c>
      <c r="G294" s="152">
        <f t="shared" si="4"/>
        <v>128147.69426044248</v>
      </c>
    </row>
    <row r="295" spans="1:7" x14ac:dyDescent="0.25">
      <c r="A295" s="61">
        <f>'A) Base RI'!A291</f>
        <v>5908</v>
      </c>
      <c r="B295" s="114" t="str">
        <f>'A) Base RI'!B291</f>
        <v>Chêne-Pâquier</v>
      </c>
      <c r="C295" s="52">
        <f>'A) Base RI'!AN291</f>
        <v>125</v>
      </c>
      <c r="D295" s="14">
        <f>'C) Prél. conj.'!H289</f>
        <v>6952</v>
      </c>
      <c r="E295" s="19">
        <f>'D) Ecrêtage'!L289</f>
        <v>0</v>
      </c>
      <c r="F295" s="14">
        <f>$F$10*'D) Ecrêtage'!M289</f>
        <v>45005.450934555243</v>
      </c>
      <c r="G295" s="152">
        <f t="shared" si="4"/>
        <v>51957.450934555243</v>
      </c>
    </row>
    <row r="296" spans="1:7" x14ac:dyDescent="0.25">
      <c r="A296" s="61">
        <f>'A) Base RI'!A292</f>
        <v>5909</v>
      </c>
      <c r="B296" s="114" t="str">
        <f>'A) Base RI'!B292</f>
        <v>Cheseaux-Noréaz</v>
      </c>
      <c r="C296" s="52">
        <f>'A) Base RI'!AN292</f>
        <v>664</v>
      </c>
      <c r="D296" s="14">
        <f>'C) Prél. conj.'!H290</f>
        <v>54567.69</v>
      </c>
      <c r="E296" s="19">
        <f>'D) Ecrêtage'!L290</f>
        <v>0</v>
      </c>
      <c r="F296" s="14">
        <f>$F$10*'D) Ecrêtage'!M290</f>
        <v>351813.04136600503</v>
      </c>
      <c r="G296" s="152">
        <f t="shared" si="4"/>
        <v>406380.73136600503</v>
      </c>
    </row>
    <row r="297" spans="1:7" x14ac:dyDescent="0.25">
      <c r="A297" s="61">
        <f>'A) Base RI'!A293</f>
        <v>5910</v>
      </c>
      <c r="B297" s="114" t="str">
        <f>'A) Base RI'!B293</f>
        <v>Cronay</v>
      </c>
      <c r="C297" s="52">
        <f>'A) Base RI'!AN293</f>
        <v>364</v>
      </c>
      <c r="D297" s="14">
        <f>'C) Prél. conj.'!H291</f>
        <v>51571.35</v>
      </c>
      <c r="E297" s="19">
        <f>'D) Ecrêtage'!L291</f>
        <v>0</v>
      </c>
      <c r="F297" s="14">
        <f>$F$10*'D) Ecrêtage'!M291</f>
        <v>161605.84716723658</v>
      </c>
      <c r="G297" s="152">
        <f t="shared" si="4"/>
        <v>213177.19716723659</v>
      </c>
    </row>
    <row r="298" spans="1:7" x14ac:dyDescent="0.25">
      <c r="A298" s="61">
        <f>'A) Base RI'!A294</f>
        <v>5911</v>
      </c>
      <c r="B298" s="114" t="str">
        <f>'A) Base RI'!B294</f>
        <v>Cuarny</v>
      </c>
      <c r="C298" s="52">
        <f>'A) Base RI'!AN294</f>
        <v>216</v>
      </c>
      <c r="D298" s="14">
        <f>'C) Prél. conj.'!H292</f>
        <v>345.75</v>
      </c>
      <c r="E298" s="19">
        <f>'D) Ecrêtage'!L292</f>
        <v>0</v>
      </c>
      <c r="F298" s="14">
        <f>$F$10*'D) Ecrêtage'!M292</f>
        <v>105312.19440990532</v>
      </c>
      <c r="G298" s="152">
        <f t="shared" si="4"/>
        <v>105657.94440990532</v>
      </c>
    </row>
    <row r="299" spans="1:7" x14ac:dyDescent="0.25">
      <c r="A299" s="61">
        <f>'A) Base RI'!A295</f>
        <v>5912</v>
      </c>
      <c r="B299" s="114" t="str">
        <f>'A) Base RI'!B295</f>
        <v>Démoret</v>
      </c>
      <c r="C299" s="52">
        <f>'A) Base RI'!AN295</f>
        <v>123</v>
      </c>
      <c r="D299" s="14">
        <f>'C) Prél. conj.'!H293</f>
        <v>50192.4</v>
      </c>
      <c r="E299" s="19">
        <f>'D) Ecrêtage'!L293</f>
        <v>0</v>
      </c>
      <c r="F299" s="14">
        <f>$F$10*'D) Ecrêtage'!M293</f>
        <v>48849.321153174547</v>
      </c>
      <c r="G299" s="152">
        <f t="shared" si="4"/>
        <v>99041.721153174556</v>
      </c>
    </row>
    <row r="300" spans="1:7" x14ac:dyDescent="0.25">
      <c r="A300" s="61">
        <f>'A) Base RI'!A296</f>
        <v>5913</v>
      </c>
      <c r="B300" s="114" t="str">
        <f>'A) Base RI'!B296</f>
        <v>Donneloye</v>
      </c>
      <c r="C300" s="52">
        <f>'A) Base RI'!AN296</f>
        <v>765</v>
      </c>
      <c r="D300" s="14">
        <f>'C) Prél. conj.'!H294</f>
        <v>63666.82</v>
      </c>
      <c r="E300" s="19">
        <f>'D) Ecrêtage'!L294</f>
        <v>0</v>
      </c>
      <c r="F300" s="14">
        <f>$F$10*'D) Ecrêtage'!M294</f>
        <v>358867.23479061027</v>
      </c>
      <c r="G300" s="152">
        <f t="shared" si="4"/>
        <v>422534.05479061027</v>
      </c>
    </row>
    <row r="301" spans="1:7" x14ac:dyDescent="0.25">
      <c r="A301" s="61">
        <f>'A) Base RI'!A297</f>
        <v>5914</v>
      </c>
      <c r="B301" s="114" t="str">
        <f>'A) Base RI'!B297</f>
        <v>Ependes</v>
      </c>
      <c r="C301" s="52">
        <f>'A) Base RI'!AN297</f>
        <v>345</v>
      </c>
      <c r="D301" s="14">
        <f>'C) Prél. conj.'!H295</f>
        <v>8268.2000000000007</v>
      </c>
      <c r="E301" s="19">
        <f>'D) Ecrêtage'!L295</f>
        <v>0</v>
      </c>
      <c r="F301" s="14">
        <f>$F$10*'D) Ecrêtage'!M295</f>
        <v>135843.60625584918</v>
      </c>
      <c r="G301" s="152">
        <f t="shared" si="4"/>
        <v>144111.80625584919</v>
      </c>
    </row>
    <row r="302" spans="1:7" x14ac:dyDescent="0.25">
      <c r="A302" s="61">
        <f>'A) Base RI'!A298</f>
        <v>5919</v>
      </c>
      <c r="B302" s="114" t="str">
        <f>'A) Base RI'!B298</f>
        <v>Mathod</v>
      </c>
      <c r="C302" s="52">
        <f>'A) Base RI'!AN298</f>
        <v>581</v>
      </c>
      <c r="D302" s="14">
        <f>'C) Prél. conj.'!H296</f>
        <v>6185.9249999999993</v>
      </c>
      <c r="E302" s="19">
        <f>'D) Ecrêtage'!L296</f>
        <v>0</v>
      </c>
      <c r="F302" s="14">
        <f>$F$10*'D) Ecrêtage'!M296</f>
        <v>252439.03487134544</v>
      </c>
      <c r="G302" s="152">
        <f t="shared" si="4"/>
        <v>258624.95987134543</v>
      </c>
    </row>
    <row r="303" spans="1:7" x14ac:dyDescent="0.25">
      <c r="A303" s="61">
        <f>'A) Base RI'!A299</f>
        <v>5921</v>
      </c>
      <c r="B303" s="114" t="str">
        <f>'A) Base RI'!B299</f>
        <v>Molondin</v>
      </c>
      <c r="C303" s="52">
        <f>'A) Base RI'!AN299</f>
        <v>224</v>
      </c>
      <c r="D303" s="14">
        <f>'C) Prél. conj.'!H297</f>
        <v>32211.945</v>
      </c>
      <c r="E303" s="19">
        <f>'D) Ecrêtage'!L297</f>
        <v>0</v>
      </c>
      <c r="F303" s="14">
        <f>$F$10*'D) Ecrêtage'!M297</f>
        <v>76568.431277502314</v>
      </c>
      <c r="G303" s="152">
        <f t="shared" si="4"/>
        <v>108780.37627750231</v>
      </c>
    </row>
    <row r="304" spans="1:7" x14ac:dyDescent="0.25">
      <c r="A304" s="61">
        <f>'A) Base RI'!A300</f>
        <v>5922</v>
      </c>
      <c r="B304" s="114" t="str">
        <f>'A) Base RI'!B300</f>
        <v>Montagny-près-Yverdon</v>
      </c>
      <c r="C304" s="52">
        <f>'A) Base RI'!AN300</f>
        <v>713</v>
      </c>
      <c r="D304" s="14">
        <f>'C) Prél. conj.'!H298</f>
        <v>99134.674999999988</v>
      </c>
      <c r="E304" s="19">
        <f>'D) Ecrêtage'!L298</f>
        <v>372749.36848250631</v>
      </c>
      <c r="F304" s="14">
        <f>$F$10*'D) Ecrêtage'!M298</f>
        <v>780915.6789265438</v>
      </c>
      <c r="G304" s="152">
        <f t="shared" si="4"/>
        <v>1252799.7224090502</v>
      </c>
    </row>
    <row r="305" spans="1:7" x14ac:dyDescent="0.25">
      <c r="A305" s="61">
        <f>'A) Base RI'!A301</f>
        <v>5923</v>
      </c>
      <c r="B305" s="114" t="str">
        <f>'A) Base RI'!B301</f>
        <v>Oppens</v>
      </c>
      <c r="C305" s="52">
        <f>'A) Base RI'!AN301</f>
        <v>182</v>
      </c>
      <c r="D305" s="14">
        <f>'C) Prél. conj.'!H299</f>
        <v>27083.314999999999</v>
      </c>
      <c r="E305" s="19">
        <f>'D) Ecrêtage'!L299</f>
        <v>0</v>
      </c>
      <c r="F305" s="14">
        <f>$F$10*'D) Ecrêtage'!M299</f>
        <v>76102.904326700984</v>
      </c>
      <c r="G305" s="152">
        <f t="shared" si="4"/>
        <v>103186.21932670099</v>
      </c>
    </row>
    <row r="306" spans="1:7" x14ac:dyDescent="0.25">
      <c r="A306" s="61">
        <f>'A) Base RI'!A302</f>
        <v>5924</v>
      </c>
      <c r="B306" s="114" t="str">
        <f>'A) Base RI'!B302</f>
        <v>Orges</v>
      </c>
      <c r="C306" s="52">
        <f>'A) Base RI'!AN302</f>
        <v>275</v>
      </c>
      <c r="D306" s="14">
        <f>'C) Prél. conj.'!H300</f>
        <v>44745.48</v>
      </c>
      <c r="E306" s="19">
        <f>'D) Ecrêtage'!L300</f>
        <v>0</v>
      </c>
      <c r="F306" s="14">
        <f>$F$10*'D) Ecrêtage'!M300</f>
        <v>139764.51383812955</v>
      </c>
      <c r="G306" s="152">
        <f t="shared" si="4"/>
        <v>184509.99383812957</v>
      </c>
    </row>
    <row r="307" spans="1:7" x14ac:dyDescent="0.25">
      <c r="A307" s="61">
        <f>'A) Base RI'!A303</f>
        <v>5925</v>
      </c>
      <c r="B307" s="114" t="str">
        <f>'A) Base RI'!B303</f>
        <v>Orzens</v>
      </c>
      <c r="C307" s="52">
        <f>'A) Base RI'!AN303</f>
        <v>211</v>
      </c>
      <c r="D307" s="14">
        <f>'C) Prél. conj.'!H301</f>
        <v>4172.38</v>
      </c>
      <c r="E307" s="19">
        <f>'D) Ecrêtage'!L301</f>
        <v>0</v>
      </c>
      <c r="F307" s="14">
        <f>$F$10*'D) Ecrêtage'!M301</f>
        <v>78456.807159283984</v>
      </c>
      <c r="G307" s="152">
        <f t="shared" si="4"/>
        <v>82629.187159283989</v>
      </c>
    </row>
    <row r="308" spans="1:7" x14ac:dyDescent="0.25">
      <c r="A308" s="61">
        <f>'A) Base RI'!A304</f>
        <v>5926</v>
      </c>
      <c r="B308" s="114" t="str">
        <f>'A) Base RI'!B304</f>
        <v>Pomy</v>
      </c>
      <c r="C308" s="52">
        <f>'A) Base RI'!AN304</f>
        <v>730</v>
      </c>
      <c r="D308" s="14">
        <f>'C) Prél. conj.'!H302</f>
        <v>50689.285000000003</v>
      </c>
      <c r="E308" s="19">
        <f>'D) Ecrêtage'!L302</f>
        <v>0</v>
      </c>
      <c r="F308" s="14">
        <f>$F$10*'D) Ecrêtage'!M302</f>
        <v>326465.92918822973</v>
      </c>
      <c r="G308" s="152">
        <f t="shared" si="4"/>
        <v>377155.21418822976</v>
      </c>
    </row>
    <row r="309" spans="1:7" x14ac:dyDescent="0.25">
      <c r="A309" s="61">
        <f>'A) Base RI'!A305</f>
        <v>5928</v>
      </c>
      <c r="B309" s="114" t="str">
        <f>'A) Base RI'!B305</f>
        <v>Rovray</v>
      </c>
      <c r="C309" s="52">
        <f>'A) Base RI'!AN305</f>
        <v>176</v>
      </c>
      <c r="D309" s="14">
        <f>'C) Prél. conj.'!H303</f>
        <v>13759.05</v>
      </c>
      <c r="E309" s="19">
        <f>'D) Ecrêtage'!L303</f>
        <v>0</v>
      </c>
      <c r="F309" s="14">
        <f>$F$10*'D) Ecrêtage'!M303</f>
        <v>76025.566502948539</v>
      </c>
      <c r="G309" s="152">
        <f t="shared" si="4"/>
        <v>89784.616502948542</v>
      </c>
    </row>
    <row r="310" spans="1:7" x14ac:dyDescent="0.25">
      <c r="A310" s="61">
        <f>'A) Base RI'!A306</f>
        <v>5929</v>
      </c>
      <c r="B310" s="114" t="str">
        <f>'A) Base RI'!B306</f>
        <v>Suchy</v>
      </c>
      <c r="C310" s="52">
        <f>'A) Base RI'!AN306</f>
        <v>542</v>
      </c>
      <c r="D310" s="14">
        <f>'C) Prél. conj.'!H304</f>
        <v>18166.13</v>
      </c>
      <c r="E310" s="19">
        <f>'D) Ecrêtage'!L304</f>
        <v>0</v>
      </c>
      <c r="F310" s="14">
        <f>$F$10*'D) Ecrêtage'!M304</f>
        <v>249694.14544907515</v>
      </c>
      <c r="G310" s="152">
        <f t="shared" si="4"/>
        <v>267860.27544907515</v>
      </c>
    </row>
    <row r="311" spans="1:7" x14ac:dyDescent="0.25">
      <c r="A311" s="61">
        <f>'A) Base RI'!A307</f>
        <v>5930</v>
      </c>
      <c r="B311" s="114" t="str">
        <f>'A) Base RI'!B307</f>
        <v>Suscévaz</v>
      </c>
      <c r="C311" s="52">
        <f>'A) Base RI'!AN307</f>
        <v>199</v>
      </c>
      <c r="D311" s="14">
        <f>'C) Prél. conj.'!H305</f>
        <v>4724.45</v>
      </c>
      <c r="E311" s="19">
        <f>'D) Ecrêtage'!L305</f>
        <v>0</v>
      </c>
      <c r="F311" s="14">
        <f>$F$10*'D) Ecrêtage'!M305</f>
        <v>80852.713382249683</v>
      </c>
      <c r="G311" s="152">
        <f t="shared" si="4"/>
        <v>85577.163382249681</v>
      </c>
    </row>
    <row r="312" spans="1:7" x14ac:dyDescent="0.25">
      <c r="A312" s="61">
        <f>'A) Base RI'!A308</f>
        <v>5931</v>
      </c>
      <c r="B312" s="114" t="str">
        <f>'A) Base RI'!B308</f>
        <v>Treycovagnes</v>
      </c>
      <c r="C312" s="52">
        <f>'A) Base RI'!AN308</f>
        <v>462</v>
      </c>
      <c r="D312" s="14">
        <f>'C) Prél. conj.'!H306</f>
        <v>41576.275000000001</v>
      </c>
      <c r="E312" s="19">
        <f>'D) Ecrêtage'!L306</f>
        <v>0</v>
      </c>
      <c r="F312" s="14">
        <f>$F$10*'D) Ecrêtage'!M306</f>
        <v>216132.75002001395</v>
      </c>
      <c r="G312" s="152">
        <f t="shared" si="4"/>
        <v>257709.02502001394</v>
      </c>
    </row>
    <row r="313" spans="1:7" x14ac:dyDescent="0.25">
      <c r="A313" s="61">
        <f>'A) Base RI'!A309</f>
        <v>5932</v>
      </c>
      <c r="B313" s="114" t="str">
        <f>'A) Base RI'!B309</f>
        <v>Ursins</v>
      </c>
      <c r="C313" s="52">
        <f>'A) Base RI'!AN309</f>
        <v>207</v>
      </c>
      <c r="D313" s="14">
        <f>'C) Prél. conj.'!H307</f>
        <v>280.5</v>
      </c>
      <c r="E313" s="19">
        <f>'D) Ecrêtage'!L307</f>
        <v>0</v>
      </c>
      <c r="F313" s="14">
        <f>$F$10*'D) Ecrêtage'!M307</f>
        <v>84287.084155109813</v>
      </c>
      <c r="G313" s="152">
        <f t="shared" si="4"/>
        <v>84567.584155109813</v>
      </c>
    </row>
    <row r="314" spans="1:7" x14ac:dyDescent="0.25">
      <c r="A314" s="61">
        <f>'A) Base RI'!A310</f>
        <v>5933</v>
      </c>
      <c r="B314" s="114" t="str">
        <f>'A) Base RI'!B310</f>
        <v>Valeyres-sous-Montagny</v>
      </c>
      <c r="C314" s="52">
        <f>'A) Base RI'!AN310</f>
        <v>661</v>
      </c>
      <c r="D314" s="14">
        <f>'C) Prél. conj.'!H308</f>
        <v>52026.545000000006</v>
      </c>
      <c r="E314" s="19">
        <f>'D) Ecrêtage'!L308</f>
        <v>0</v>
      </c>
      <c r="F314" s="14">
        <f>$F$10*'D) Ecrêtage'!M308</f>
        <v>266492.51408067928</v>
      </c>
      <c r="G314" s="152">
        <f t="shared" si="4"/>
        <v>318519.05908067926</v>
      </c>
    </row>
    <row r="315" spans="1:7" x14ac:dyDescent="0.25">
      <c r="A315" s="61">
        <f>'A) Base RI'!A311</f>
        <v>5934</v>
      </c>
      <c r="B315" s="114" t="str">
        <f>'A) Base RI'!B311</f>
        <v>Valeyres-sous-Ursins</v>
      </c>
      <c r="C315" s="52">
        <f>'A) Base RI'!AN311</f>
        <v>245</v>
      </c>
      <c r="D315" s="14">
        <f>'C) Prél. conj.'!H309</f>
        <v>21940.23</v>
      </c>
      <c r="E315" s="19">
        <f>'D) Ecrêtage'!L309</f>
        <v>0</v>
      </c>
      <c r="F315" s="14">
        <f>$F$10*'D) Ecrêtage'!M309</f>
        <v>102499.19991626558</v>
      </c>
      <c r="G315" s="152">
        <f t="shared" si="4"/>
        <v>124439.42991626558</v>
      </c>
    </row>
    <row r="316" spans="1:7" x14ac:dyDescent="0.25">
      <c r="A316" s="61">
        <f>'A) Base RI'!A312</f>
        <v>5935</v>
      </c>
      <c r="B316" s="114" t="str">
        <f>'A) Base RI'!B312</f>
        <v>Villars-Epeney</v>
      </c>
      <c r="C316" s="52">
        <f>'A) Base RI'!AN312</f>
        <v>90</v>
      </c>
      <c r="D316" s="14">
        <f>'C) Prél. conj.'!H310</f>
        <v>770</v>
      </c>
      <c r="E316" s="19">
        <f>'D) Ecrêtage'!L310</f>
        <v>36004.372148587907</v>
      </c>
      <c r="F316" s="14">
        <f>$F$10*'D) Ecrêtage'!M310</f>
        <v>94521.223445695548</v>
      </c>
      <c r="G316" s="152">
        <f t="shared" si="4"/>
        <v>131295.59559428346</v>
      </c>
    </row>
    <row r="317" spans="1:7" x14ac:dyDescent="0.25">
      <c r="A317" s="61">
        <f>'A) Base RI'!A313</f>
        <v>5937</v>
      </c>
      <c r="B317" s="114" t="str">
        <f>'A) Base RI'!B313</f>
        <v>Vugelles-La Mothe</v>
      </c>
      <c r="C317" s="52">
        <f>'A) Base RI'!AN313</f>
        <v>135</v>
      </c>
      <c r="D317" s="14">
        <f>'C) Prél. conj.'!H311</f>
        <v>0</v>
      </c>
      <c r="E317" s="19">
        <f>'D) Ecrêtage'!L311</f>
        <v>0</v>
      </c>
      <c r="F317" s="14">
        <f>$F$10*'D) Ecrêtage'!M311</f>
        <v>33051.244947691215</v>
      </c>
      <c r="G317" s="152">
        <f t="shared" si="4"/>
        <v>33051.244947691215</v>
      </c>
    </row>
    <row r="318" spans="1:7" x14ac:dyDescent="0.25">
      <c r="A318" s="61">
        <f>'A) Base RI'!A314</f>
        <v>5938</v>
      </c>
      <c r="B318" s="114" t="str">
        <f>'A) Base RI'!B314</f>
        <v>Yverdon-les-Bains</v>
      </c>
      <c r="C318" s="52">
        <f>'A) Base RI'!AN314</f>
        <v>29308</v>
      </c>
      <c r="D318" s="14">
        <f>'C) Prél. conj.'!H312</f>
        <v>2922299.5</v>
      </c>
      <c r="E318" s="19">
        <f>'D) Ecrêtage'!L312</f>
        <v>0</v>
      </c>
      <c r="F318" s="14">
        <f>$F$10*'D) Ecrêtage'!M312</f>
        <v>11974641.098414524</v>
      </c>
      <c r="G318" s="152">
        <f t="shared" si="4"/>
        <v>14896940.598414524</v>
      </c>
    </row>
    <row r="319" spans="1:7" x14ac:dyDescent="0.25">
      <c r="A319" s="63">
        <f>'A) Base RI'!A315</f>
        <v>5939</v>
      </c>
      <c r="B319" s="115" t="str">
        <f>'A) Base RI'!B315</f>
        <v>Yvonand</v>
      </c>
      <c r="C319" s="95">
        <f>'A) Base RI'!AN315</f>
        <v>3152</v>
      </c>
      <c r="D319" s="25">
        <f>'C) Prél. conj.'!H313</f>
        <v>278981.17000000004</v>
      </c>
      <c r="E319" s="96">
        <f>'D) Ecrêtage'!L313</f>
        <v>0</v>
      </c>
      <c r="F319" s="25">
        <f>$F$10*'D) Ecrêtage'!M313</f>
        <v>1369592.3763647827</v>
      </c>
      <c r="G319" s="153">
        <f t="shared" si="4"/>
        <v>1648573.5463647828</v>
      </c>
    </row>
    <row r="320" spans="1:7" x14ac:dyDescent="0.25">
      <c r="A320" s="40"/>
      <c r="B320" s="75">
        <f>COUNTA(B11:B319)</f>
        <v>309</v>
      </c>
      <c r="C320" s="25">
        <f>SUM(C11:C319)</f>
        <v>767496</v>
      </c>
      <c r="D320" s="25">
        <f>SUM(D11:D319)</f>
        <v>119451072.64999998</v>
      </c>
      <c r="E320" s="25">
        <f>SUM(E11:E319)</f>
        <v>90267046.246533066</v>
      </c>
      <c r="F320" s="25">
        <f>SUM(F11:F319)</f>
        <v>525354781.10346669</v>
      </c>
      <c r="G320" s="133">
        <f>SUM(G11:G319)</f>
        <v>735072899.99999976</v>
      </c>
    </row>
    <row r="321" spans="1:13" x14ac:dyDescent="0.25">
      <c r="C321" s="98"/>
      <c r="D321" s="98"/>
      <c r="E321" s="98"/>
      <c r="F321" s="98"/>
    </row>
    <row r="322" spans="1:13" x14ac:dyDescent="0.25">
      <c r="A322" s="99"/>
      <c r="B322" s="100"/>
      <c r="C322" s="100"/>
      <c r="D322" s="56"/>
      <c r="E322" s="101"/>
      <c r="F322" s="21"/>
      <c r="G322" s="21"/>
      <c r="H322" s="21"/>
      <c r="I322" s="21"/>
      <c r="J322" s="21"/>
      <c r="M322" s="21"/>
    </row>
    <row r="323" spans="1:13" x14ac:dyDescent="0.25">
      <c r="F323" s="99"/>
      <c r="G323" s="99"/>
      <c r="H323" s="99"/>
      <c r="I323" s="99"/>
      <c r="J323" s="99"/>
      <c r="K323" s="99"/>
      <c r="L323" s="100"/>
      <c r="M323" s="99"/>
    </row>
    <row r="324" spans="1:13" x14ac:dyDescent="0.25">
      <c r="F324" s="100"/>
      <c r="G324" s="99"/>
      <c r="H324" s="99"/>
      <c r="I324" s="99"/>
      <c r="J324" s="99"/>
      <c r="K324" s="99"/>
      <c r="L324" s="99"/>
      <c r="M324" s="99"/>
    </row>
    <row r="325" spans="1:13" x14ac:dyDescent="0.25">
      <c r="F325" s="100"/>
      <c r="G325" s="99"/>
      <c r="H325" s="99"/>
      <c r="I325" s="99"/>
      <c r="M325" s="99"/>
    </row>
    <row r="326" spans="1:13" x14ac:dyDescent="0.25">
      <c r="F326" s="100"/>
      <c r="G326" s="99"/>
      <c r="H326" s="99"/>
      <c r="I326" s="99"/>
      <c r="M326" s="99"/>
    </row>
    <row r="327" spans="1:13" x14ac:dyDescent="0.25">
      <c r="F327" s="112"/>
      <c r="G327" s="99"/>
      <c r="H327" s="99"/>
      <c r="I327" s="99"/>
      <c r="M327" s="99"/>
    </row>
    <row r="328" spans="1:13" x14ac:dyDescent="0.25">
      <c r="D328" s="24"/>
      <c r="E328" s="99"/>
      <c r="F328" s="99"/>
      <c r="G328" s="99"/>
      <c r="H328" s="99"/>
      <c r="I328" s="99"/>
      <c r="J328" s="99"/>
      <c r="K328" s="99"/>
      <c r="L328" s="99"/>
      <c r="M328" s="99"/>
    </row>
    <row r="329" spans="1:13" x14ac:dyDescent="0.25">
      <c r="C329" s="79"/>
      <c r="E329" s="99"/>
      <c r="F329" s="99"/>
      <c r="G329" s="99"/>
      <c r="H329" s="99"/>
      <c r="I329" s="99"/>
      <c r="J329" s="99"/>
      <c r="K329" s="99"/>
      <c r="L329" s="99"/>
      <c r="M329" s="99"/>
    </row>
    <row r="330" spans="1:13" x14ac:dyDescent="0.25">
      <c r="E330" s="99"/>
      <c r="F330" s="99"/>
      <c r="G330" s="99"/>
      <c r="H330" s="99"/>
      <c r="I330" s="99"/>
      <c r="J330" s="99"/>
      <c r="M330" s="99"/>
    </row>
    <row r="331" spans="1:13" x14ac:dyDescent="0.25">
      <c r="E331" s="99"/>
      <c r="F331" s="99"/>
      <c r="G331" s="99"/>
      <c r="H331" s="99"/>
      <c r="I331" s="99"/>
      <c r="J331" s="99"/>
      <c r="M331" s="99"/>
    </row>
    <row r="332" spans="1:13" x14ac:dyDescent="0.25">
      <c r="E332" s="99"/>
      <c r="F332" s="99"/>
      <c r="G332" s="99"/>
      <c r="H332" s="99"/>
      <c r="I332" s="99"/>
      <c r="J332" s="99"/>
      <c r="M332" s="99"/>
    </row>
  </sheetData>
  <sheetProtection password="CBF3" sheet="1" objects="1" scenarios="1"/>
  <mergeCells count="7">
    <mergeCell ref="A3:C3"/>
    <mergeCell ref="A9:A10"/>
    <mergeCell ref="G9:G10"/>
    <mergeCell ref="E9:E10"/>
    <mergeCell ref="D9:D10"/>
    <mergeCell ref="C9:C10"/>
    <mergeCell ref="B9:B10"/>
  </mergeCells>
  <phoneticPr fontId="0" type="noConversion"/>
  <printOptions horizontalCentered="1"/>
  <pageMargins left="0" right="0" top="0" bottom="0" header="0.51181102362204722" footer="0.51181102362204722"/>
  <pageSetup paperSize="9" scale="73"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00B050"/>
  </sheetPr>
  <dimension ref="A1:L328"/>
  <sheetViews>
    <sheetView workbookViewId="0"/>
  </sheetViews>
  <sheetFormatPr baseColWidth="10" defaultColWidth="11" defaultRowHeight="15" x14ac:dyDescent="0.25"/>
  <cols>
    <col min="1" max="1" width="7.25" style="18" customWidth="1"/>
    <col min="2" max="2" width="17.375" style="18" bestFit="1" customWidth="1"/>
    <col min="3" max="3" width="8" style="18" bestFit="1" customWidth="1"/>
    <col min="4" max="9" width="11" style="18"/>
    <col min="10" max="10" width="8.25" style="18" bestFit="1" customWidth="1"/>
    <col min="11" max="11" width="10.75" style="18" bestFit="1" customWidth="1"/>
    <col min="12" max="16384" width="11" style="18"/>
  </cols>
  <sheetData>
    <row r="1" spans="1:12" ht="21" x14ac:dyDescent="0.25">
      <c r="A1" s="65" t="s">
        <v>505</v>
      </c>
      <c r="B1" s="53"/>
      <c r="C1" s="92"/>
    </row>
    <row r="2" spans="1:12" x14ac:dyDescent="0.25">
      <c r="A2" s="37"/>
      <c r="B2" s="68"/>
    </row>
    <row r="3" spans="1:12" x14ac:dyDescent="0.25">
      <c r="A3" s="37"/>
      <c r="B3" s="68"/>
      <c r="C3" s="440" t="s">
        <v>342</v>
      </c>
      <c r="D3" s="441"/>
      <c r="E3" s="441"/>
      <c r="F3" s="441"/>
      <c r="G3" s="441"/>
      <c r="H3" s="441"/>
      <c r="I3" s="441"/>
      <c r="J3" s="442"/>
    </row>
    <row r="4" spans="1:12" x14ac:dyDescent="0.25">
      <c r="C4" s="138" t="s">
        <v>341</v>
      </c>
      <c r="D4" s="134">
        <f>Paramètres!B24</f>
        <v>0</v>
      </c>
      <c r="E4" s="134">
        <f>Paramètres!C24</f>
        <v>1000</v>
      </c>
      <c r="F4" s="134">
        <f>Paramètres!D24</f>
        <v>3000</v>
      </c>
      <c r="G4" s="134">
        <f>Paramètres!E24</f>
        <v>5000</v>
      </c>
      <c r="H4" s="134">
        <f>Paramètres!F24</f>
        <v>9000</v>
      </c>
      <c r="I4" s="134">
        <f>Paramètres!G24</f>
        <v>12000</v>
      </c>
      <c r="J4" s="134">
        <f>Paramètres!H24</f>
        <v>15000</v>
      </c>
    </row>
    <row r="5" spans="1:12" x14ac:dyDescent="0.25">
      <c r="C5" s="139" t="s">
        <v>343</v>
      </c>
      <c r="D5" s="134">
        <f>Paramètres!B25</f>
        <v>1000</v>
      </c>
      <c r="E5" s="134">
        <f>Paramètres!C25</f>
        <v>3000</v>
      </c>
      <c r="F5" s="134">
        <f>Paramètres!D25</f>
        <v>5000</v>
      </c>
      <c r="G5" s="134">
        <f>Paramètres!E25</f>
        <v>9000</v>
      </c>
      <c r="H5" s="134">
        <f>Paramètres!F25</f>
        <v>12000</v>
      </c>
      <c r="I5" s="134">
        <f>Paramètres!G25</f>
        <v>15000</v>
      </c>
      <c r="J5" s="134"/>
    </row>
    <row r="6" spans="1:12" ht="30" customHeight="1" x14ac:dyDescent="0.25">
      <c r="A6" s="424" t="s">
        <v>50</v>
      </c>
      <c r="B6" s="424" t="s">
        <v>119</v>
      </c>
      <c r="C6" s="424" t="s">
        <v>338</v>
      </c>
      <c r="D6" s="430" t="s">
        <v>344</v>
      </c>
      <c r="E6" s="431"/>
      <c r="F6" s="431"/>
      <c r="G6" s="431"/>
      <c r="H6" s="431"/>
      <c r="I6" s="431"/>
      <c r="J6" s="432"/>
      <c r="K6" s="424" t="s">
        <v>329</v>
      </c>
    </row>
    <row r="7" spans="1:12" x14ac:dyDescent="0.25">
      <c r="A7" s="425"/>
      <c r="B7" s="425"/>
      <c r="C7" s="426"/>
      <c r="D7" s="366">
        <f>Paramètres!B29</f>
        <v>98.99396378269617</v>
      </c>
      <c r="E7" s="366">
        <f>Paramètres!C29</f>
        <v>346.47887323943661</v>
      </c>
      <c r="F7" s="366">
        <f>Paramètres!D29</f>
        <v>494.96981891348088</v>
      </c>
      <c r="G7" s="366">
        <f>Paramètres!E29</f>
        <v>593.96378269617708</v>
      </c>
      <c r="H7" s="366">
        <f>Paramètres!F29</f>
        <v>841.44869215291749</v>
      </c>
      <c r="I7" s="366">
        <f>Paramètres!G29</f>
        <v>989.93963782696176</v>
      </c>
      <c r="J7" s="366">
        <f>Paramètres!H29</f>
        <v>1039.4366197183099</v>
      </c>
      <c r="K7" s="425"/>
    </row>
    <row r="8" spans="1:12" x14ac:dyDescent="0.25">
      <c r="A8" s="57">
        <f>'A) Base RI'!A7</f>
        <v>5401</v>
      </c>
      <c r="B8" s="119" t="str">
        <f>'A) Base RI'!B7</f>
        <v>Aigle</v>
      </c>
      <c r="C8" s="52">
        <f>'A) Base RI'!AN7</f>
        <v>9757</v>
      </c>
      <c r="D8" s="14">
        <f>IF($C8&gt;D$4,IF($C8&lt;D$5,$C8-D$4,D$5-D$4),0)</f>
        <v>1000</v>
      </c>
      <c r="E8" s="19">
        <f t="shared" ref="E8:I23" si="0">IF($C8&gt;E$4,IF($C8&lt;E$5,$C8-E$4,E$5-E$4),0)</f>
        <v>2000</v>
      </c>
      <c r="F8" s="14">
        <f t="shared" si="0"/>
        <v>2000</v>
      </c>
      <c r="G8" s="19">
        <f t="shared" si="0"/>
        <v>4000</v>
      </c>
      <c r="H8" s="52">
        <f t="shared" si="0"/>
        <v>757</v>
      </c>
      <c r="I8" s="14">
        <f t="shared" si="0"/>
        <v>0</v>
      </c>
      <c r="J8" s="14">
        <f>IF(C8&gt;$J$4,C8-$J$4,0)</f>
        <v>0</v>
      </c>
      <c r="K8" s="152">
        <f>(D8*D$7)+(E8*E$7)+(F8*F$7)+(G8*G$7)+(H8*H$7)+(I8*I$7)+(J8*J$7)</f>
        <v>4794723.1388329975</v>
      </c>
    </row>
    <row r="9" spans="1:12" x14ac:dyDescent="0.25">
      <c r="A9" s="61">
        <f>'A) Base RI'!A8</f>
        <v>5402</v>
      </c>
      <c r="B9" s="13" t="str">
        <f>'A) Base RI'!B8</f>
        <v>Bex</v>
      </c>
      <c r="C9" s="52">
        <f>'A) Base RI'!AN8</f>
        <v>7236</v>
      </c>
      <c r="D9" s="14">
        <f t="shared" ref="D9:I63" si="1">IF($C9&gt;D$4,IF($C9&lt;D$5,$C9-D$4,D$5-D$4),0)</f>
        <v>1000</v>
      </c>
      <c r="E9" s="19">
        <f t="shared" si="0"/>
        <v>2000</v>
      </c>
      <c r="F9" s="14">
        <f t="shared" si="0"/>
        <v>2000</v>
      </c>
      <c r="G9" s="19">
        <f t="shared" si="0"/>
        <v>2236</v>
      </c>
      <c r="H9" s="52">
        <f t="shared" si="0"/>
        <v>0</v>
      </c>
      <c r="I9" s="14">
        <f t="shared" si="0"/>
        <v>0</v>
      </c>
      <c r="J9" s="14">
        <f t="shared" ref="J9:J72" si="2">IF(C9&gt;$J$4,C9-$J$4,0)</f>
        <v>0</v>
      </c>
      <c r="K9" s="152">
        <f t="shared" ref="K9:K72" si="3">(D9*D$7)+(E9*E$7)+(F9*F$7)+(G9*G$7)+(H9*H$7)+(I9*I$7)+(J9*J$7)</f>
        <v>3109994.3661971833</v>
      </c>
    </row>
    <row r="10" spans="1:12" x14ac:dyDescent="0.25">
      <c r="A10" s="61">
        <f>'A) Base RI'!A9</f>
        <v>5403</v>
      </c>
      <c r="B10" s="13" t="str">
        <f>'A) Base RI'!B9</f>
        <v>Chessel</v>
      </c>
      <c r="C10" s="52">
        <f>'A) Base RI'!AN9</f>
        <v>396</v>
      </c>
      <c r="D10" s="14">
        <f t="shared" si="1"/>
        <v>396</v>
      </c>
      <c r="E10" s="19">
        <f t="shared" si="0"/>
        <v>0</v>
      </c>
      <c r="F10" s="14">
        <f t="shared" si="0"/>
        <v>0</v>
      </c>
      <c r="G10" s="19">
        <f t="shared" si="0"/>
        <v>0</v>
      </c>
      <c r="H10" s="52">
        <f t="shared" si="0"/>
        <v>0</v>
      </c>
      <c r="I10" s="14">
        <f t="shared" si="0"/>
        <v>0</v>
      </c>
      <c r="J10" s="14">
        <f t="shared" si="2"/>
        <v>0</v>
      </c>
      <c r="K10" s="152">
        <f t="shared" si="3"/>
        <v>39201.60965794768</v>
      </c>
    </row>
    <row r="11" spans="1:12" x14ac:dyDescent="0.25">
      <c r="A11" s="61">
        <f>'A) Base RI'!A10</f>
        <v>5404</v>
      </c>
      <c r="B11" s="13" t="str">
        <f>'A) Base RI'!B10</f>
        <v>Corbeyrier</v>
      </c>
      <c r="C11" s="52">
        <f>'A) Base RI'!AN10</f>
        <v>433</v>
      </c>
      <c r="D11" s="14">
        <f t="shared" si="1"/>
        <v>433</v>
      </c>
      <c r="E11" s="19">
        <f t="shared" si="0"/>
        <v>0</v>
      </c>
      <c r="F11" s="14">
        <f t="shared" si="0"/>
        <v>0</v>
      </c>
      <c r="G11" s="19">
        <f t="shared" si="0"/>
        <v>0</v>
      </c>
      <c r="H11" s="52">
        <f t="shared" si="0"/>
        <v>0</v>
      </c>
      <c r="I11" s="14">
        <f t="shared" si="0"/>
        <v>0</v>
      </c>
      <c r="J11" s="14">
        <f t="shared" si="2"/>
        <v>0</v>
      </c>
      <c r="K11" s="152">
        <f t="shared" si="3"/>
        <v>42864.38631790744</v>
      </c>
    </row>
    <row r="12" spans="1:12" x14ac:dyDescent="0.25">
      <c r="A12" s="61">
        <f>'A) Base RI'!A11</f>
        <v>5405</v>
      </c>
      <c r="B12" s="13" t="str">
        <f>'A) Base RI'!B11</f>
        <v>Gryon</v>
      </c>
      <c r="C12" s="52">
        <f>'A) Base RI'!AN11</f>
        <v>1265</v>
      </c>
      <c r="D12" s="14">
        <f t="shared" si="1"/>
        <v>1000</v>
      </c>
      <c r="E12" s="19">
        <f t="shared" si="0"/>
        <v>265</v>
      </c>
      <c r="F12" s="14">
        <f t="shared" si="0"/>
        <v>0</v>
      </c>
      <c r="G12" s="19">
        <f t="shared" si="0"/>
        <v>0</v>
      </c>
      <c r="H12" s="52">
        <f t="shared" si="0"/>
        <v>0</v>
      </c>
      <c r="I12" s="14">
        <f t="shared" si="0"/>
        <v>0</v>
      </c>
      <c r="J12" s="14">
        <f t="shared" si="2"/>
        <v>0</v>
      </c>
      <c r="K12" s="152">
        <f t="shared" si="3"/>
        <v>190810.86519114688</v>
      </c>
    </row>
    <row r="13" spans="1:12" x14ac:dyDescent="0.25">
      <c r="A13" s="61">
        <f>'A) Base RI'!A12</f>
        <v>5406</v>
      </c>
      <c r="B13" s="13" t="str">
        <f>'A) Base RI'!B12</f>
        <v>Lavey-Morcles</v>
      </c>
      <c r="C13" s="52">
        <f>'A) Base RI'!AN12</f>
        <v>907</v>
      </c>
      <c r="D13" s="14">
        <f t="shared" si="1"/>
        <v>907</v>
      </c>
      <c r="E13" s="19">
        <f t="shared" si="0"/>
        <v>0</v>
      </c>
      <c r="F13" s="14">
        <f t="shared" si="0"/>
        <v>0</v>
      </c>
      <c r="G13" s="19">
        <f t="shared" si="0"/>
        <v>0</v>
      </c>
      <c r="H13" s="52">
        <f t="shared" si="0"/>
        <v>0</v>
      </c>
      <c r="I13" s="14">
        <f t="shared" si="0"/>
        <v>0</v>
      </c>
      <c r="J13" s="14">
        <f t="shared" si="2"/>
        <v>0</v>
      </c>
      <c r="K13" s="152">
        <f t="shared" si="3"/>
        <v>89787.525150905421</v>
      </c>
    </row>
    <row r="14" spans="1:12" x14ac:dyDescent="0.25">
      <c r="A14" s="61">
        <f>'A) Base RI'!A13</f>
        <v>5407</v>
      </c>
      <c r="B14" s="13" t="str">
        <f>'A) Base RI'!B13</f>
        <v>Leysin</v>
      </c>
      <c r="C14" s="52">
        <f>'A) Base RI'!AN13</f>
        <v>4148</v>
      </c>
      <c r="D14" s="14">
        <f t="shared" si="1"/>
        <v>1000</v>
      </c>
      <c r="E14" s="19">
        <f t="shared" si="0"/>
        <v>2000</v>
      </c>
      <c r="F14" s="14">
        <f t="shared" si="0"/>
        <v>1148</v>
      </c>
      <c r="G14" s="19">
        <f t="shared" si="0"/>
        <v>0</v>
      </c>
      <c r="H14" s="52">
        <f t="shared" si="0"/>
        <v>0</v>
      </c>
      <c r="I14" s="14">
        <f t="shared" si="0"/>
        <v>0</v>
      </c>
      <c r="J14" s="14">
        <f t="shared" si="2"/>
        <v>0</v>
      </c>
      <c r="K14" s="152">
        <f t="shared" si="3"/>
        <v>1360177.0623742454</v>
      </c>
      <c r="L14" s="17"/>
    </row>
    <row r="15" spans="1:12" x14ac:dyDescent="0.25">
      <c r="A15" s="61">
        <f>'A) Base RI'!A14</f>
        <v>5408</v>
      </c>
      <c r="B15" s="13" t="str">
        <f>'A) Base RI'!B14</f>
        <v>Noville</v>
      </c>
      <c r="C15" s="52">
        <f>'A) Base RI'!AN14</f>
        <v>1029</v>
      </c>
      <c r="D15" s="14">
        <f t="shared" si="1"/>
        <v>1000</v>
      </c>
      <c r="E15" s="19">
        <f t="shared" si="0"/>
        <v>29</v>
      </c>
      <c r="F15" s="14">
        <f t="shared" si="0"/>
        <v>0</v>
      </c>
      <c r="G15" s="19">
        <f t="shared" si="0"/>
        <v>0</v>
      </c>
      <c r="H15" s="52">
        <f t="shared" si="0"/>
        <v>0</v>
      </c>
      <c r="I15" s="14">
        <f t="shared" si="0"/>
        <v>0</v>
      </c>
      <c r="J15" s="14">
        <f t="shared" si="2"/>
        <v>0</v>
      </c>
      <c r="K15" s="152">
        <f t="shared" si="3"/>
        <v>109041.85110663984</v>
      </c>
    </row>
    <row r="16" spans="1:12" x14ac:dyDescent="0.25">
      <c r="A16" s="61">
        <f>'A) Base RI'!A15</f>
        <v>5409</v>
      </c>
      <c r="B16" s="13" t="str">
        <f>'A) Base RI'!B15</f>
        <v>Ollon</v>
      </c>
      <c r="C16" s="52">
        <f>'A) Base RI'!AN15</f>
        <v>7419</v>
      </c>
      <c r="D16" s="14">
        <f t="shared" si="1"/>
        <v>1000</v>
      </c>
      <c r="E16" s="19">
        <f t="shared" si="0"/>
        <v>2000</v>
      </c>
      <c r="F16" s="14">
        <f t="shared" si="0"/>
        <v>2000</v>
      </c>
      <c r="G16" s="19">
        <f t="shared" si="0"/>
        <v>2419</v>
      </c>
      <c r="H16" s="52">
        <f t="shared" si="0"/>
        <v>0</v>
      </c>
      <c r="I16" s="14">
        <f t="shared" si="0"/>
        <v>0</v>
      </c>
      <c r="J16" s="14">
        <f t="shared" si="2"/>
        <v>0</v>
      </c>
      <c r="K16" s="152">
        <f t="shared" si="3"/>
        <v>3218689.7384305838</v>
      </c>
    </row>
    <row r="17" spans="1:11" x14ac:dyDescent="0.25">
      <c r="A17" s="61">
        <f>'A) Base RI'!A16</f>
        <v>5410</v>
      </c>
      <c r="B17" s="13" t="str">
        <f>'A) Base RI'!B16</f>
        <v>Ormont-Dessous</v>
      </c>
      <c r="C17" s="52">
        <f>'A) Base RI'!AN16</f>
        <v>1119</v>
      </c>
      <c r="D17" s="14">
        <f t="shared" si="1"/>
        <v>1000</v>
      </c>
      <c r="E17" s="19">
        <f t="shared" si="0"/>
        <v>119</v>
      </c>
      <c r="F17" s="14">
        <f t="shared" si="0"/>
        <v>0</v>
      </c>
      <c r="G17" s="19">
        <f t="shared" si="0"/>
        <v>0</v>
      </c>
      <c r="H17" s="52">
        <f t="shared" si="0"/>
        <v>0</v>
      </c>
      <c r="I17" s="14">
        <f t="shared" si="0"/>
        <v>0</v>
      </c>
      <c r="J17" s="14">
        <f t="shared" si="2"/>
        <v>0</v>
      </c>
      <c r="K17" s="152">
        <f t="shared" si="3"/>
        <v>140224.94969818913</v>
      </c>
    </row>
    <row r="18" spans="1:11" x14ac:dyDescent="0.25">
      <c r="A18" s="61">
        <f>'A) Base RI'!A17</f>
        <v>5411</v>
      </c>
      <c r="B18" s="13" t="str">
        <f>'A) Base RI'!B17</f>
        <v>Ormont-Dessus</v>
      </c>
      <c r="C18" s="52">
        <f>'A) Base RI'!AN17</f>
        <v>1481</v>
      </c>
      <c r="D18" s="14">
        <f t="shared" si="1"/>
        <v>1000</v>
      </c>
      <c r="E18" s="19">
        <f t="shared" si="0"/>
        <v>481</v>
      </c>
      <c r="F18" s="14">
        <f t="shared" si="0"/>
        <v>0</v>
      </c>
      <c r="G18" s="19">
        <f t="shared" si="0"/>
        <v>0</v>
      </c>
      <c r="H18" s="52">
        <f t="shared" si="0"/>
        <v>0</v>
      </c>
      <c r="I18" s="14">
        <f t="shared" si="0"/>
        <v>0</v>
      </c>
      <c r="J18" s="14">
        <f t="shared" si="2"/>
        <v>0</v>
      </c>
      <c r="K18" s="152">
        <f t="shared" si="3"/>
        <v>265650.30181086517</v>
      </c>
    </row>
    <row r="19" spans="1:11" x14ac:dyDescent="0.25">
      <c r="A19" s="61">
        <f>'A) Base RI'!A18</f>
        <v>5412</v>
      </c>
      <c r="B19" s="13" t="str">
        <f>'A) Base RI'!B18</f>
        <v>Rennaz</v>
      </c>
      <c r="C19" s="52">
        <f>'A) Base RI'!AN18</f>
        <v>843</v>
      </c>
      <c r="D19" s="14">
        <f t="shared" si="1"/>
        <v>843</v>
      </c>
      <c r="E19" s="19">
        <f t="shared" si="0"/>
        <v>0</v>
      </c>
      <c r="F19" s="14">
        <f t="shared" si="0"/>
        <v>0</v>
      </c>
      <c r="G19" s="19">
        <f t="shared" si="0"/>
        <v>0</v>
      </c>
      <c r="H19" s="52">
        <f t="shared" si="0"/>
        <v>0</v>
      </c>
      <c r="I19" s="14">
        <f t="shared" si="0"/>
        <v>0</v>
      </c>
      <c r="J19" s="14">
        <f t="shared" si="2"/>
        <v>0</v>
      </c>
      <c r="K19" s="152">
        <f t="shared" si="3"/>
        <v>83451.911468812876</v>
      </c>
    </row>
    <row r="20" spans="1:11" x14ac:dyDescent="0.25">
      <c r="A20" s="61">
        <f>'A) Base RI'!A19</f>
        <v>5413</v>
      </c>
      <c r="B20" s="13" t="str">
        <f>'A) Base RI'!B19</f>
        <v>Roche</v>
      </c>
      <c r="C20" s="52">
        <f>'A) Base RI'!AN19</f>
        <v>1507</v>
      </c>
      <c r="D20" s="14">
        <f t="shared" si="1"/>
        <v>1000</v>
      </c>
      <c r="E20" s="19">
        <f t="shared" si="0"/>
        <v>507</v>
      </c>
      <c r="F20" s="14">
        <f t="shared" si="0"/>
        <v>0</v>
      </c>
      <c r="G20" s="19">
        <f t="shared" si="0"/>
        <v>0</v>
      </c>
      <c r="H20" s="52">
        <f t="shared" si="0"/>
        <v>0</v>
      </c>
      <c r="I20" s="14">
        <f t="shared" si="0"/>
        <v>0</v>
      </c>
      <c r="J20" s="14">
        <f t="shared" si="2"/>
        <v>0</v>
      </c>
      <c r="K20" s="152">
        <f t="shared" si="3"/>
        <v>274658.75251509051</v>
      </c>
    </row>
    <row r="21" spans="1:11" x14ac:dyDescent="0.25">
      <c r="A21" s="61">
        <f>'A) Base RI'!A20</f>
        <v>5414</v>
      </c>
      <c r="B21" s="13" t="str">
        <f>'A) Base RI'!B20</f>
        <v>Villeneuve</v>
      </c>
      <c r="C21" s="52">
        <f>'A) Base RI'!AN20</f>
        <v>5428</v>
      </c>
      <c r="D21" s="14">
        <f t="shared" si="1"/>
        <v>1000</v>
      </c>
      <c r="E21" s="19">
        <f t="shared" si="0"/>
        <v>2000</v>
      </c>
      <c r="F21" s="14">
        <f t="shared" si="0"/>
        <v>2000</v>
      </c>
      <c r="G21" s="19">
        <f t="shared" si="0"/>
        <v>428</v>
      </c>
      <c r="H21" s="52">
        <f t="shared" si="0"/>
        <v>0</v>
      </c>
      <c r="I21" s="14">
        <f t="shared" si="0"/>
        <v>0</v>
      </c>
      <c r="J21" s="14">
        <f t="shared" si="2"/>
        <v>0</v>
      </c>
      <c r="K21" s="152">
        <f t="shared" si="3"/>
        <v>2036107.847082495</v>
      </c>
    </row>
    <row r="22" spans="1:11" x14ac:dyDescent="0.25">
      <c r="A22" s="61">
        <f>'A) Base RI'!A21</f>
        <v>5415</v>
      </c>
      <c r="B22" s="13" t="str">
        <f>'A) Base RI'!B21</f>
        <v>Yvorne</v>
      </c>
      <c r="C22" s="52">
        <f>'A) Base RI'!AN21</f>
        <v>1032</v>
      </c>
      <c r="D22" s="14">
        <f t="shared" si="1"/>
        <v>1000</v>
      </c>
      <c r="E22" s="19">
        <f t="shared" si="0"/>
        <v>32</v>
      </c>
      <c r="F22" s="14">
        <f t="shared" si="0"/>
        <v>0</v>
      </c>
      <c r="G22" s="19">
        <f t="shared" si="0"/>
        <v>0</v>
      </c>
      <c r="H22" s="52">
        <f t="shared" si="0"/>
        <v>0</v>
      </c>
      <c r="I22" s="14">
        <f t="shared" si="0"/>
        <v>0</v>
      </c>
      <c r="J22" s="14">
        <f t="shared" si="2"/>
        <v>0</v>
      </c>
      <c r="K22" s="152">
        <f t="shared" si="3"/>
        <v>110081.28772635815</v>
      </c>
    </row>
    <row r="23" spans="1:11" x14ac:dyDescent="0.25">
      <c r="A23" s="61">
        <f>'A) Base RI'!A22</f>
        <v>5421</v>
      </c>
      <c r="B23" s="13" t="str">
        <f>'A) Base RI'!B22</f>
        <v>Apples</v>
      </c>
      <c r="C23" s="52">
        <f>'A) Base RI'!AN22</f>
        <v>1363</v>
      </c>
      <c r="D23" s="14">
        <f t="shared" si="1"/>
        <v>1000</v>
      </c>
      <c r="E23" s="19">
        <f t="shared" si="0"/>
        <v>363</v>
      </c>
      <c r="F23" s="14">
        <f t="shared" si="0"/>
        <v>0</v>
      </c>
      <c r="G23" s="19">
        <f t="shared" si="0"/>
        <v>0</v>
      </c>
      <c r="H23" s="52">
        <f t="shared" si="0"/>
        <v>0</v>
      </c>
      <c r="I23" s="14">
        <f t="shared" si="0"/>
        <v>0</v>
      </c>
      <c r="J23" s="14">
        <f t="shared" si="2"/>
        <v>0</v>
      </c>
      <c r="K23" s="152">
        <f t="shared" si="3"/>
        <v>224765.79476861167</v>
      </c>
    </row>
    <row r="24" spans="1:11" x14ac:dyDescent="0.25">
      <c r="A24" s="61">
        <f>'A) Base RI'!A23</f>
        <v>5422</v>
      </c>
      <c r="B24" s="13" t="str">
        <f>'A) Base RI'!B23</f>
        <v>Aubonne</v>
      </c>
      <c r="C24" s="52">
        <f>'A) Base RI'!AN23</f>
        <v>3227</v>
      </c>
      <c r="D24" s="14">
        <f t="shared" si="1"/>
        <v>1000</v>
      </c>
      <c r="E24" s="19">
        <f t="shared" si="1"/>
        <v>2000</v>
      </c>
      <c r="F24" s="14">
        <f t="shared" si="1"/>
        <v>227</v>
      </c>
      <c r="G24" s="19">
        <f t="shared" si="1"/>
        <v>0</v>
      </c>
      <c r="H24" s="52">
        <f t="shared" si="1"/>
        <v>0</v>
      </c>
      <c r="I24" s="14">
        <f t="shared" si="1"/>
        <v>0</v>
      </c>
      <c r="J24" s="14">
        <f t="shared" si="2"/>
        <v>0</v>
      </c>
      <c r="K24" s="152">
        <f t="shared" si="3"/>
        <v>904309.85915492952</v>
      </c>
    </row>
    <row r="25" spans="1:11" x14ac:dyDescent="0.25">
      <c r="A25" s="61">
        <f>'A) Base RI'!A24</f>
        <v>5423</v>
      </c>
      <c r="B25" s="13" t="str">
        <f>'A) Base RI'!B24</f>
        <v>Ballens</v>
      </c>
      <c r="C25" s="52">
        <f>'A) Base RI'!AN24</f>
        <v>509</v>
      </c>
      <c r="D25" s="14">
        <f t="shared" si="1"/>
        <v>509</v>
      </c>
      <c r="E25" s="19">
        <f t="shared" si="1"/>
        <v>0</v>
      </c>
      <c r="F25" s="14">
        <f t="shared" si="1"/>
        <v>0</v>
      </c>
      <c r="G25" s="19">
        <f t="shared" si="1"/>
        <v>0</v>
      </c>
      <c r="H25" s="52">
        <f t="shared" si="1"/>
        <v>0</v>
      </c>
      <c r="I25" s="14">
        <f t="shared" si="1"/>
        <v>0</v>
      </c>
      <c r="J25" s="14">
        <f t="shared" si="2"/>
        <v>0</v>
      </c>
      <c r="K25" s="152">
        <f t="shared" si="3"/>
        <v>50387.927565392354</v>
      </c>
    </row>
    <row r="26" spans="1:11" x14ac:dyDescent="0.25">
      <c r="A26" s="61">
        <f>'A) Base RI'!A25</f>
        <v>5424</v>
      </c>
      <c r="B26" s="13" t="str">
        <f>'A) Base RI'!B25</f>
        <v>Berolle</v>
      </c>
      <c r="C26" s="52">
        <f>'A) Base RI'!AN25</f>
        <v>292</v>
      </c>
      <c r="D26" s="14">
        <f t="shared" si="1"/>
        <v>292</v>
      </c>
      <c r="E26" s="19">
        <f t="shared" si="1"/>
        <v>0</v>
      </c>
      <c r="F26" s="14">
        <f t="shared" si="1"/>
        <v>0</v>
      </c>
      <c r="G26" s="19">
        <f t="shared" si="1"/>
        <v>0</v>
      </c>
      <c r="H26" s="52">
        <f t="shared" si="1"/>
        <v>0</v>
      </c>
      <c r="I26" s="14">
        <f t="shared" si="1"/>
        <v>0</v>
      </c>
      <c r="J26" s="14">
        <f t="shared" si="2"/>
        <v>0</v>
      </c>
      <c r="K26" s="152">
        <f t="shared" si="3"/>
        <v>28906.237424547282</v>
      </c>
    </row>
    <row r="27" spans="1:11" x14ac:dyDescent="0.25">
      <c r="A27" s="61">
        <f>'A) Base RI'!A26</f>
        <v>5425</v>
      </c>
      <c r="B27" s="13" t="str">
        <f>'A) Base RI'!B26</f>
        <v>Bière</v>
      </c>
      <c r="C27" s="52">
        <f>'A) Base RI'!AN26</f>
        <v>1550</v>
      </c>
      <c r="D27" s="14">
        <f t="shared" si="1"/>
        <v>1000</v>
      </c>
      <c r="E27" s="19">
        <f t="shared" si="1"/>
        <v>550</v>
      </c>
      <c r="F27" s="14">
        <f t="shared" si="1"/>
        <v>0</v>
      </c>
      <c r="G27" s="19">
        <f t="shared" si="1"/>
        <v>0</v>
      </c>
      <c r="H27" s="52">
        <f t="shared" si="1"/>
        <v>0</v>
      </c>
      <c r="I27" s="14">
        <f t="shared" si="1"/>
        <v>0</v>
      </c>
      <c r="J27" s="14">
        <f t="shared" si="2"/>
        <v>0</v>
      </c>
      <c r="K27" s="152">
        <f t="shared" si="3"/>
        <v>289557.34406438633</v>
      </c>
    </row>
    <row r="28" spans="1:11" x14ac:dyDescent="0.25">
      <c r="A28" s="61">
        <f>'A) Base RI'!A27</f>
        <v>5426</v>
      </c>
      <c r="B28" s="13" t="str">
        <f>'A) Base RI'!B27</f>
        <v>Bougy-Villars</v>
      </c>
      <c r="C28" s="52">
        <f>'A) Base RI'!AN27</f>
        <v>481</v>
      </c>
      <c r="D28" s="14">
        <f t="shared" si="1"/>
        <v>481</v>
      </c>
      <c r="E28" s="19">
        <f t="shared" si="1"/>
        <v>0</v>
      </c>
      <c r="F28" s="14">
        <f t="shared" si="1"/>
        <v>0</v>
      </c>
      <c r="G28" s="19">
        <f t="shared" si="1"/>
        <v>0</v>
      </c>
      <c r="H28" s="52">
        <f t="shared" si="1"/>
        <v>0</v>
      </c>
      <c r="I28" s="14">
        <f t="shared" si="1"/>
        <v>0</v>
      </c>
      <c r="J28" s="14">
        <f t="shared" si="2"/>
        <v>0</v>
      </c>
      <c r="K28" s="152">
        <f t="shared" si="3"/>
        <v>47616.096579476856</v>
      </c>
    </row>
    <row r="29" spans="1:11" x14ac:dyDescent="0.25">
      <c r="A29" s="61">
        <f>'A) Base RI'!A28</f>
        <v>5427</v>
      </c>
      <c r="B29" s="13" t="str">
        <f>'A) Base RI'!B28</f>
        <v>Féchy</v>
      </c>
      <c r="C29" s="52">
        <f>'A) Base RI'!AN28</f>
        <v>860</v>
      </c>
      <c r="D29" s="14">
        <f t="shared" si="1"/>
        <v>860</v>
      </c>
      <c r="E29" s="19">
        <f t="shared" si="1"/>
        <v>0</v>
      </c>
      <c r="F29" s="14">
        <f t="shared" si="1"/>
        <v>0</v>
      </c>
      <c r="G29" s="19">
        <f t="shared" si="1"/>
        <v>0</v>
      </c>
      <c r="H29" s="52">
        <f t="shared" si="1"/>
        <v>0</v>
      </c>
      <c r="I29" s="14">
        <f t="shared" si="1"/>
        <v>0</v>
      </c>
      <c r="J29" s="14">
        <f t="shared" si="2"/>
        <v>0</v>
      </c>
      <c r="K29" s="152">
        <f t="shared" si="3"/>
        <v>85134.80885311871</v>
      </c>
    </row>
    <row r="30" spans="1:11" x14ac:dyDescent="0.25">
      <c r="A30" s="61">
        <f>'A) Base RI'!A29</f>
        <v>5428</v>
      </c>
      <c r="B30" s="13" t="str">
        <f>'A) Base RI'!B29</f>
        <v>Gimel</v>
      </c>
      <c r="C30" s="52">
        <f>'A) Base RI'!AN29</f>
        <v>1907</v>
      </c>
      <c r="D30" s="14">
        <f t="shared" si="1"/>
        <v>1000</v>
      </c>
      <c r="E30" s="19">
        <f t="shared" si="1"/>
        <v>907</v>
      </c>
      <c r="F30" s="14">
        <f t="shared" si="1"/>
        <v>0</v>
      </c>
      <c r="G30" s="19">
        <f t="shared" si="1"/>
        <v>0</v>
      </c>
      <c r="H30" s="52">
        <f t="shared" si="1"/>
        <v>0</v>
      </c>
      <c r="I30" s="14">
        <f t="shared" si="1"/>
        <v>0</v>
      </c>
      <c r="J30" s="14">
        <f t="shared" si="2"/>
        <v>0</v>
      </c>
      <c r="K30" s="152">
        <f t="shared" si="3"/>
        <v>413250.30181086517</v>
      </c>
    </row>
    <row r="31" spans="1:11" x14ac:dyDescent="0.25">
      <c r="A31" s="61">
        <f>'A) Base RI'!A30</f>
        <v>5429</v>
      </c>
      <c r="B31" s="13" t="str">
        <f>'A) Base RI'!B30</f>
        <v>Longirod</v>
      </c>
      <c r="C31" s="52">
        <f>'A) Base RI'!AN30</f>
        <v>463</v>
      </c>
      <c r="D31" s="14">
        <f t="shared" si="1"/>
        <v>463</v>
      </c>
      <c r="E31" s="19">
        <f t="shared" si="1"/>
        <v>0</v>
      </c>
      <c r="F31" s="14">
        <f t="shared" si="1"/>
        <v>0</v>
      </c>
      <c r="G31" s="19">
        <f t="shared" si="1"/>
        <v>0</v>
      </c>
      <c r="H31" s="52">
        <f t="shared" si="1"/>
        <v>0</v>
      </c>
      <c r="I31" s="14">
        <f t="shared" si="1"/>
        <v>0</v>
      </c>
      <c r="J31" s="14">
        <f t="shared" si="2"/>
        <v>0</v>
      </c>
      <c r="K31" s="152">
        <f t="shared" si="3"/>
        <v>45834.205231388325</v>
      </c>
    </row>
    <row r="32" spans="1:11" x14ac:dyDescent="0.25">
      <c r="A32" s="61">
        <f>'A) Base RI'!A31</f>
        <v>5430</v>
      </c>
      <c r="B32" s="13" t="str">
        <f>'A) Base RI'!B31</f>
        <v>Marchissy</v>
      </c>
      <c r="C32" s="52">
        <f>'A) Base RI'!AN31</f>
        <v>448</v>
      </c>
      <c r="D32" s="14">
        <f t="shared" si="1"/>
        <v>448</v>
      </c>
      <c r="E32" s="19">
        <f t="shared" si="1"/>
        <v>0</v>
      </c>
      <c r="F32" s="14">
        <f t="shared" si="1"/>
        <v>0</v>
      </c>
      <c r="G32" s="19">
        <f t="shared" si="1"/>
        <v>0</v>
      </c>
      <c r="H32" s="52">
        <f t="shared" si="1"/>
        <v>0</v>
      </c>
      <c r="I32" s="14">
        <f t="shared" si="1"/>
        <v>0</v>
      </c>
      <c r="J32" s="14">
        <f t="shared" si="2"/>
        <v>0</v>
      </c>
      <c r="K32" s="152">
        <f t="shared" si="3"/>
        <v>44349.295774647886</v>
      </c>
    </row>
    <row r="33" spans="1:11" x14ac:dyDescent="0.25">
      <c r="A33" s="61">
        <f>'A) Base RI'!A32</f>
        <v>5431</v>
      </c>
      <c r="B33" s="13" t="str">
        <f>'A) Base RI'!B32</f>
        <v>Mollens</v>
      </c>
      <c r="C33" s="52">
        <f>'A) Base RI'!AN32</f>
        <v>294</v>
      </c>
      <c r="D33" s="14">
        <f t="shared" si="1"/>
        <v>294</v>
      </c>
      <c r="E33" s="19">
        <f t="shared" si="1"/>
        <v>0</v>
      </c>
      <c r="F33" s="14">
        <f t="shared" si="1"/>
        <v>0</v>
      </c>
      <c r="G33" s="19">
        <f t="shared" si="1"/>
        <v>0</v>
      </c>
      <c r="H33" s="52">
        <f t="shared" si="1"/>
        <v>0</v>
      </c>
      <c r="I33" s="14">
        <f t="shared" si="1"/>
        <v>0</v>
      </c>
      <c r="J33" s="14">
        <f t="shared" si="2"/>
        <v>0</v>
      </c>
      <c r="K33" s="152">
        <f t="shared" si="3"/>
        <v>29104.225352112673</v>
      </c>
    </row>
    <row r="34" spans="1:11" x14ac:dyDescent="0.25">
      <c r="A34" s="61">
        <f>'A) Base RI'!A33</f>
        <v>5432</v>
      </c>
      <c r="B34" s="13" t="str">
        <f>'A) Base RI'!B33</f>
        <v>Montherod</v>
      </c>
      <c r="C34" s="52">
        <f>'A) Base RI'!AN33</f>
        <v>518</v>
      </c>
      <c r="D34" s="14">
        <f t="shared" si="1"/>
        <v>518</v>
      </c>
      <c r="E34" s="19">
        <f t="shared" si="1"/>
        <v>0</v>
      </c>
      <c r="F34" s="14">
        <f t="shared" si="1"/>
        <v>0</v>
      </c>
      <c r="G34" s="19">
        <f t="shared" si="1"/>
        <v>0</v>
      </c>
      <c r="H34" s="52">
        <f t="shared" si="1"/>
        <v>0</v>
      </c>
      <c r="I34" s="14">
        <f t="shared" si="1"/>
        <v>0</v>
      </c>
      <c r="J34" s="14">
        <f t="shared" si="2"/>
        <v>0</v>
      </c>
      <c r="K34" s="152">
        <f t="shared" si="3"/>
        <v>51278.873239436616</v>
      </c>
    </row>
    <row r="35" spans="1:11" x14ac:dyDescent="0.25">
      <c r="A35" s="61">
        <f>'A) Base RI'!A34</f>
        <v>5434</v>
      </c>
      <c r="B35" s="13" t="str">
        <f>'A) Base RI'!B34</f>
        <v>Saint-George</v>
      </c>
      <c r="C35" s="52">
        <f>'A) Base RI'!AN34</f>
        <v>949</v>
      </c>
      <c r="D35" s="14">
        <f t="shared" si="1"/>
        <v>949</v>
      </c>
      <c r="E35" s="19">
        <f t="shared" si="1"/>
        <v>0</v>
      </c>
      <c r="F35" s="14">
        <f t="shared" si="1"/>
        <v>0</v>
      </c>
      <c r="G35" s="19">
        <f t="shared" si="1"/>
        <v>0</v>
      </c>
      <c r="H35" s="52">
        <f t="shared" si="1"/>
        <v>0</v>
      </c>
      <c r="I35" s="14">
        <f t="shared" si="1"/>
        <v>0</v>
      </c>
      <c r="J35" s="14">
        <f t="shared" si="2"/>
        <v>0</v>
      </c>
      <c r="K35" s="152">
        <f t="shared" si="3"/>
        <v>93945.271629778668</v>
      </c>
    </row>
    <row r="36" spans="1:11" x14ac:dyDescent="0.25">
      <c r="A36" s="61">
        <f>'A) Base RI'!A35</f>
        <v>5435</v>
      </c>
      <c r="B36" s="13" t="str">
        <f>'A) Base RI'!B35</f>
        <v>Saint-Livres</v>
      </c>
      <c r="C36" s="52">
        <f>'A) Base RI'!AN35</f>
        <v>713</v>
      </c>
      <c r="D36" s="14">
        <f t="shared" si="1"/>
        <v>713</v>
      </c>
      <c r="E36" s="19">
        <f t="shared" si="1"/>
        <v>0</v>
      </c>
      <c r="F36" s="14">
        <f t="shared" si="1"/>
        <v>0</v>
      </c>
      <c r="G36" s="19">
        <f t="shared" si="1"/>
        <v>0</v>
      </c>
      <c r="H36" s="52">
        <f t="shared" si="1"/>
        <v>0</v>
      </c>
      <c r="I36" s="14">
        <f t="shared" si="1"/>
        <v>0</v>
      </c>
      <c r="J36" s="14">
        <f t="shared" si="2"/>
        <v>0</v>
      </c>
      <c r="K36" s="152">
        <f t="shared" si="3"/>
        <v>70582.696177062375</v>
      </c>
    </row>
    <row r="37" spans="1:11" x14ac:dyDescent="0.25">
      <c r="A37" s="61">
        <f>'A) Base RI'!A36</f>
        <v>5436</v>
      </c>
      <c r="B37" s="13" t="str">
        <f>'A) Base RI'!B36</f>
        <v>Saint-Oyens</v>
      </c>
      <c r="C37" s="52">
        <f>'A) Base RI'!AN36</f>
        <v>345</v>
      </c>
      <c r="D37" s="14">
        <f t="shared" si="1"/>
        <v>345</v>
      </c>
      <c r="E37" s="19">
        <f t="shared" si="1"/>
        <v>0</v>
      </c>
      <c r="F37" s="14">
        <f t="shared" si="1"/>
        <v>0</v>
      </c>
      <c r="G37" s="19">
        <f t="shared" si="1"/>
        <v>0</v>
      </c>
      <c r="H37" s="52">
        <f t="shared" si="1"/>
        <v>0</v>
      </c>
      <c r="I37" s="14">
        <f t="shared" si="1"/>
        <v>0</v>
      </c>
      <c r="J37" s="14">
        <f t="shared" si="2"/>
        <v>0</v>
      </c>
      <c r="K37" s="152">
        <f t="shared" si="3"/>
        <v>34152.917505030178</v>
      </c>
    </row>
    <row r="38" spans="1:11" x14ac:dyDescent="0.25">
      <c r="A38" s="61">
        <f>'A) Base RI'!A37</f>
        <v>5437</v>
      </c>
      <c r="B38" s="13" t="str">
        <f>'A) Base RI'!B37</f>
        <v>Saubraz</v>
      </c>
      <c r="C38" s="52">
        <f>'A) Base RI'!AN37</f>
        <v>391</v>
      </c>
      <c r="D38" s="14">
        <f t="shared" si="1"/>
        <v>391</v>
      </c>
      <c r="E38" s="19">
        <f t="shared" si="1"/>
        <v>0</v>
      </c>
      <c r="F38" s="14">
        <f t="shared" si="1"/>
        <v>0</v>
      </c>
      <c r="G38" s="19">
        <f t="shared" si="1"/>
        <v>0</v>
      </c>
      <c r="H38" s="52">
        <f t="shared" si="1"/>
        <v>0</v>
      </c>
      <c r="I38" s="14">
        <f t="shared" si="1"/>
        <v>0</v>
      </c>
      <c r="J38" s="14">
        <f t="shared" si="2"/>
        <v>0</v>
      </c>
      <c r="K38" s="152">
        <f t="shared" si="3"/>
        <v>38706.6398390342</v>
      </c>
    </row>
    <row r="39" spans="1:11" x14ac:dyDescent="0.25">
      <c r="A39" s="61">
        <f>'A) Base RI'!A38</f>
        <v>5451</v>
      </c>
      <c r="B39" s="13" t="str">
        <f>'A) Base RI'!B38</f>
        <v>Avenches</v>
      </c>
      <c r="C39" s="52">
        <f>'A) Base RI'!AN38</f>
        <v>4090</v>
      </c>
      <c r="D39" s="14">
        <f t="shared" si="1"/>
        <v>1000</v>
      </c>
      <c r="E39" s="19">
        <f t="shared" si="1"/>
        <v>2000</v>
      </c>
      <c r="F39" s="14">
        <f t="shared" si="1"/>
        <v>1090</v>
      </c>
      <c r="G39" s="19">
        <f t="shared" si="1"/>
        <v>0</v>
      </c>
      <c r="H39" s="52">
        <f t="shared" si="1"/>
        <v>0</v>
      </c>
      <c r="I39" s="14">
        <f t="shared" si="1"/>
        <v>0</v>
      </c>
      <c r="J39" s="14">
        <f t="shared" si="2"/>
        <v>0</v>
      </c>
      <c r="K39" s="152">
        <f t="shared" si="3"/>
        <v>1331468.8128772634</v>
      </c>
    </row>
    <row r="40" spans="1:11" x14ac:dyDescent="0.25">
      <c r="A40" s="61">
        <f>'A) Base RI'!A39</f>
        <v>5456</v>
      </c>
      <c r="B40" s="13" t="str">
        <f>'A) Base RI'!B39</f>
        <v>Cudrefin</v>
      </c>
      <c r="C40" s="52">
        <f>'A) Base RI'!AN39</f>
        <v>1516</v>
      </c>
      <c r="D40" s="14">
        <f t="shared" si="1"/>
        <v>1000</v>
      </c>
      <c r="E40" s="19">
        <f t="shared" si="1"/>
        <v>516</v>
      </c>
      <c r="F40" s="14">
        <f t="shared" si="1"/>
        <v>0</v>
      </c>
      <c r="G40" s="19">
        <f t="shared" si="1"/>
        <v>0</v>
      </c>
      <c r="H40" s="52">
        <f t="shared" si="1"/>
        <v>0</v>
      </c>
      <c r="I40" s="14">
        <f t="shared" si="1"/>
        <v>0</v>
      </c>
      <c r="J40" s="14">
        <f t="shared" si="2"/>
        <v>0</v>
      </c>
      <c r="K40" s="152">
        <f t="shared" si="3"/>
        <v>277777.06237424549</v>
      </c>
    </row>
    <row r="41" spans="1:11" x14ac:dyDescent="0.25">
      <c r="A41" s="61">
        <f>'A) Base RI'!A40</f>
        <v>5458</v>
      </c>
      <c r="B41" s="13" t="str">
        <f>'A) Base RI'!B40</f>
        <v>Faoug</v>
      </c>
      <c r="C41" s="52">
        <f>'A) Base RI'!AN40</f>
        <v>853</v>
      </c>
      <c r="D41" s="14">
        <f t="shared" si="1"/>
        <v>853</v>
      </c>
      <c r="E41" s="19">
        <f t="shared" si="1"/>
        <v>0</v>
      </c>
      <c r="F41" s="14">
        <f t="shared" si="1"/>
        <v>0</v>
      </c>
      <c r="G41" s="19">
        <f t="shared" si="1"/>
        <v>0</v>
      </c>
      <c r="H41" s="52">
        <f t="shared" si="1"/>
        <v>0</v>
      </c>
      <c r="I41" s="14">
        <f t="shared" si="1"/>
        <v>0</v>
      </c>
      <c r="J41" s="14">
        <f t="shared" si="2"/>
        <v>0</v>
      </c>
      <c r="K41" s="152">
        <f t="shared" si="3"/>
        <v>84441.851106639835</v>
      </c>
    </row>
    <row r="42" spans="1:11" x14ac:dyDescent="0.25">
      <c r="A42" s="61">
        <f>'A) Base RI'!A41</f>
        <v>5464</v>
      </c>
      <c r="B42" s="13" t="str">
        <f>'A) Base RI'!B41</f>
        <v>Vully-les-Lacs</v>
      </c>
      <c r="C42" s="52">
        <f>'A) Base RI'!AN41</f>
        <v>2825</v>
      </c>
      <c r="D42" s="14">
        <f t="shared" si="1"/>
        <v>1000</v>
      </c>
      <c r="E42" s="19">
        <f t="shared" si="1"/>
        <v>1825</v>
      </c>
      <c r="F42" s="14">
        <f t="shared" si="1"/>
        <v>0</v>
      </c>
      <c r="G42" s="19">
        <f t="shared" si="1"/>
        <v>0</v>
      </c>
      <c r="H42" s="52">
        <f t="shared" si="1"/>
        <v>0</v>
      </c>
      <c r="I42" s="14">
        <f t="shared" si="1"/>
        <v>0</v>
      </c>
      <c r="J42" s="14">
        <f t="shared" si="2"/>
        <v>0</v>
      </c>
      <c r="K42" s="152">
        <f t="shared" si="3"/>
        <v>731317.907444668</v>
      </c>
    </row>
    <row r="43" spans="1:11" x14ac:dyDescent="0.25">
      <c r="A43" s="61">
        <f>'A) Base RI'!A42</f>
        <v>5471</v>
      </c>
      <c r="B43" s="13" t="str">
        <f>'A) Base RI'!B42</f>
        <v>Bettens</v>
      </c>
      <c r="C43" s="52">
        <f>'A) Base RI'!AN42</f>
        <v>557</v>
      </c>
      <c r="D43" s="14">
        <f t="shared" si="1"/>
        <v>557</v>
      </c>
      <c r="E43" s="19">
        <f t="shared" si="1"/>
        <v>0</v>
      </c>
      <c r="F43" s="14">
        <f t="shared" si="1"/>
        <v>0</v>
      </c>
      <c r="G43" s="19">
        <f t="shared" si="1"/>
        <v>0</v>
      </c>
      <c r="H43" s="52">
        <f t="shared" si="1"/>
        <v>0</v>
      </c>
      <c r="I43" s="14">
        <f t="shared" si="1"/>
        <v>0</v>
      </c>
      <c r="J43" s="14">
        <f t="shared" si="2"/>
        <v>0</v>
      </c>
      <c r="K43" s="152">
        <f t="shared" si="3"/>
        <v>55139.637826961763</v>
      </c>
    </row>
    <row r="44" spans="1:11" x14ac:dyDescent="0.25">
      <c r="A44" s="61">
        <f>'A) Base RI'!A43</f>
        <v>5472</v>
      </c>
      <c r="B44" s="13" t="str">
        <f>'A) Base RI'!B43</f>
        <v>Bournens</v>
      </c>
      <c r="C44" s="52">
        <f>'A) Base RI'!AN43</f>
        <v>373</v>
      </c>
      <c r="D44" s="14">
        <f t="shared" si="1"/>
        <v>373</v>
      </c>
      <c r="E44" s="19">
        <f t="shared" si="1"/>
        <v>0</v>
      </c>
      <c r="F44" s="14">
        <f t="shared" si="1"/>
        <v>0</v>
      </c>
      <c r="G44" s="19">
        <f t="shared" si="1"/>
        <v>0</v>
      </c>
      <c r="H44" s="52">
        <f t="shared" si="1"/>
        <v>0</v>
      </c>
      <c r="I44" s="14">
        <f t="shared" si="1"/>
        <v>0</v>
      </c>
      <c r="J44" s="14">
        <f t="shared" si="2"/>
        <v>0</v>
      </c>
      <c r="K44" s="152">
        <f t="shared" si="3"/>
        <v>36924.748490945669</v>
      </c>
    </row>
    <row r="45" spans="1:11" x14ac:dyDescent="0.25">
      <c r="A45" s="61">
        <f>'A) Base RI'!A44</f>
        <v>5473</v>
      </c>
      <c r="B45" s="13" t="str">
        <f>'A) Base RI'!B44</f>
        <v>Boussens</v>
      </c>
      <c r="C45" s="52">
        <f>'A) Base RI'!AN44</f>
        <v>958</v>
      </c>
      <c r="D45" s="14">
        <f t="shared" si="1"/>
        <v>958</v>
      </c>
      <c r="E45" s="19">
        <f t="shared" si="1"/>
        <v>0</v>
      </c>
      <c r="F45" s="14">
        <f t="shared" si="1"/>
        <v>0</v>
      </c>
      <c r="G45" s="19">
        <f t="shared" si="1"/>
        <v>0</v>
      </c>
      <c r="H45" s="52">
        <f t="shared" si="1"/>
        <v>0</v>
      </c>
      <c r="I45" s="14">
        <f t="shared" si="1"/>
        <v>0</v>
      </c>
      <c r="J45" s="14">
        <f t="shared" si="2"/>
        <v>0</v>
      </c>
      <c r="K45" s="152">
        <f t="shared" si="3"/>
        <v>94836.217303822938</v>
      </c>
    </row>
    <row r="46" spans="1:11" x14ac:dyDescent="0.25">
      <c r="A46" s="61">
        <f>'A) Base RI'!A45</f>
        <v>5474</v>
      </c>
      <c r="B46" s="13" t="str">
        <f>'A) Base RI'!B45</f>
        <v>La Chaux (Cossonay)</v>
      </c>
      <c r="C46" s="52">
        <f>'A) Base RI'!AN45</f>
        <v>421</v>
      </c>
      <c r="D46" s="14">
        <f t="shared" si="1"/>
        <v>421</v>
      </c>
      <c r="E46" s="19">
        <f t="shared" si="1"/>
        <v>0</v>
      </c>
      <c r="F46" s="14">
        <f t="shared" si="1"/>
        <v>0</v>
      </c>
      <c r="G46" s="19">
        <f t="shared" si="1"/>
        <v>0</v>
      </c>
      <c r="H46" s="52">
        <f t="shared" si="1"/>
        <v>0</v>
      </c>
      <c r="I46" s="14">
        <f t="shared" si="1"/>
        <v>0</v>
      </c>
      <c r="J46" s="14">
        <f t="shared" si="2"/>
        <v>0</v>
      </c>
      <c r="K46" s="152">
        <f t="shared" si="3"/>
        <v>41676.458752515086</v>
      </c>
    </row>
    <row r="47" spans="1:11" x14ac:dyDescent="0.25">
      <c r="A47" s="61">
        <f>'A) Base RI'!A46</f>
        <v>5475</v>
      </c>
      <c r="B47" s="13" t="str">
        <f>'A) Base RI'!B46</f>
        <v>Chavannes-le-Veyron</v>
      </c>
      <c r="C47" s="52">
        <f>'A) Base RI'!AN46</f>
        <v>120</v>
      </c>
      <c r="D47" s="14">
        <f t="shared" si="1"/>
        <v>120</v>
      </c>
      <c r="E47" s="19">
        <f t="shared" si="1"/>
        <v>0</v>
      </c>
      <c r="F47" s="14">
        <f t="shared" si="1"/>
        <v>0</v>
      </c>
      <c r="G47" s="19">
        <f t="shared" si="1"/>
        <v>0</v>
      </c>
      <c r="H47" s="52">
        <f t="shared" si="1"/>
        <v>0</v>
      </c>
      <c r="I47" s="14">
        <f t="shared" si="1"/>
        <v>0</v>
      </c>
      <c r="J47" s="14">
        <f t="shared" si="2"/>
        <v>0</v>
      </c>
      <c r="K47" s="152">
        <f t="shared" si="3"/>
        <v>11879.27565392354</v>
      </c>
    </row>
    <row r="48" spans="1:11" x14ac:dyDescent="0.25">
      <c r="A48" s="61">
        <f>'A) Base RI'!A47</f>
        <v>5476</v>
      </c>
      <c r="B48" s="13" t="str">
        <f>'A) Base RI'!B47</f>
        <v>Chevilly</v>
      </c>
      <c r="C48" s="52">
        <f>'A) Base RI'!AN47</f>
        <v>286</v>
      </c>
      <c r="D48" s="14">
        <f t="shared" si="1"/>
        <v>286</v>
      </c>
      <c r="E48" s="19">
        <f t="shared" si="1"/>
        <v>0</v>
      </c>
      <c r="F48" s="14">
        <f t="shared" si="1"/>
        <v>0</v>
      </c>
      <c r="G48" s="19">
        <f t="shared" si="1"/>
        <v>0</v>
      </c>
      <c r="H48" s="52">
        <f t="shared" si="1"/>
        <v>0</v>
      </c>
      <c r="I48" s="14">
        <f t="shared" si="1"/>
        <v>0</v>
      </c>
      <c r="J48" s="14">
        <f t="shared" si="2"/>
        <v>0</v>
      </c>
      <c r="K48" s="152">
        <f t="shared" si="3"/>
        <v>28312.273641851105</v>
      </c>
    </row>
    <row r="49" spans="1:11" x14ac:dyDescent="0.25">
      <c r="A49" s="61">
        <f>'A) Base RI'!A48</f>
        <v>5477</v>
      </c>
      <c r="B49" s="13" t="str">
        <f>'A) Base RI'!B48</f>
        <v>Cossonay</v>
      </c>
      <c r="C49" s="52">
        <f>'A) Base RI'!AN48</f>
        <v>3642</v>
      </c>
      <c r="D49" s="14">
        <f t="shared" si="1"/>
        <v>1000</v>
      </c>
      <c r="E49" s="19">
        <f t="shared" si="1"/>
        <v>2000</v>
      </c>
      <c r="F49" s="14">
        <f t="shared" si="1"/>
        <v>642</v>
      </c>
      <c r="G49" s="19">
        <f t="shared" si="1"/>
        <v>0</v>
      </c>
      <c r="H49" s="52">
        <f t="shared" si="1"/>
        <v>0</v>
      </c>
      <c r="I49" s="14">
        <f t="shared" si="1"/>
        <v>0</v>
      </c>
      <c r="J49" s="14">
        <f t="shared" si="2"/>
        <v>0</v>
      </c>
      <c r="K49" s="152">
        <f t="shared" si="3"/>
        <v>1109722.334004024</v>
      </c>
    </row>
    <row r="50" spans="1:11" x14ac:dyDescent="0.25">
      <c r="A50" s="61">
        <f>'A) Base RI'!A49</f>
        <v>5478</v>
      </c>
      <c r="B50" s="13" t="str">
        <f>'A) Base RI'!B49</f>
        <v>Cottens</v>
      </c>
      <c r="C50" s="52">
        <f>'A) Base RI'!AN49</f>
        <v>473</v>
      </c>
      <c r="D50" s="14">
        <f t="shared" si="1"/>
        <v>473</v>
      </c>
      <c r="E50" s="19">
        <f t="shared" si="1"/>
        <v>0</v>
      </c>
      <c r="F50" s="14">
        <f t="shared" si="1"/>
        <v>0</v>
      </c>
      <c r="G50" s="19">
        <f t="shared" si="1"/>
        <v>0</v>
      </c>
      <c r="H50" s="52">
        <f t="shared" si="1"/>
        <v>0</v>
      </c>
      <c r="I50" s="14">
        <f t="shared" si="1"/>
        <v>0</v>
      </c>
      <c r="J50" s="14">
        <f t="shared" si="2"/>
        <v>0</v>
      </c>
      <c r="K50" s="152">
        <f t="shared" si="3"/>
        <v>46824.144869215292</v>
      </c>
    </row>
    <row r="51" spans="1:11" x14ac:dyDescent="0.25">
      <c r="A51" s="61">
        <f>'A) Base RI'!A50</f>
        <v>5479</v>
      </c>
      <c r="B51" s="13" t="str">
        <f>'A) Base RI'!B50</f>
        <v>Cuarnens</v>
      </c>
      <c r="C51" s="52">
        <f>'A) Base RI'!AN50</f>
        <v>439</v>
      </c>
      <c r="D51" s="14">
        <f t="shared" si="1"/>
        <v>439</v>
      </c>
      <c r="E51" s="19">
        <f t="shared" si="1"/>
        <v>0</v>
      </c>
      <c r="F51" s="14">
        <f t="shared" si="1"/>
        <v>0</v>
      </c>
      <c r="G51" s="19">
        <f t="shared" si="1"/>
        <v>0</v>
      </c>
      <c r="H51" s="52">
        <f t="shared" si="1"/>
        <v>0</v>
      </c>
      <c r="I51" s="14">
        <f t="shared" si="1"/>
        <v>0</v>
      </c>
      <c r="J51" s="14">
        <f t="shared" si="2"/>
        <v>0</v>
      </c>
      <c r="K51" s="152">
        <f t="shared" si="3"/>
        <v>43458.350100603617</v>
      </c>
    </row>
    <row r="52" spans="1:11" x14ac:dyDescent="0.25">
      <c r="A52" s="61">
        <f>'A) Base RI'!A51</f>
        <v>5480</v>
      </c>
      <c r="B52" s="13" t="str">
        <f>'A) Base RI'!B51</f>
        <v>Daillens</v>
      </c>
      <c r="C52" s="52">
        <f>'A) Base RI'!AN51</f>
        <v>940</v>
      </c>
      <c r="D52" s="14">
        <f t="shared" si="1"/>
        <v>940</v>
      </c>
      <c r="E52" s="19">
        <f t="shared" si="1"/>
        <v>0</v>
      </c>
      <c r="F52" s="14">
        <f t="shared" si="1"/>
        <v>0</v>
      </c>
      <c r="G52" s="19">
        <f t="shared" si="1"/>
        <v>0</v>
      </c>
      <c r="H52" s="52">
        <f t="shared" si="1"/>
        <v>0</v>
      </c>
      <c r="I52" s="14">
        <f t="shared" si="1"/>
        <v>0</v>
      </c>
      <c r="J52" s="14">
        <f t="shared" si="2"/>
        <v>0</v>
      </c>
      <c r="K52" s="152">
        <f t="shared" si="3"/>
        <v>93054.325955734399</v>
      </c>
    </row>
    <row r="53" spans="1:11" x14ac:dyDescent="0.25">
      <c r="A53" s="61">
        <f>'A) Base RI'!A52</f>
        <v>5481</v>
      </c>
      <c r="B53" s="13" t="str">
        <f>'A) Base RI'!B52</f>
        <v>Dizy</v>
      </c>
      <c r="C53" s="52">
        <f>'A) Base RI'!AN52</f>
        <v>221</v>
      </c>
      <c r="D53" s="14">
        <f t="shared" si="1"/>
        <v>221</v>
      </c>
      <c r="E53" s="19">
        <f t="shared" si="1"/>
        <v>0</v>
      </c>
      <c r="F53" s="14">
        <f t="shared" si="1"/>
        <v>0</v>
      </c>
      <c r="G53" s="19">
        <f t="shared" si="1"/>
        <v>0</v>
      </c>
      <c r="H53" s="52">
        <f t="shared" si="1"/>
        <v>0</v>
      </c>
      <c r="I53" s="14">
        <f t="shared" si="1"/>
        <v>0</v>
      </c>
      <c r="J53" s="14">
        <f t="shared" si="2"/>
        <v>0</v>
      </c>
      <c r="K53" s="152">
        <f t="shared" si="3"/>
        <v>21877.665995975854</v>
      </c>
    </row>
    <row r="54" spans="1:11" x14ac:dyDescent="0.25">
      <c r="A54" s="61">
        <f>'A) Base RI'!A53</f>
        <v>5482</v>
      </c>
      <c r="B54" s="13" t="str">
        <f>'A) Base RI'!B53</f>
        <v>Eclépens</v>
      </c>
      <c r="C54" s="52">
        <f>'A) Base RI'!AN53</f>
        <v>1039</v>
      </c>
      <c r="D54" s="14">
        <f t="shared" si="1"/>
        <v>1000</v>
      </c>
      <c r="E54" s="19">
        <f t="shared" si="1"/>
        <v>39</v>
      </c>
      <c r="F54" s="14">
        <f t="shared" si="1"/>
        <v>0</v>
      </c>
      <c r="G54" s="19">
        <f t="shared" si="1"/>
        <v>0</v>
      </c>
      <c r="H54" s="52">
        <f t="shared" si="1"/>
        <v>0</v>
      </c>
      <c r="I54" s="14">
        <f t="shared" si="1"/>
        <v>0</v>
      </c>
      <c r="J54" s="14">
        <f t="shared" si="2"/>
        <v>0</v>
      </c>
      <c r="K54" s="152">
        <f t="shared" si="3"/>
        <v>112506.63983903419</v>
      </c>
    </row>
    <row r="55" spans="1:11" x14ac:dyDescent="0.25">
      <c r="A55" s="61">
        <f>'A) Base RI'!A54</f>
        <v>5483</v>
      </c>
      <c r="B55" s="13" t="str">
        <f>'A) Base RI'!B54</f>
        <v>Ferreyres</v>
      </c>
      <c r="C55" s="52">
        <f>'A) Base RI'!AN54</f>
        <v>313</v>
      </c>
      <c r="D55" s="14">
        <f t="shared" si="1"/>
        <v>313</v>
      </c>
      <c r="E55" s="19">
        <f t="shared" si="1"/>
        <v>0</v>
      </c>
      <c r="F55" s="14">
        <f t="shared" si="1"/>
        <v>0</v>
      </c>
      <c r="G55" s="19">
        <f t="shared" si="1"/>
        <v>0</v>
      </c>
      <c r="H55" s="52">
        <f t="shared" si="1"/>
        <v>0</v>
      </c>
      <c r="I55" s="14">
        <f t="shared" si="1"/>
        <v>0</v>
      </c>
      <c r="J55" s="14">
        <f t="shared" si="2"/>
        <v>0</v>
      </c>
      <c r="K55" s="152">
        <f t="shared" si="3"/>
        <v>30985.110663983902</v>
      </c>
    </row>
    <row r="56" spans="1:11" x14ac:dyDescent="0.25">
      <c r="A56" s="61">
        <f>'A) Base RI'!A55</f>
        <v>5484</v>
      </c>
      <c r="B56" s="13" t="str">
        <f>'A) Base RI'!B55</f>
        <v>Gollion</v>
      </c>
      <c r="C56" s="52">
        <f>'A) Base RI'!AN55</f>
        <v>857</v>
      </c>
      <c r="D56" s="14">
        <f t="shared" si="1"/>
        <v>857</v>
      </c>
      <c r="E56" s="19">
        <f t="shared" si="1"/>
        <v>0</v>
      </c>
      <c r="F56" s="14">
        <f t="shared" si="1"/>
        <v>0</v>
      </c>
      <c r="G56" s="19">
        <f t="shared" si="1"/>
        <v>0</v>
      </c>
      <c r="H56" s="52">
        <f t="shared" si="1"/>
        <v>0</v>
      </c>
      <c r="I56" s="14">
        <f t="shared" si="1"/>
        <v>0</v>
      </c>
      <c r="J56" s="14">
        <f t="shared" si="2"/>
        <v>0</v>
      </c>
      <c r="K56" s="152">
        <f t="shared" si="3"/>
        <v>84837.826961770625</v>
      </c>
    </row>
    <row r="57" spans="1:11" x14ac:dyDescent="0.25">
      <c r="A57" s="61">
        <f>'A) Base RI'!A56</f>
        <v>5485</v>
      </c>
      <c r="B57" s="13" t="str">
        <f>'A) Base RI'!B56</f>
        <v>Grancy</v>
      </c>
      <c r="C57" s="52">
        <f>'A) Base RI'!AN56</f>
        <v>396</v>
      </c>
      <c r="D57" s="14">
        <f t="shared" si="1"/>
        <v>396</v>
      </c>
      <c r="E57" s="19">
        <f t="shared" si="1"/>
        <v>0</v>
      </c>
      <c r="F57" s="14">
        <f t="shared" si="1"/>
        <v>0</v>
      </c>
      <c r="G57" s="19">
        <f t="shared" si="1"/>
        <v>0</v>
      </c>
      <c r="H57" s="52">
        <f t="shared" si="1"/>
        <v>0</v>
      </c>
      <c r="I57" s="14">
        <f t="shared" si="1"/>
        <v>0</v>
      </c>
      <c r="J57" s="14">
        <f t="shared" si="2"/>
        <v>0</v>
      </c>
      <c r="K57" s="152">
        <f t="shared" si="3"/>
        <v>39201.60965794768</v>
      </c>
    </row>
    <row r="58" spans="1:11" x14ac:dyDescent="0.25">
      <c r="A58" s="61">
        <f>'A) Base RI'!A57</f>
        <v>5486</v>
      </c>
      <c r="B58" s="13" t="str">
        <f>'A) Base RI'!B57</f>
        <v>L'Isle</v>
      </c>
      <c r="C58" s="52">
        <f>'A) Base RI'!AN57</f>
        <v>1032</v>
      </c>
      <c r="D58" s="14">
        <f t="shared" si="1"/>
        <v>1000</v>
      </c>
      <c r="E58" s="19">
        <f t="shared" si="1"/>
        <v>32</v>
      </c>
      <c r="F58" s="14">
        <f t="shared" si="1"/>
        <v>0</v>
      </c>
      <c r="G58" s="19">
        <f t="shared" si="1"/>
        <v>0</v>
      </c>
      <c r="H58" s="52">
        <f t="shared" si="1"/>
        <v>0</v>
      </c>
      <c r="I58" s="14">
        <f t="shared" si="1"/>
        <v>0</v>
      </c>
      <c r="J58" s="14">
        <f t="shared" si="2"/>
        <v>0</v>
      </c>
      <c r="K58" s="152">
        <f t="shared" si="3"/>
        <v>110081.28772635815</v>
      </c>
    </row>
    <row r="59" spans="1:11" x14ac:dyDescent="0.25">
      <c r="A59" s="61">
        <f>'A) Base RI'!A58</f>
        <v>5487</v>
      </c>
      <c r="B59" s="13" t="str">
        <f>'A) Base RI'!B58</f>
        <v>Lussery-Villars</v>
      </c>
      <c r="C59" s="52">
        <f>'A) Base RI'!AN58</f>
        <v>423</v>
      </c>
      <c r="D59" s="14">
        <f t="shared" si="1"/>
        <v>423</v>
      </c>
      <c r="E59" s="19">
        <f t="shared" si="1"/>
        <v>0</v>
      </c>
      <c r="F59" s="14">
        <f t="shared" si="1"/>
        <v>0</v>
      </c>
      <c r="G59" s="19">
        <f t="shared" si="1"/>
        <v>0</v>
      </c>
      <c r="H59" s="52">
        <f t="shared" si="1"/>
        <v>0</v>
      </c>
      <c r="I59" s="14">
        <f t="shared" si="1"/>
        <v>0</v>
      </c>
      <c r="J59" s="14">
        <f t="shared" si="2"/>
        <v>0</v>
      </c>
      <c r="K59" s="152">
        <f t="shared" si="3"/>
        <v>41874.44668008048</v>
      </c>
    </row>
    <row r="60" spans="1:11" x14ac:dyDescent="0.25">
      <c r="A60" s="61">
        <f>'A) Base RI'!A59</f>
        <v>5488</v>
      </c>
      <c r="B60" s="13" t="str">
        <f>'A) Base RI'!B59</f>
        <v>Mauraz</v>
      </c>
      <c r="C60" s="52">
        <f>'A) Base RI'!AN59</f>
        <v>49</v>
      </c>
      <c r="D60" s="14">
        <f t="shared" si="1"/>
        <v>49</v>
      </c>
      <c r="E60" s="19">
        <f t="shared" si="1"/>
        <v>0</v>
      </c>
      <c r="F60" s="14">
        <f t="shared" si="1"/>
        <v>0</v>
      </c>
      <c r="G60" s="19">
        <f t="shared" si="1"/>
        <v>0</v>
      </c>
      <c r="H60" s="52">
        <f t="shared" si="1"/>
        <v>0</v>
      </c>
      <c r="I60" s="14">
        <f t="shared" si="1"/>
        <v>0</v>
      </c>
      <c r="J60" s="14">
        <f t="shared" si="2"/>
        <v>0</v>
      </c>
      <c r="K60" s="152">
        <f t="shared" si="3"/>
        <v>4850.7042253521122</v>
      </c>
    </row>
    <row r="61" spans="1:11" x14ac:dyDescent="0.25">
      <c r="A61" s="61">
        <f>'A) Base RI'!A60</f>
        <v>5489</v>
      </c>
      <c r="B61" s="13" t="str">
        <f>'A) Base RI'!B60</f>
        <v>Mex</v>
      </c>
      <c r="C61" s="52">
        <f>'A) Base RI'!AN60</f>
        <v>678</v>
      </c>
      <c r="D61" s="14">
        <f t="shared" si="1"/>
        <v>678</v>
      </c>
      <c r="E61" s="19">
        <f t="shared" si="1"/>
        <v>0</v>
      </c>
      <c r="F61" s="14">
        <f t="shared" si="1"/>
        <v>0</v>
      </c>
      <c r="G61" s="19">
        <f t="shared" si="1"/>
        <v>0</v>
      </c>
      <c r="H61" s="52">
        <f t="shared" si="1"/>
        <v>0</v>
      </c>
      <c r="I61" s="14">
        <f t="shared" si="1"/>
        <v>0</v>
      </c>
      <c r="J61" s="14">
        <f t="shared" si="2"/>
        <v>0</v>
      </c>
      <c r="K61" s="152">
        <f t="shared" si="3"/>
        <v>67117.907444668002</v>
      </c>
    </row>
    <row r="62" spans="1:11" x14ac:dyDescent="0.25">
      <c r="A62" s="61">
        <f>'A) Base RI'!A61</f>
        <v>5490</v>
      </c>
      <c r="B62" s="13" t="str">
        <f>'A) Base RI'!B61</f>
        <v>Moiry</v>
      </c>
      <c r="C62" s="52">
        <f>'A) Base RI'!AN61</f>
        <v>290</v>
      </c>
      <c r="D62" s="14">
        <f t="shared" si="1"/>
        <v>290</v>
      </c>
      <c r="E62" s="19">
        <f t="shared" si="1"/>
        <v>0</v>
      </c>
      <c r="F62" s="14">
        <f t="shared" si="1"/>
        <v>0</v>
      </c>
      <c r="G62" s="19">
        <f t="shared" si="1"/>
        <v>0</v>
      </c>
      <c r="H62" s="52">
        <f t="shared" si="1"/>
        <v>0</v>
      </c>
      <c r="I62" s="14">
        <f t="shared" si="1"/>
        <v>0</v>
      </c>
      <c r="J62" s="14">
        <f t="shared" si="2"/>
        <v>0</v>
      </c>
      <c r="K62" s="152">
        <f t="shared" si="3"/>
        <v>28708.249496981891</v>
      </c>
    </row>
    <row r="63" spans="1:11" x14ac:dyDescent="0.25">
      <c r="A63" s="61">
        <f>'A) Base RI'!A62</f>
        <v>5491</v>
      </c>
      <c r="B63" s="13" t="str">
        <f>'A) Base RI'!B62</f>
        <v>Mont-la-Ville</v>
      </c>
      <c r="C63" s="52">
        <f>'A) Base RI'!AN62</f>
        <v>382</v>
      </c>
      <c r="D63" s="14">
        <f t="shared" si="1"/>
        <v>382</v>
      </c>
      <c r="E63" s="19">
        <f t="shared" si="1"/>
        <v>0</v>
      </c>
      <c r="F63" s="14">
        <f t="shared" si="1"/>
        <v>0</v>
      </c>
      <c r="G63" s="19">
        <f t="shared" si="1"/>
        <v>0</v>
      </c>
      <c r="H63" s="52">
        <f t="shared" si="1"/>
        <v>0</v>
      </c>
      <c r="I63" s="14">
        <f t="shared" si="1"/>
        <v>0</v>
      </c>
      <c r="J63" s="14">
        <f t="shared" si="2"/>
        <v>0</v>
      </c>
      <c r="K63" s="152">
        <f t="shared" si="3"/>
        <v>37815.694164989938</v>
      </c>
    </row>
    <row r="64" spans="1:11" x14ac:dyDescent="0.25">
      <c r="A64" s="61">
        <f>'A) Base RI'!A63</f>
        <v>5492</v>
      </c>
      <c r="B64" s="13" t="str">
        <f>'A) Base RI'!B63</f>
        <v>Montricher</v>
      </c>
      <c r="C64" s="52">
        <f>'A) Base RI'!AN63</f>
        <v>961</v>
      </c>
      <c r="D64" s="14">
        <f t="shared" ref="D64:I106" si="4">IF($C64&gt;D$4,IF($C64&lt;D$5,$C64-D$4,D$5-D$4),0)</f>
        <v>961</v>
      </c>
      <c r="E64" s="19">
        <f t="shared" si="4"/>
        <v>0</v>
      </c>
      <c r="F64" s="14">
        <f t="shared" si="4"/>
        <v>0</v>
      </c>
      <c r="G64" s="19">
        <f t="shared" si="4"/>
        <v>0</v>
      </c>
      <c r="H64" s="52">
        <f t="shared" si="4"/>
        <v>0</v>
      </c>
      <c r="I64" s="14">
        <f t="shared" si="4"/>
        <v>0</v>
      </c>
      <c r="J64" s="14">
        <f t="shared" si="2"/>
        <v>0</v>
      </c>
      <c r="K64" s="152">
        <f t="shared" si="3"/>
        <v>95133.199195171022</v>
      </c>
    </row>
    <row r="65" spans="1:11" x14ac:dyDescent="0.25">
      <c r="A65" s="61">
        <f>'A) Base RI'!A64</f>
        <v>5493</v>
      </c>
      <c r="B65" s="13" t="str">
        <f>'A) Base RI'!B64</f>
        <v>Orny</v>
      </c>
      <c r="C65" s="52">
        <f>'A) Base RI'!AN64</f>
        <v>375</v>
      </c>
      <c r="D65" s="14">
        <f t="shared" si="4"/>
        <v>375</v>
      </c>
      <c r="E65" s="19">
        <f t="shared" si="4"/>
        <v>0</v>
      </c>
      <c r="F65" s="14">
        <f t="shared" si="4"/>
        <v>0</v>
      </c>
      <c r="G65" s="19">
        <f t="shared" si="4"/>
        <v>0</v>
      </c>
      <c r="H65" s="52">
        <f t="shared" si="4"/>
        <v>0</v>
      </c>
      <c r="I65" s="14">
        <f t="shared" si="4"/>
        <v>0</v>
      </c>
      <c r="J65" s="14">
        <f t="shared" si="2"/>
        <v>0</v>
      </c>
      <c r="K65" s="152">
        <f t="shared" si="3"/>
        <v>37122.736418511064</v>
      </c>
    </row>
    <row r="66" spans="1:11" x14ac:dyDescent="0.25">
      <c r="A66" s="61">
        <f>'A) Base RI'!A65</f>
        <v>5494</v>
      </c>
      <c r="B66" s="13" t="str">
        <f>'A) Base RI'!B65</f>
        <v>Pampigny</v>
      </c>
      <c r="C66" s="52">
        <f>'A) Base RI'!AN65</f>
        <v>1124</v>
      </c>
      <c r="D66" s="14">
        <f t="shared" si="4"/>
        <v>1000</v>
      </c>
      <c r="E66" s="19">
        <f t="shared" si="4"/>
        <v>124</v>
      </c>
      <c r="F66" s="14">
        <f t="shared" si="4"/>
        <v>0</v>
      </c>
      <c r="G66" s="19">
        <f t="shared" si="4"/>
        <v>0</v>
      </c>
      <c r="H66" s="52">
        <f t="shared" si="4"/>
        <v>0</v>
      </c>
      <c r="I66" s="14">
        <f t="shared" si="4"/>
        <v>0</v>
      </c>
      <c r="J66" s="14">
        <f t="shared" si="2"/>
        <v>0</v>
      </c>
      <c r="K66" s="152">
        <f t="shared" si="3"/>
        <v>141957.3440643863</v>
      </c>
    </row>
    <row r="67" spans="1:11" x14ac:dyDescent="0.25">
      <c r="A67" s="61">
        <f>'A) Base RI'!A66</f>
        <v>5495</v>
      </c>
      <c r="B67" s="13" t="str">
        <f>'A) Base RI'!B66</f>
        <v>Penthalaz</v>
      </c>
      <c r="C67" s="52">
        <f>'A) Base RI'!AN66</f>
        <v>3241</v>
      </c>
      <c r="D67" s="14">
        <f t="shared" si="4"/>
        <v>1000</v>
      </c>
      <c r="E67" s="19">
        <f t="shared" si="4"/>
        <v>2000</v>
      </c>
      <c r="F67" s="14">
        <f t="shared" si="4"/>
        <v>241</v>
      </c>
      <c r="G67" s="19">
        <f t="shared" si="4"/>
        <v>0</v>
      </c>
      <c r="H67" s="52">
        <f t="shared" si="4"/>
        <v>0</v>
      </c>
      <c r="I67" s="14">
        <f t="shared" si="4"/>
        <v>0</v>
      </c>
      <c r="J67" s="14">
        <f t="shared" si="2"/>
        <v>0</v>
      </c>
      <c r="K67" s="152">
        <f t="shared" si="3"/>
        <v>911239.43661971821</v>
      </c>
    </row>
    <row r="68" spans="1:11" x14ac:dyDescent="0.25">
      <c r="A68" s="61">
        <f>'A) Base RI'!A67</f>
        <v>5496</v>
      </c>
      <c r="B68" s="13" t="str">
        <f>'A) Base RI'!B67</f>
        <v>Penthaz</v>
      </c>
      <c r="C68" s="52">
        <f>'A) Base RI'!AN67</f>
        <v>1653</v>
      </c>
      <c r="D68" s="14">
        <f t="shared" si="4"/>
        <v>1000</v>
      </c>
      <c r="E68" s="19">
        <f t="shared" si="4"/>
        <v>653</v>
      </c>
      <c r="F68" s="14">
        <f t="shared" si="4"/>
        <v>0</v>
      </c>
      <c r="G68" s="19">
        <f t="shared" si="4"/>
        <v>0</v>
      </c>
      <c r="H68" s="52">
        <f t="shared" si="4"/>
        <v>0</v>
      </c>
      <c r="I68" s="14">
        <f t="shared" si="4"/>
        <v>0</v>
      </c>
      <c r="J68" s="14">
        <f t="shared" si="2"/>
        <v>0</v>
      </c>
      <c r="K68" s="152">
        <f t="shared" si="3"/>
        <v>325244.66800804826</v>
      </c>
    </row>
    <row r="69" spans="1:11" x14ac:dyDescent="0.25">
      <c r="A69" s="61">
        <f>'A) Base RI'!A68</f>
        <v>5497</v>
      </c>
      <c r="B69" s="13" t="str">
        <f>'A) Base RI'!B68</f>
        <v>Pompaples</v>
      </c>
      <c r="C69" s="52">
        <f>'A) Base RI'!AN68</f>
        <v>834</v>
      </c>
      <c r="D69" s="14">
        <f t="shared" si="4"/>
        <v>834</v>
      </c>
      <c r="E69" s="19">
        <f t="shared" si="4"/>
        <v>0</v>
      </c>
      <c r="F69" s="14">
        <f t="shared" si="4"/>
        <v>0</v>
      </c>
      <c r="G69" s="19">
        <f t="shared" si="4"/>
        <v>0</v>
      </c>
      <c r="H69" s="52">
        <f t="shared" si="4"/>
        <v>0</v>
      </c>
      <c r="I69" s="14">
        <f t="shared" si="4"/>
        <v>0</v>
      </c>
      <c r="J69" s="14">
        <f t="shared" si="2"/>
        <v>0</v>
      </c>
      <c r="K69" s="152">
        <f t="shared" si="3"/>
        <v>82560.965794768606</v>
      </c>
    </row>
    <row r="70" spans="1:11" x14ac:dyDescent="0.25">
      <c r="A70" s="61">
        <f>'A) Base RI'!A69</f>
        <v>5498</v>
      </c>
      <c r="B70" s="13" t="str">
        <f>'A) Base RI'!B69</f>
        <v>La Sarraz</v>
      </c>
      <c r="C70" s="52">
        <f>'A) Base RI'!AN69</f>
        <v>2559</v>
      </c>
      <c r="D70" s="14">
        <f t="shared" si="4"/>
        <v>1000</v>
      </c>
      <c r="E70" s="19">
        <f t="shared" si="4"/>
        <v>1559</v>
      </c>
      <c r="F70" s="14">
        <f t="shared" si="4"/>
        <v>0</v>
      </c>
      <c r="G70" s="19">
        <f t="shared" si="4"/>
        <v>0</v>
      </c>
      <c r="H70" s="52">
        <f t="shared" si="4"/>
        <v>0</v>
      </c>
      <c r="I70" s="14">
        <f t="shared" si="4"/>
        <v>0</v>
      </c>
      <c r="J70" s="14">
        <f t="shared" si="2"/>
        <v>0</v>
      </c>
      <c r="K70" s="152">
        <f t="shared" si="3"/>
        <v>639154.52716297784</v>
      </c>
    </row>
    <row r="71" spans="1:11" x14ac:dyDescent="0.25">
      <c r="A71" s="61">
        <f>'A) Base RI'!A70</f>
        <v>5499</v>
      </c>
      <c r="B71" s="13" t="str">
        <f>'A) Base RI'!B70</f>
        <v>Senarclens</v>
      </c>
      <c r="C71" s="52">
        <f>'A) Base RI'!AN70</f>
        <v>451</v>
      </c>
      <c r="D71" s="14">
        <f t="shared" si="4"/>
        <v>451</v>
      </c>
      <c r="E71" s="19">
        <f t="shared" si="4"/>
        <v>0</v>
      </c>
      <c r="F71" s="14">
        <f t="shared" si="4"/>
        <v>0</v>
      </c>
      <c r="G71" s="19">
        <f t="shared" si="4"/>
        <v>0</v>
      </c>
      <c r="H71" s="52">
        <f t="shared" si="4"/>
        <v>0</v>
      </c>
      <c r="I71" s="14">
        <f t="shared" si="4"/>
        <v>0</v>
      </c>
      <c r="J71" s="14">
        <f t="shared" si="2"/>
        <v>0</v>
      </c>
      <c r="K71" s="152">
        <f t="shared" si="3"/>
        <v>44646.277665995971</v>
      </c>
    </row>
    <row r="72" spans="1:11" x14ac:dyDescent="0.25">
      <c r="A72" s="61">
        <f>'A) Base RI'!A71</f>
        <v>5500</v>
      </c>
      <c r="B72" s="13" t="str">
        <f>'A) Base RI'!B71</f>
        <v>Sévery</v>
      </c>
      <c r="C72" s="52">
        <f>'A) Base RI'!AN71</f>
        <v>231</v>
      </c>
      <c r="D72" s="14">
        <f t="shared" si="4"/>
        <v>231</v>
      </c>
      <c r="E72" s="19">
        <f t="shared" si="4"/>
        <v>0</v>
      </c>
      <c r="F72" s="14">
        <f t="shared" si="4"/>
        <v>0</v>
      </c>
      <c r="G72" s="19">
        <f t="shared" si="4"/>
        <v>0</v>
      </c>
      <c r="H72" s="52">
        <f t="shared" si="4"/>
        <v>0</v>
      </c>
      <c r="I72" s="14">
        <f t="shared" si="4"/>
        <v>0</v>
      </c>
      <c r="J72" s="14">
        <f t="shared" si="2"/>
        <v>0</v>
      </c>
      <c r="K72" s="152">
        <f t="shared" si="3"/>
        <v>22867.605633802814</v>
      </c>
    </row>
    <row r="73" spans="1:11" x14ac:dyDescent="0.25">
      <c r="A73" s="61">
        <f>'A) Base RI'!A72</f>
        <v>5501</v>
      </c>
      <c r="B73" s="13" t="str">
        <f>'A) Base RI'!B72</f>
        <v>Sullens</v>
      </c>
      <c r="C73" s="52">
        <f>'A) Base RI'!AN72</f>
        <v>925</v>
      </c>
      <c r="D73" s="14">
        <f t="shared" si="4"/>
        <v>925</v>
      </c>
      <c r="E73" s="19">
        <f t="shared" si="4"/>
        <v>0</v>
      </c>
      <c r="F73" s="14">
        <f t="shared" si="4"/>
        <v>0</v>
      </c>
      <c r="G73" s="19">
        <f t="shared" si="4"/>
        <v>0</v>
      </c>
      <c r="H73" s="52">
        <f t="shared" si="4"/>
        <v>0</v>
      </c>
      <c r="I73" s="14">
        <f t="shared" si="4"/>
        <v>0</v>
      </c>
      <c r="J73" s="14">
        <f t="shared" ref="J73:J136" si="5">IF(C73&gt;$J$4,C73-$J$4,0)</f>
        <v>0</v>
      </c>
      <c r="K73" s="152">
        <f t="shared" ref="K73:K136" si="6">(D73*D$7)+(E73*E$7)+(F73*F$7)+(G73*G$7)+(H73*H$7)+(I73*I$7)+(J73*J$7)</f>
        <v>91569.41649899396</v>
      </c>
    </row>
    <row r="74" spans="1:11" x14ac:dyDescent="0.25">
      <c r="A74" s="61">
        <f>'A) Base RI'!A73</f>
        <v>5503</v>
      </c>
      <c r="B74" s="13" t="str">
        <f>'A) Base RI'!B73</f>
        <v>Vufflens-la-Ville</v>
      </c>
      <c r="C74" s="52">
        <f>'A) Base RI'!AN73</f>
        <v>1216</v>
      </c>
      <c r="D74" s="14">
        <f t="shared" si="4"/>
        <v>1000</v>
      </c>
      <c r="E74" s="19">
        <f t="shared" si="4"/>
        <v>216</v>
      </c>
      <c r="F74" s="14">
        <f t="shared" si="4"/>
        <v>0</v>
      </c>
      <c r="G74" s="19">
        <f t="shared" si="4"/>
        <v>0</v>
      </c>
      <c r="H74" s="52">
        <f t="shared" si="4"/>
        <v>0</v>
      </c>
      <c r="I74" s="14">
        <f t="shared" si="4"/>
        <v>0</v>
      </c>
      <c r="J74" s="14">
        <f t="shared" si="5"/>
        <v>0</v>
      </c>
      <c r="K74" s="152">
        <f t="shared" si="6"/>
        <v>173833.4004024145</v>
      </c>
    </row>
    <row r="75" spans="1:11" x14ac:dyDescent="0.25">
      <c r="A75" s="61">
        <f>'A) Base RI'!A74</f>
        <v>5511</v>
      </c>
      <c r="B75" s="13" t="str">
        <f>'A) Base RI'!B74</f>
        <v>Assens</v>
      </c>
      <c r="C75" s="52">
        <f>'A) Base RI'!AN74</f>
        <v>1031</v>
      </c>
      <c r="D75" s="14">
        <f t="shared" si="4"/>
        <v>1000</v>
      </c>
      <c r="E75" s="19">
        <f t="shared" si="4"/>
        <v>31</v>
      </c>
      <c r="F75" s="14">
        <f t="shared" si="4"/>
        <v>0</v>
      </c>
      <c r="G75" s="19">
        <f t="shared" si="4"/>
        <v>0</v>
      </c>
      <c r="H75" s="52">
        <f t="shared" si="4"/>
        <v>0</v>
      </c>
      <c r="I75" s="14">
        <f t="shared" si="4"/>
        <v>0</v>
      </c>
      <c r="J75" s="14">
        <f t="shared" si="5"/>
        <v>0</v>
      </c>
      <c r="K75" s="152">
        <f t="shared" si="6"/>
        <v>109734.80885311871</v>
      </c>
    </row>
    <row r="76" spans="1:11" x14ac:dyDescent="0.25">
      <c r="A76" s="61">
        <f>'A) Base RI'!A75</f>
        <v>5512</v>
      </c>
      <c r="B76" s="13" t="str">
        <f>'A) Base RI'!B75</f>
        <v>Bercher</v>
      </c>
      <c r="C76" s="52">
        <f>'A) Base RI'!AN75</f>
        <v>1148</v>
      </c>
      <c r="D76" s="14">
        <f t="shared" si="4"/>
        <v>1000</v>
      </c>
      <c r="E76" s="19">
        <f t="shared" si="4"/>
        <v>148</v>
      </c>
      <c r="F76" s="14">
        <f t="shared" si="4"/>
        <v>0</v>
      </c>
      <c r="G76" s="19">
        <f t="shared" si="4"/>
        <v>0</v>
      </c>
      <c r="H76" s="52">
        <f t="shared" si="4"/>
        <v>0</v>
      </c>
      <c r="I76" s="14">
        <f t="shared" si="4"/>
        <v>0</v>
      </c>
      <c r="J76" s="14">
        <f t="shared" si="5"/>
        <v>0</v>
      </c>
      <c r="K76" s="152">
        <f t="shared" si="6"/>
        <v>150272.83702213279</v>
      </c>
    </row>
    <row r="77" spans="1:11" x14ac:dyDescent="0.25">
      <c r="A77" s="61">
        <f>'A) Base RI'!A76</f>
        <v>5513</v>
      </c>
      <c r="B77" s="13" t="str">
        <f>'A) Base RI'!B76</f>
        <v>Bioley-Orjulaz</v>
      </c>
      <c r="C77" s="52">
        <f>'A) Base RI'!AN76</f>
        <v>471</v>
      </c>
      <c r="D77" s="14">
        <f t="shared" si="4"/>
        <v>471</v>
      </c>
      <c r="E77" s="19">
        <f t="shared" si="4"/>
        <v>0</v>
      </c>
      <c r="F77" s="14">
        <f t="shared" si="4"/>
        <v>0</v>
      </c>
      <c r="G77" s="19">
        <f t="shared" si="4"/>
        <v>0</v>
      </c>
      <c r="H77" s="52">
        <f t="shared" si="4"/>
        <v>0</v>
      </c>
      <c r="I77" s="14">
        <f t="shared" si="4"/>
        <v>0</v>
      </c>
      <c r="J77" s="14">
        <f t="shared" si="5"/>
        <v>0</v>
      </c>
      <c r="K77" s="152">
        <f t="shared" si="6"/>
        <v>46626.156941649897</v>
      </c>
    </row>
    <row r="78" spans="1:11" x14ac:dyDescent="0.25">
      <c r="A78" s="61">
        <f>'A) Base RI'!A77</f>
        <v>5514</v>
      </c>
      <c r="B78" s="13" t="str">
        <f>'A) Base RI'!B77</f>
        <v>Bottens</v>
      </c>
      <c r="C78" s="52">
        <f>'A) Base RI'!AN77</f>
        <v>1220</v>
      </c>
      <c r="D78" s="14">
        <f t="shared" si="4"/>
        <v>1000</v>
      </c>
      <c r="E78" s="19">
        <f t="shared" si="4"/>
        <v>220</v>
      </c>
      <c r="F78" s="14">
        <f t="shared" si="4"/>
        <v>0</v>
      </c>
      <c r="G78" s="19">
        <f t="shared" si="4"/>
        <v>0</v>
      </c>
      <c r="H78" s="52">
        <f t="shared" si="4"/>
        <v>0</v>
      </c>
      <c r="I78" s="14">
        <f t="shared" si="4"/>
        <v>0</v>
      </c>
      <c r="J78" s="14">
        <f t="shared" si="5"/>
        <v>0</v>
      </c>
      <c r="K78" s="152">
        <f t="shared" si="6"/>
        <v>175219.31589537224</v>
      </c>
    </row>
    <row r="79" spans="1:11" x14ac:dyDescent="0.25">
      <c r="A79" s="61">
        <f>'A) Base RI'!A78</f>
        <v>5515</v>
      </c>
      <c r="B79" s="13" t="str">
        <f>'A) Base RI'!B78</f>
        <v>Bretigny-sur-Morrens</v>
      </c>
      <c r="C79" s="52">
        <f>'A) Base RI'!AN78</f>
        <v>797</v>
      </c>
      <c r="D79" s="14">
        <f t="shared" si="4"/>
        <v>797</v>
      </c>
      <c r="E79" s="19">
        <f t="shared" si="4"/>
        <v>0</v>
      </c>
      <c r="F79" s="14">
        <f t="shared" si="4"/>
        <v>0</v>
      </c>
      <c r="G79" s="19">
        <f t="shared" si="4"/>
        <v>0</v>
      </c>
      <c r="H79" s="52">
        <f t="shared" si="4"/>
        <v>0</v>
      </c>
      <c r="I79" s="14">
        <f t="shared" si="4"/>
        <v>0</v>
      </c>
      <c r="J79" s="14">
        <f t="shared" si="5"/>
        <v>0</v>
      </c>
      <c r="K79" s="152">
        <f t="shared" si="6"/>
        <v>78898.189134808854</v>
      </c>
    </row>
    <row r="80" spans="1:11" x14ac:dyDescent="0.25">
      <c r="A80" s="61">
        <f>'A) Base RI'!A79</f>
        <v>5516</v>
      </c>
      <c r="B80" s="13" t="str">
        <f>'A) Base RI'!B79</f>
        <v>Cugy</v>
      </c>
      <c r="C80" s="52">
        <f>'A) Base RI'!AN79</f>
        <v>2755</v>
      </c>
      <c r="D80" s="14">
        <f t="shared" si="4"/>
        <v>1000</v>
      </c>
      <c r="E80" s="19">
        <f t="shared" si="4"/>
        <v>1755</v>
      </c>
      <c r="F80" s="14">
        <f t="shared" si="4"/>
        <v>0</v>
      </c>
      <c r="G80" s="19">
        <f t="shared" si="4"/>
        <v>0</v>
      </c>
      <c r="H80" s="52">
        <f t="shared" si="4"/>
        <v>0</v>
      </c>
      <c r="I80" s="14">
        <f t="shared" si="4"/>
        <v>0</v>
      </c>
      <c r="J80" s="14">
        <f t="shared" si="5"/>
        <v>0</v>
      </c>
      <c r="K80" s="152">
        <f t="shared" si="6"/>
        <v>707064.38631790737</v>
      </c>
    </row>
    <row r="81" spans="1:11" x14ac:dyDescent="0.25">
      <c r="A81" s="61">
        <f>'A) Base RI'!A80</f>
        <v>5518</v>
      </c>
      <c r="B81" s="13" t="str">
        <f>'A) Base RI'!B80</f>
        <v>Echallens</v>
      </c>
      <c r="C81" s="52">
        <f>'A) Base RI'!AN80</f>
        <v>5606</v>
      </c>
      <c r="D81" s="14">
        <f t="shared" si="4"/>
        <v>1000</v>
      </c>
      <c r="E81" s="19">
        <f t="shared" si="4"/>
        <v>2000</v>
      </c>
      <c r="F81" s="14">
        <f t="shared" si="4"/>
        <v>2000</v>
      </c>
      <c r="G81" s="19">
        <f t="shared" si="4"/>
        <v>606</v>
      </c>
      <c r="H81" s="52">
        <f t="shared" si="4"/>
        <v>0</v>
      </c>
      <c r="I81" s="14">
        <f t="shared" si="4"/>
        <v>0</v>
      </c>
      <c r="J81" s="14">
        <f t="shared" si="5"/>
        <v>0</v>
      </c>
      <c r="K81" s="152">
        <f t="shared" si="6"/>
        <v>2141833.4004024146</v>
      </c>
    </row>
    <row r="82" spans="1:11" x14ac:dyDescent="0.25">
      <c r="A82" s="61">
        <f>'A) Base RI'!A81</f>
        <v>5520</v>
      </c>
      <c r="B82" s="13" t="str">
        <f>'A) Base RI'!B81</f>
        <v>Essertines-sur-Yverdon</v>
      </c>
      <c r="C82" s="52">
        <f>'A) Base RI'!AN81</f>
        <v>945</v>
      </c>
      <c r="D82" s="14">
        <f t="shared" si="4"/>
        <v>945</v>
      </c>
      <c r="E82" s="19">
        <f t="shared" si="4"/>
        <v>0</v>
      </c>
      <c r="F82" s="14">
        <f t="shared" si="4"/>
        <v>0</v>
      </c>
      <c r="G82" s="19">
        <f t="shared" si="4"/>
        <v>0</v>
      </c>
      <c r="H82" s="52">
        <f t="shared" si="4"/>
        <v>0</v>
      </c>
      <c r="I82" s="14">
        <f t="shared" si="4"/>
        <v>0</v>
      </c>
      <c r="J82" s="14">
        <f t="shared" si="5"/>
        <v>0</v>
      </c>
      <c r="K82" s="152">
        <f t="shared" si="6"/>
        <v>93549.295774647879</v>
      </c>
    </row>
    <row r="83" spans="1:11" x14ac:dyDescent="0.25">
      <c r="A83" s="61">
        <f>'A) Base RI'!A82</f>
        <v>5521</v>
      </c>
      <c r="B83" s="13" t="str">
        <f>'A) Base RI'!B82</f>
        <v>Etagnières</v>
      </c>
      <c r="C83" s="52">
        <f>'A) Base RI'!AN82</f>
        <v>1146</v>
      </c>
      <c r="D83" s="14">
        <f t="shared" si="4"/>
        <v>1000</v>
      </c>
      <c r="E83" s="19">
        <f t="shared" si="4"/>
        <v>146</v>
      </c>
      <c r="F83" s="14">
        <f t="shared" si="4"/>
        <v>0</v>
      </c>
      <c r="G83" s="19">
        <f t="shared" si="4"/>
        <v>0</v>
      </c>
      <c r="H83" s="52">
        <f t="shared" si="4"/>
        <v>0</v>
      </c>
      <c r="I83" s="14">
        <f t="shared" si="4"/>
        <v>0</v>
      </c>
      <c r="J83" s="14">
        <f t="shared" si="5"/>
        <v>0</v>
      </c>
      <c r="K83" s="152">
        <f t="shared" si="6"/>
        <v>149579.87927565392</v>
      </c>
    </row>
    <row r="84" spans="1:11" x14ac:dyDescent="0.25">
      <c r="A84" s="61">
        <f>'A) Base RI'!A83</f>
        <v>5522</v>
      </c>
      <c r="B84" s="13" t="str">
        <f>'A) Base RI'!B83</f>
        <v>Fey</v>
      </c>
      <c r="C84" s="52">
        <f>'A) Base RI'!AN83</f>
        <v>635</v>
      </c>
      <c r="D84" s="14">
        <f t="shared" si="4"/>
        <v>635</v>
      </c>
      <c r="E84" s="19">
        <f t="shared" si="4"/>
        <v>0</v>
      </c>
      <c r="F84" s="14">
        <f t="shared" si="4"/>
        <v>0</v>
      </c>
      <c r="G84" s="19">
        <f t="shared" si="4"/>
        <v>0</v>
      </c>
      <c r="H84" s="52">
        <f t="shared" si="4"/>
        <v>0</v>
      </c>
      <c r="I84" s="14">
        <f t="shared" si="4"/>
        <v>0</v>
      </c>
      <c r="J84" s="14">
        <f t="shared" si="5"/>
        <v>0</v>
      </c>
      <c r="K84" s="152">
        <f t="shared" si="6"/>
        <v>62861.167002012065</v>
      </c>
    </row>
    <row r="85" spans="1:11" x14ac:dyDescent="0.25">
      <c r="A85" s="61">
        <f>'A) Base RI'!A84</f>
        <v>5523</v>
      </c>
      <c r="B85" s="13" t="str">
        <f>'A) Base RI'!B84</f>
        <v>Froideville</v>
      </c>
      <c r="C85" s="52">
        <f>'A) Base RI'!AN84</f>
        <v>2422</v>
      </c>
      <c r="D85" s="14">
        <f t="shared" si="4"/>
        <v>1000</v>
      </c>
      <c r="E85" s="19">
        <f t="shared" si="4"/>
        <v>1422</v>
      </c>
      <c r="F85" s="14">
        <f t="shared" si="4"/>
        <v>0</v>
      </c>
      <c r="G85" s="19">
        <f t="shared" si="4"/>
        <v>0</v>
      </c>
      <c r="H85" s="52">
        <f t="shared" si="4"/>
        <v>0</v>
      </c>
      <c r="I85" s="14">
        <f t="shared" si="4"/>
        <v>0</v>
      </c>
      <c r="J85" s="14">
        <f t="shared" si="5"/>
        <v>0</v>
      </c>
      <c r="K85" s="152">
        <f t="shared" si="6"/>
        <v>591686.92152917502</v>
      </c>
    </row>
    <row r="86" spans="1:11" x14ac:dyDescent="0.25">
      <c r="A86" s="61">
        <f>'A) Base RI'!A85</f>
        <v>5527</v>
      </c>
      <c r="B86" s="13" t="str">
        <f>'A) Base RI'!B85</f>
        <v>Morrens</v>
      </c>
      <c r="C86" s="52">
        <f>'A) Base RI'!AN85</f>
        <v>1055</v>
      </c>
      <c r="D86" s="14">
        <f t="shared" si="4"/>
        <v>1000</v>
      </c>
      <c r="E86" s="19">
        <f t="shared" si="4"/>
        <v>55</v>
      </c>
      <c r="F86" s="14">
        <f t="shared" si="4"/>
        <v>0</v>
      </c>
      <c r="G86" s="19">
        <f t="shared" si="4"/>
        <v>0</v>
      </c>
      <c r="H86" s="52">
        <f t="shared" si="4"/>
        <v>0</v>
      </c>
      <c r="I86" s="14">
        <f t="shared" si="4"/>
        <v>0</v>
      </c>
      <c r="J86" s="14">
        <f t="shared" si="5"/>
        <v>0</v>
      </c>
      <c r="K86" s="152">
        <f t="shared" si="6"/>
        <v>118050.30181086519</v>
      </c>
    </row>
    <row r="87" spans="1:11" x14ac:dyDescent="0.25">
      <c r="A87" s="61">
        <f>'A) Base RI'!A86</f>
        <v>5529</v>
      </c>
      <c r="B87" s="13" t="str">
        <f>'A) Base RI'!B86</f>
        <v>Oulens-sous-Echallens</v>
      </c>
      <c r="C87" s="52">
        <f>'A) Base RI'!AN86</f>
        <v>532</v>
      </c>
      <c r="D87" s="14">
        <f t="shared" si="4"/>
        <v>532</v>
      </c>
      <c r="E87" s="19">
        <f t="shared" si="4"/>
        <v>0</v>
      </c>
      <c r="F87" s="14">
        <f t="shared" si="4"/>
        <v>0</v>
      </c>
      <c r="G87" s="19">
        <f t="shared" si="4"/>
        <v>0</v>
      </c>
      <c r="H87" s="52">
        <f t="shared" si="4"/>
        <v>0</v>
      </c>
      <c r="I87" s="14">
        <f t="shared" si="4"/>
        <v>0</v>
      </c>
      <c r="J87" s="14">
        <f t="shared" si="5"/>
        <v>0</v>
      </c>
      <c r="K87" s="152">
        <f t="shared" si="6"/>
        <v>52664.788732394365</v>
      </c>
    </row>
    <row r="88" spans="1:11" x14ac:dyDescent="0.25">
      <c r="A88" s="61">
        <f>'A) Base RI'!A87</f>
        <v>5530</v>
      </c>
      <c r="B88" s="13" t="str">
        <f>'A) Base RI'!B87</f>
        <v>Pailly</v>
      </c>
      <c r="C88" s="52">
        <f>'A) Base RI'!AN87</f>
        <v>533</v>
      </c>
      <c r="D88" s="14">
        <f t="shared" si="4"/>
        <v>533</v>
      </c>
      <c r="E88" s="19">
        <f t="shared" si="4"/>
        <v>0</v>
      </c>
      <c r="F88" s="14">
        <f t="shared" si="4"/>
        <v>0</v>
      </c>
      <c r="G88" s="19">
        <f t="shared" si="4"/>
        <v>0</v>
      </c>
      <c r="H88" s="52">
        <f t="shared" si="4"/>
        <v>0</v>
      </c>
      <c r="I88" s="14">
        <f t="shared" si="4"/>
        <v>0</v>
      </c>
      <c r="J88" s="14">
        <f t="shared" si="5"/>
        <v>0</v>
      </c>
      <c r="K88" s="152">
        <f t="shared" si="6"/>
        <v>52763.782696177055</v>
      </c>
    </row>
    <row r="89" spans="1:11" x14ac:dyDescent="0.25">
      <c r="A89" s="61">
        <f>'A) Base RI'!A88</f>
        <v>5531</v>
      </c>
      <c r="B89" s="13" t="str">
        <f>'A) Base RI'!B88</f>
        <v>Penthéréaz</v>
      </c>
      <c r="C89" s="52">
        <f>'A) Base RI'!AN88</f>
        <v>389</v>
      </c>
      <c r="D89" s="14">
        <f t="shared" si="4"/>
        <v>389</v>
      </c>
      <c r="E89" s="19">
        <f t="shared" si="4"/>
        <v>0</v>
      </c>
      <c r="F89" s="14">
        <f t="shared" si="4"/>
        <v>0</v>
      </c>
      <c r="G89" s="19">
        <f t="shared" si="4"/>
        <v>0</v>
      </c>
      <c r="H89" s="52">
        <f t="shared" si="4"/>
        <v>0</v>
      </c>
      <c r="I89" s="14">
        <f t="shared" si="4"/>
        <v>0</v>
      </c>
      <c r="J89" s="14">
        <f t="shared" si="5"/>
        <v>0</v>
      </c>
      <c r="K89" s="152">
        <f t="shared" si="6"/>
        <v>38508.651911468813</v>
      </c>
    </row>
    <row r="90" spans="1:11" x14ac:dyDescent="0.25">
      <c r="A90" s="61">
        <f>'A) Base RI'!A89</f>
        <v>5533</v>
      </c>
      <c r="B90" s="13" t="str">
        <f>'A) Base RI'!B89</f>
        <v>Poliez-Pittet</v>
      </c>
      <c r="C90" s="52">
        <f>'A) Base RI'!AN89</f>
        <v>815</v>
      </c>
      <c r="D90" s="14">
        <f t="shared" si="4"/>
        <v>815</v>
      </c>
      <c r="E90" s="19">
        <f t="shared" si="4"/>
        <v>0</v>
      </c>
      <c r="F90" s="14">
        <f t="shared" si="4"/>
        <v>0</v>
      </c>
      <c r="G90" s="19">
        <f t="shared" si="4"/>
        <v>0</v>
      </c>
      <c r="H90" s="52">
        <f t="shared" si="4"/>
        <v>0</v>
      </c>
      <c r="I90" s="14">
        <f t="shared" si="4"/>
        <v>0</v>
      </c>
      <c r="J90" s="14">
        <f t="shared" si="5"/>
        <v>0</v>
      </c>
      <c r="K90" s="152">
        <f t="shared" si="6"/>
        <v>80680.080482897378</v>
      </c>
    </row>
    <row r="91" spans="1:11" x14ac:dyDescent="0.25">
      <c r="A91" s="61">
        <f>'A) Base RI'!A90</f>
        <v>5534</v>
      </c>
      <c r="B91" s="13" t="str">
        <f>'A) Base RI'!B90</f>
        <v>Rueyres</v>
      </c>
      <c r="C91" s="52">
        <f>'A) Base RI'!AN90</f>
        <v>265</v>
      </c>
      <c r="D91" s="14">
        <f t="shared" si="4"/>
        <v>265</v>
      </c>
      <c r="E91" s="19">
        <f t="shared" si="4"/>
        <v>0</v>
      </c>
      <c r="F91" s="14">
        <f t="shared" si="4"/>
        <v>0</v>
      </c>
      <c r="G91" s="19">
        <f t="shared" si="4"/>
        <v>0</v>
      </c>
      <c r="H91" s="52">
        <f t="shared" si="4"/>
        <v>0</v>
      </c>
      <c r="I91" s="14">
        <f t="shared" si="4"/>
        <v>0</v>
      </c>
      <c r="J91" s="14">
        <f t="shared" si="5"/>
        <v>0</v>
      </c>
      <c r="K91" s="152">
        <f t="shared" si="6"/>
        <v>26233.400402414485</v>
      </c>
    </row>
    <row r="92" spans="1:11" x14ac:dyDescent="0.25">
      <c r="A92" s="61">
        <f>'A) Base RI'!A91</f>
        <v>5535</v>
      </c>
      <c r="B92" s="13" t="str">
        <f>'A) Base RI'!B91</f>
        <v>Saint-Barthélemy</v>
      </c>
      <c r="C92" s="52">
        <f>'A) Base RI'!AN91</f>
        <v>782</v>
      </c>
      <c r="D92" s="14">
        <f t="shared" si="4"/>
        <v>782</v>
      </c>
      <c r="E92" s="19">
        <f t="shared" si="4"/>
        <v>0</v>
      </c>
      <c r="F92" s="14">
        <f t="shared" si="4"/>
        <v>0</v>
      </c>
      <c r="G92" s="19">
        <f t="shared" si="4"/>
        <v>0</v>
      </c>
      <c r="H92" s="52">
        <f t="shared" si="4"/>
        <v>0</v>
      </c>
      <c r="I92" s="14">
        <f t="shared" si="4"/>
        <v>0</v>
      </c>
      <c r="J92" s="14">
        <f t="shared" si="5"/>
        <v>0</v>
      </c>
      <c r="K92" s="152">
        <f t="shared" si="6"/>
        <v>77413.2796780684</v>
      </c>
    </row>
    <row r="93" spans="1:11" x14ac:dyDescent="0.25">
      <c r="A93" s="61">
        <f>'A) Base RI'!A92</f>
        <v>5537</v>
      </c>
      <c r="B93" s="13" t="str">
        <f>'A) Base RI'!B92</f>
        <v>Villars-le-Terroir</v>
      </c>
      <c r="C93" s="52">
        <f>'A) Base RI'!AN92</f>
        <v>1033</v>
      </c>
      <c r="D93" s="14">
        <f t="shared" si="4"/>
        <v>1000</v>
      </c>
      <c r="E93" s="19">
        <f t="shared" si="4"/>
        <v>33</v>
      </c>
      <c r="F93" s="14">
        <f t="shared" si="4"/>
        <v>0</v>
      </c>
      <c r="G93" s="19">
        <f t="shared" si="4"/>
        <v>0</v>
      </c>
      <c r="H93" s="52">
        <f t="shared" si="4"/>
        <v>0</v>
      </c>
      <c r="I93" s="14">
        <f t="shared" si="4"/>
        <v>0</v>
      </c>
      <c r="J93" s="14">
        <f t="shared" si="5"/>
        <v>0</v>
      </c>
      <c r="K93" s="152">
        <f t="shared" si="6"/>
        <v>110427.76659959758</v>
      </c>
    </row>
    <row r="94" spans="1:11" x14ac:dyDescent="0.25">
      <c r="A94" s="61">
        <f>'A) Base RI'!A93</f>
        <v>5539</v>
      </c>
      <c r="B94" s="13" t="str">
        <f>'A) Base RI'!B93</f>
        <v>Vuarrens</v>
      </c>
      <c r="C94" s="52">
        <f>'A) Base RI'!AN93</f>
        <v>935</v>
      </c>
      <c r="D94" s="14">
        <f t="shared" si="4"/>
        <v>935</v>
      </c>
      <c r="E94" s="19">
        <f t="shared" si="4"/>
        <v>0</v>
      </c>
      <c r="F94" s="14">
        <f t="shared" si="4"/>
        <v>0</v>
      </c>
      <c r="G94" s="19">
        <f t="shared" si="4"/>
        <v>0</v>
      </c>
      <c r="H94" s="52">
        <f t="shared" si="4"/>
        <v>0</v>
      </c>
      <c r="I94" s="14">
        <f t="shared" si="4"/>
        <v>0</v>
      </c>
      <c r="J94" s="14">
        <f t="shared" si="5"/>
        <v>0</v>
      </c>
      <c r="K94" s="152">
        <f t="shared" si="6"/>
        <v>92559.356136820919</v>
      </c>
    </row>
    <row r="95" spans="1:11" x14ac:dyDescent="0.25">
      <c r="A95" s="61">
        <f>'A) Base RI'!A94</f>
        <v>5540</v>
      </c>
      <c r="B95" s="13" t="str">
        <f>'A) Base RI'!B94</f>
        <v>Montilliez</v>
      </c>
      <c r="C95" s="52">
        <f>'A) Base RI'!AN94</f>
        <v>1656</v>
      </c>
      <c r="D95" s="14">
        <f t="shared" si="4"/>
        <v>1000</v>
      </c>
      <c r="E95" s="19">
        <f t="shared" si="4"/>
        <v>656</v>
      </c>
      <c r="F95" s="14">
        <f t="shared" si="4"/>
        <v>0</v>
      </c>
      <c r="G95" s="19">
        <f t="shared" si="4"/>
        <v>0</v>
      </c>
      <c r="H95" s="52">
        <f t="shared" si="4"/>
        <v>0</v>
      </c>
      <c r="I95" s="14">
        <f t="shared" si="4"/>
        <v>0</v>
      </c>
      <c r="J95" s="14">
        <f t="shared" si="5"/>
        <v>0</v>
      </c>
      <c r="K95" s="152">
        <f t="shared" si="6"/>
        <v>326284.10462776659</v>
      </c>
    </row>
    <row r="96" spans="1:11" x14ac:dyDescent="0.25">
      <c r="A96" s="61">
        <f>'A) Base RI'!A95</f>
        <v>5541</v>
      </c>
      <c r="B96" s="13" t="str">
        <f>'A) Base RI'!B95</f>
        <v>Goumoëns</v>
      </c>
      <c r="C96" s="52">
        <f>'A) Base RI'!AN95</f>
        <v>1055</v>
      </c>
      <c r="D96" s="14">
        <f t="shared" si="4"/>
        <v>1000</v>
      </c>
      <c r="E96" s="19">
        <f t="shared" si="4"/>
        <v>55</v>
      </c>
      <c r="F96" s="14">
        <f t="shared" si="4"/>
        <v>0</v>
      </c>
      <c r="G96" s="19">
        <f t="shared" si="4"/>
        <v>0</v>
      </c>
      <c r="H96" s="52">
        <f t="shared" si="4"/>
        <v>0</v>
      </c>
      <c r="I96" s="14">
        <f t="shared" si="4"/>
        <v>0</v>
      </c>
      <c r="J96" s="14">
        <f t="shared" si="5"/>
        <v>0</v>
      </c>
      <c r="K96" s="152">
        <f t="shared" si="6"/>
        <v>118050.30181086519</v>
      </c>
    </row>
    <row r="97" spans="1:11" x14ac:dyDescent="0.25">
      <c r="A97" s="61">
        <f>'A) Base RI'!A96</f>
        <v>5551</v>
      </c>
      <c r="B97" s="13" t="str">
        <f>'A) Base RI'!B96</f>
        <v>Bonvillars</v>
      </c>
      <c r="C97" s="52">
        <f>'A) Base RI'!AN96</f>
        <v>506</v>
      </c>
      <c r="D97" s="14">
        <f t="shared" si="4"/>
        <v>506</v>
      </c>
      <c r="E97" s="19">
        <f t="shared" si="4"/>
        <v>0</v>
      </c>
      <c r="F97" s="14">
        <f t="shared" si="4"/>
        <v>0</v>
      </c>
      <c r="G97" s="19">
        <f t="shared" si="4"/>
        <v>0</v>
      </c>
      <c r="H97" s="52">
        <f t="shared" si="4"/>
        <v>0</v>
      </c>
      <c r="I97" s="14">
        <f t="shared" si="4"/>
        <v>0</v>
      </c>
      <c r="J97" s="14">
        <f t="shared" si="5"/>
        <v>0</v>
      </c>
      <c r="K97" s="152">
        <f t="shared" si="6"/>
        <v>50090.945674044262</v>
      </c>
    </row>
    <row r="98" spans="1:11" x14ac:dyDescent="0.25">
      <c r="A98" s="61">
        <f>'A) Base RI'!A97</f>
        <v>5552</v>
      </c>
      <c r="B98" s="13" t="str">
        <f>'A) Base RI'!B97</f>
        <v>Bullet</v>
      </c>
      <c r="C98" s="52">
        <f>'A) Base RI'!AN97</f>
        <v>606</v>
      </c>
      <c r="D98" s="14">
        <f t="shared" si="4"/>
        <v>606</v>
      </c>
      <c r="E98" s="19">
        <f t="shared" si="4"/>
        <v>0</v>
      </c>
      <c r="F98" s="14">
        <f t="shared" si="4"/>
        <v>0</v>
      </c>
      <c r="G98" s="19">
        <f t="shared" si="4"/>
        <v>0</v>
      </c>
      <c r="H98" s="52">
        <f t="shared" si="4"/>
        <v>0</v>
      </c>
      <c r="I98" s="14">
        <f t="shared" si="4"/>
        <v>0</v>
      </c>
      <c r="J98" s="14">
        <f t="shared" si="5"/>
        <v>0</v>
      </c>
      <c r="K98" s="152">
        <f t="shared" si="6"/>
        <v>59990.342052313878</v>
      </c>
    </row>
    <row r="99" spans="1:11" x14ac:dyDescent="0.25">
      <c r="A99" s="61">
        <f>'A) Base RI'!A98</f>
        <v>5553</v>
      </c>
      <c r="B99" s="13" t="str">
        <f>'A) Base RI'!B98</f>
        <v>Champagne</v>
      </c>
      <c r="C99" s="52">
        <f>'A) Base RI'!AN98</f>
        <v>1048</v>
      </c>
      <c r="D99" s="14">
        <f t="shared" si="4"/>
        <v>1000</v>
      </c>
      <c r="E99" s="19">
        <f t="shared" si="4"/>
        <v>48</v>
      </c>
      <c r="F99" s="14">
        <f t="shared" si="4"/>
        <v>0</v>
      </c>
      <c r="G99" s="19">
        <f t="shared" si="4"/>
        <v>0</v>
      </c>
      <c r="H99" s="52">
        <f t="shared" si="4"/>
        <v>0</v>
      </c>
      <c r="I99" s="14">
        <f t="shared" si="4"/>
        <v>0</v>
      </c>
      <c r="J99" s="14">
        <f t="shared" si="5"/>
        <v>0</v>
      </c>
      <c r="K99" s="152">
        <f t="shared" si="6"/>
        <v>115624.94969818913</v>
      </c>
    </row>
    <row r="100" spans="1:11" x14ac:dyDescent="0.25">
      <c r="A100" s="61">
        <f>'A) Base RI'!A99</f>
        <v>5554</v>
      </c>
      <c r="B100" s="13" t="str">
        <f>'A) Base RI'!B99</f>
        <v>Concise</v>
      </c>
      <c r="C100" s="52">
        <f>'A) Base RI'!AN99</f>
        <v>954</v>
      </c>
      <c r="D100" s="14">
        <f t="shared" si="4"/>
        <v>954</v>
      </c>
      <c r="E100" s="19">
        <f t="shared" si="4"/>
        <v>0</v>
      </c>
      <c r="F100" s="14">
        <f t="shared" si="4"/>
        <v>0</v>
      </c>
      <c r="G100" s="19">
        <f t="shared" si="4"/>
        <v>0</v>
      </c>
      <c r="H100" s="52">
        <f t="shared" si="4"/>
        <v>0</v>
      </c>
      <c r="I100" s="14">
        <f t="shared" si="4"/>
        <v>0</v>
      </c>
      <c r="J100" s="14">
        <f t="shared" si="5"/>
        <v>0</v>
      </c>
      <c r="K100" s="152">
        <f t="shared" si="6"/>
        <v>94440.241448692148</v>
      </c>
    </row>
    <row r="101" spans="1:11" x14ac:dyDescent="0.25">
      <c r="A101" s="61">
        <f>'A) Base RI'!A100</f>
        <v>5555</v>
      </c>
      <c r="B101" s="13" t="str">
        <f>'A) Base RI'!B100</f>
        <v>Corcelles-près-Concise</v>
      </c>
      <c r="C101" s="52">
        <f>'A) Base RI'!AN100</f>
        <v>337</v>
      </c>
      <c r="D101" s="14">
        <f t="shared" si="4"/>
        <v>337</v>
      </c>
      <c r="E101" s="19">
        <f t="shared" si="4"/>
        <v>0</v>
      </c>
      <c r="F101" s="14">
        <f t="shared" si="4"/>
        <v>0</v>
      </c>
      <c r="G101" s="19">
        <f t="shared" si="4"/>
        <v>0</v>
      </c>
      <c r="H101" s="52">
        <f t="shared" si="4"/>
        <v>0</v>
      </c>
      <c r="I101" s="14">
        <f t="shared" si="4"/>
        <v>0</v>
      </c>
      <c r="J101" s="14">
        <f t="shared" si="5"/>
        <v>0</v>
      </c>
      <c r="K101" s="152">
        <f t="shared" si="6"/>
        <v>33360.965794768606</v>
      </c>
    </row>
    <row r="102" spans="1:11" x14ac:dyDescent="0.25">
      <c r="A102" s="61">
        <f>'A) Base RI'!A101</f>
        <v>5556</v>
      </c>
      <c r="B102" s="13" t="str">
        <f>'A) Base RI'!B101</f>
        <v>Fiez</v>
      </c>
      <c r="C102" s="52">
        <f>'A) Base RI'!AN101</f>
        <v>421</v>
      </c>
      <c r="D102" s="14">
        <f t="shared" si="4"/>
        <v>421</v>
      </c>
      <c r="E102" s="19">
        <f t="shared" si="4"/>
        <v>0</v>
      </c>
      <c r="F102" s="14">
        <f t="shared" si="4"/>
        <v>0</v>
      </c>
      <c r="G102" s="19">
        <f t="shared" si="4"/>
        <v>0</v>
      </c>
      <c r="H102" s="52">
        <f t="shared" si="4"/>
        <v>0</v>
      </c>
      <c r="I102" s="14">
        <f t="shared" si="4"/>
        <v>0</v>
      </c>
      <c r="J102" s="14">
        <f t="shared" si="5"/>
        <v>0</v>
      </c>
      <c r="K102" s="152">
        <f t="shared" si="6"/>
        <v>41676.458752515086</v>
      </c>
    </row>
    <row r="103" spans="1:11" x14ac:dyDescent="0.25">
      <c r="A103" s="61">
        <f>'A) Base RI'!A102</f>
        <v>5557</v>
      </c>
      <c r="B103" s="13" t="str">
        <f>'A) Base RI'!B102</f>
        <v>Fontaines-sur-Grandson</v>
      </c>
      <c r="C103" s="52">
        <f>'A) Base RI'!AN102</f>
        <v>191</v>
      </c>
      <c r="D103" s="14">
        <f t="shared" si="4"/>
        <v>191</v>
      </c>
      <c r="E103" s="19">
        <f t="shared" si="4"/>
        <v>0</v>
      </c>
      <c r="F103" s="14">
        <f t="shared" si="4"/>
        <v>0</v>
      </c>
      <c r="G103" s="19">
        <f t="shared" si="4"/>
        <v>0</v>
      </c>
      <c r="H103" s="52">
        <f t="shared" si="4"/>
        <v>0</v>
      </c>
      <c r="I103" s="14">
        <f t="shared" si="4"/>
        <v>0</v>
      </c>
      <c r="J103" s="14">
        <f t="shared" si="5"/>
        <v>0</v>
      </c>
      <c r="K103" s="152">
        <f t="shared" si="6"/>
        <v>18907.847082494969</v>
      </c>
    </row>
    <row r="104" spans="1:11" x14ac:dyDescent="0.25">
      <c r="A104" s="61">
        <f>'A) Base RI'!A103</f>
        <v>5559</v>
      </c>
      <c r="B104" s="13" t="str">
        <f>'A) Base RI'!B103</f>
        <v>Giez</v>
      </c>
      <c r="C104" s="52">
        <f>'A) Base RI'!AN103</f>
        <v>389</v>
      </c>
      <c r="D104" s="14">
        <f t="shared" si="4"/>
        <v>389</v>
      </c>
      <c r="E104" s="19">
        <f t="shared" si="4"/>
        <v>0</v>
      </c>
      <c r="F104" s="14">
        <f t="shared" si="4"/>
        <v>0</v>
      </c>
      <c r="G104" s="19">
        <f t="shared" si="4"/>
        <v>0</v>
      </c>
      <c r="H104" s="52">
        <f t="shared" si="4"/>
        <v>0</v>
      </c>
      <c r="I104" s="14">
        <f t="shared" si="4"/>
        <v>0</v>
      </c>
      <c r="J104" s="14">
        <f t="shared" si="5"/>
        <v>0</v>
      </c>
      <c r="K104" s="152">
        <f t="shared" si="6"/>
        <v>38508.651911468813</v>
      </c>
    </row>
    <row r="105" spans="1:11" x14ac:dyDescent="0.25">
      <c r="A105" s="61">
        <f>'A) Base RI'!A104</f>
        <v>5560</v>
      </c>
      <c r="B105" s="13" t="str">
        <f>'A) Base RI'!B104</f>
        <v>Grandevent</v>
      </c>
      <c r="C105" s="52">
        <f>'A) Base RI'!AN104</f>
        <v>232</v>
      </c>
      <c r="D105" s="14">
        <f t="shared" si="4"/>
        <v>232</v>
      </c>
      <c r="E105" s="19">
        <f t="shared" si="4"/>
        <v>0</v>
      </c>
      <c r="F105" s="14">
        <f t="shared" si="4"/>
        <v>0</v>
      </c>
      <c r="G105" s="19">
        <f t="shared" si="4"/>
        <v>0</v>
      </c>
      <c r="H105" s="52">
        <f t="shared" si="4"/>
        <v>0</v>
      </c>
      <c r="I105" s="14">
        <f t="shared" si="4"/>
        <v>0</v>
      </c>
      <c r="J105" s="14">
        <f t="shared" si="5"/>
        <v>0</v>
      </c>
      <c r="K105" s="152">
        <f t="shared" si="6"/>
        <v>22966.599597585511</v>
      </c>
    </row>
    <row r="106" spans="1:11" x14ac:dyDescent="0.25">
      <c r="A106" s="61">
        <f>'A) Base RI'!A105</f>
        <v>5561</v>
      </c>
      <c r="B106" s="13" t="str">
        <f>'A) Base RI'!B105</f>
        <v>Grandson</v>
      </c>
      <c r="C106" s="52">
        <f>'A) Base RI'!AN105</f>
        <v>3303</v>
      </c>
      <c r="D106" s="14">
        <f t="shared" si="4"/>
        <v>1000</v>
      </c>
      <c r="E106" s="19">
        <f t="shared" si="4"/>
        <v>2000</v>
      </c>
      <c r="F106" s="14">
        <f t="shared" si="4"/>
        <v>303</v>
      </c>
      <c r="G106" s="19">
        <f t="shared" ref="E106:I157" si="7">IF($C106&gt;G$4,IF($C106&lt;G$5,$C106-G$4,G$5-G$4),0)</f>
        <v>0</v>
      </c>
      <c r="H106" s="52">
        <f t="shared" si="7"/>
        <v>0</v>
      </c>
      <c r="I106" s="14">
        <f t="shared" si="7"/>
        <v>0</v>
      </c>
      <c r="J106" s="14">
        <f t="shared" si="5"/>
        <v>0</v>
      </c>
      <c r="K106" s="152">
        <f t="shared" si="6"/>
        <v>941927.56539235404</v>
      </c>
    </row>
    <row r="107" spans="1:11" x14ac:dyDescent="0.25">
      <c r="A107" s="61">
        <f>'A) Base RI'!A106</f>
        <v>5562</v>
      </c>
      <c r="B107" s="13" t="str">
        <f>'A) Base RI'!B106</f>
        <v>Mauborget</v>
      </c>
      <c r="C107" s="52">
        <f>'A) Base RI'!AN106</f>
        <v>119</v>
      </c>
      <c r="D107" s="14">
        <f t="shared" ref="D107:D170" si="8">IF($C107&gt;D$4,IF($C107&lt;D$5,$C107-D$4,D$5-D$4),0)</f>
        <v>119</v>
      </c>
      <c r="E107" s="19">
        <f t="shared" si="7"/>
        <v>0</v>
      </c>
      <c r="F107" s="14">
        <f t="shared" si="7"/>
        <v>0</v>
      </c>
      <c r="G107" s="19">
        <f t="shared" si="7"/>
        <v>0</v>
      </c>
      <c r="H107" s="52">
        <f t="shared" si="7"/>
        <v>0</v>
      </c>
      <c r="I107" s="14">
        <f t="shared" si="7"/>
        <v>0</v>
      </c>
      <c r="J107" s="14">
        <f t="shared" si="5"/>
        <v>0</v>
      </c>
      <c r="K107" s="152">
        <f t="shared" si="6"/>
        <v>11780.281690140844</v>
      </c>
    </row>
    <row r="108" spans="1:11" x14ac:dyDescent="0.25">
      <c r="A108" s="61">
        <f>'A) Base RI'!A107</f>
        <v>5563</v>
      </c>
      <c r="B108" s="13" t="str">
        <f>'A) Base RI'!B107</f>
        <v>Mutrux</v>
      </c>
      <c r="C108" s="52">
        <f>'A) Base RI'!AN107</f>
        <v>153</v>
      </c>
      <c r="D108" s="14">
        <f t="shared" si="8"/>
        <v>153</v>
      </c>
      <c r="E108" s="19">
        <f t="shared" si="7"/>
        <v>0</v>
      </c>
      <c r="F108" s="14">
        <f t="shared" si="7"/>
        <v>0</v>
      </c>
      <c r="G108" s="19">
        <f t="shared" si="7"/>
        <v>0</v>
      </c>
      <c r="H108" s="52">
        <f t="shared" si="7"/>
        <v>0</v>
      </c>
      <c r="I108" s="14">
        <f t="shared" si="7"/>
        <v>0</v>
      </c>
      <c r="J108" s="14">
        <f t="shared" si="5"/>
        <v>0</v>
      </c>
      <c r="K108" s="152">
        <f t="shared" si="6"/>
        <v>15146.076458752514</v>
      </c>
    </row>
    <row r="109" spans="1:11" x14ac:dyDescent="0.25">
      <c r="A109" s="61">
        <f>'A) Base RI'!A108</f>
        <v>5564</v>
      </c>
      <c r="B109" s="13" t="str">
        <f>'A) Base RI'!B108</f>
        <v>Novalles</v>
      </c>
      <c r="C109" s="52">
        <f>'A) Base RI'!AN108</f>
        <v>102</v>
      </c>
      <c r="D109" s="14">
        <f t="shared" si="8"/>
        <v>102</v>
      </c>
      <c r="E109" s="19">
        <f t="shared" si="7"/>
        <v>0</v>
      </c>
      <c r="F109" s="14">
        <f t="shared" si="7"/>
        <v>0</v>
      </c>
      <c r="G109" s="19">
        <f t="shared" si="7"/>
        <v>0</v>
      </c>
      <c r="H109" s="52">
        <f t="shared" si="7"/>
        <v>0</v>
      </c>
      <c r="I109" s="14">
        <f t="shared" si="7"/>
        <v>0</v>
      </c>
      <c r="J109" s="14">
        <f t="shared" si="5"/>
        <v>0</v>
      </c>
      <c r="K109" s="152">
        <f t="shared" si="6"/>
        <v>10097.384305835008</v>
      </c>
    </row>
    <row r="110" spans="1:11" x14ac:dyDescent="0.25">
      <c r="A110" s="61">
        <f>'A) Base RI'!A109</f>
        <v>5565</v>
      </c>
      <c r="B110" s="13" t="str">
        <f>'A) Base RI'!B109</f>
        <v>Onnens</v>
      </c>
      <c r="C110" s="52">
        <f>'A) Base RI'!AN109</f>
        <v>493</v>
      </c>
      <c r="D110" s="14">
        <f t="shared" si="8"/>
        <v>493</v>
      </c>
      <c r="E110" s="19">
        <f t="shared" si="7"/>
        <v>0</v>
      </c>
      <c r="F110" s="14">
        <f t="shared" si="7"/>
        <v>0</v>
      </c>
      <c r="G110" s="19">
        <f t="shared" si="7"/>
        <v>0</v>
      </c>
      <c r="H110" s="52">
        <f t="shared" si="7"/>
        <v>0</v>
      </c>
      <c r="I110" s="14">
        <f t="shared" si="7"/>
        <v>0</v>
      </c>
      <c r="J110" s="14">
        <f t="shared" si="5"/>
        <v>0</v>
      </c>
      <c r="K110" s="152">
        <f t="shared" si="6"/>
        <v>48804.02414486921</v>
      </c>
    </row>
    <row r="111" spans="1:11" x14ac:dyDescent="0.25">
      <c r="A111" s="61">
        <f>'A) Base RI'!A110</f>
        <v>5566</v>
      </c>
      <c r="B111" s="13" t="str">
        <f>'A) Base RI'!B110</f>
        <v>Provence</v>
      </c>
      <c r="C111" s="52">
        <f>'A) Base RI'!AN110</f>
        <v>385</v>
      </c>
      <c r="D111" s="14">
        <f t="shared" si="8"/>
        <v>385</v>
      </c>
      <c r="E111" s="19">
        <f t="shared" si="7"/>
        <v>0</v>
      </c>
      <c r="F111" s="14">
        <f t="shared" si="7"/>
        <v>0</v>
      </c>
      <c r="G111" s="19">
        <f t="shared" si="7"/>
        <v>0</v>
      </c>
      <c r="H111" s="52">
        <f t="shared" si="7"/>
        <v>0</v>
      </c>
      <c r="I111" s="14">
        <f t="shared" si="7"/>
        <v>0</v>
      </c>
      <c r="J111" s="14">
        <f t="shared" si="5"/>
        <v>0</v>
      </c>
      <c r="K111" s="152">
        <f t="shared" si="6"/>
        <v>38112.676056338023</v>
      </c>
    </row>
    <row r="112" spans="1:11" x14ac:dyDescent="0.25">
      <c r="A112" s="61">
        <f>'A) Base RI'!A111</f>
        <v>5568</v>
      </c>
      <c r="B112" s="13" t="str">
        <f>'A) Base RI'!B111</f>
        <v>Sainte-Croix</v>
      </c>
      <c r="C112" s="52">
        <f>'A) Base RI'!AN111</f>
        <v>4763</v>
      </c>
      <c r="D112" s="14">
        <f t="shared" si="8"/>
        <v>1000</v>
      </c>
      <c r="E112" s="19">
        <f t="shared" si="7"/>
        <v>2000</v>
      </c>
      <c r="F112" s="14">
        <f t="shared" si="7"/>
        <v>1763</v>
      </c>
      <c r="G112" s="19">
        <f t="shared" si="7"/>
        <v>0</v>
      </c>
      <c r="H112" s="52">
        <f t="shared" si="7"/>
        <v>0</v>
      </c>
      <c r="I112" s="14">
        <f t="shared" si="7"/>
        <v>0</v>
      </c>
      <c r="J112" s="14">
        <f t="shared" si="5"/>
        <v>0</v>
      </c>
      <c r="K112" s="152">
        <f t="shared" si="6"/>
        <v>1664583.5010060361</v>
      </c>
    </row>
    <row r="113" spans="1:11" x14ac:dyDescent="0.25">
      <c r="A113" s="61">
        <f>'A) Base RI'!A112</f>
        <v>5571</v>
      </c>
      <c r="B113" s="13" t="str">
        <f>'A) Base RI'!B112</f>
        <v>Tévenon</v>
      </c>
      <c r="C113" s="52">
        <f>'A) Base RI'!AN112</f>
        <v>811</v>
      </c>
      <c r="D113" s="14">
        <f t="shared" si="8"/>
        <v>811</v>
      </c>
      <c r="E113" s="19">
        <f t="shared" si="7"/>
        <v>0</v>
      </c>
      <c r="F113" s="14">
        <f t="shared" si="7"/>
        <v>0</v>
      </c>
      <c r="G113" s="19">
        <f t="shared" si="7"/>
        <v>0</v>
      </c>
      <c r="H113" s="52">
        <f t="shared" si="7"/>
        <v>0</v>
      </c>
      <c r="I113" s="14">
        <f t="shared" si="7"/>
        <v>0</v>
      </c>
      <c r="J113" s="14">
        <f t="shared" si="5"/>
        <v>0</v>
      </c>
      <c r="K113" s="152">
        <f t="shared" si="6"/>
        <v>80284.104627766588</v>
      </c>
    </row>
    <row r="114" spans="1:11" x14ac:dyDescent="0.25">
      <c r="A114" s="61">
        <f>'A) Base RI'!A113</f>
        <v>5581</v>
      </c>
      <c r="B114" s="13" t="str">
        <f>'A) Base RI'!B113</f>
        <v>Belmont-sur-Lausanne</v>
      </c>
      <c r="C114" s="52">
        <f>'A) Base RI'!AN113</f>
        <v>3602</v>
      </c>
      <c r="D114" s="14">
        <f t="shared" si="8"/>
        <v>1000</v>
      </c>
      <c r="E114" s="19">
        <f t="shared" si="7"/>
        <v>2000</v>
      </c>
      <c r="F114" s="14">
        <f t="shared" si="7"/>
        <v>602</v>
      </c>
      <c r="G114" s="19">
        <f t="shared" si="7"/>
        <v>0</v>
      </c>
      <c r="H114" s="52">
        <f t="shared" si="7"/>
        <v>0</v>
      </c>
      <c r="I114" s="14">
        <f t="shared" si="7"/>
        <v>0</v>
      </c>
      <c r="J114" s="14">
        <f t="shared" si="5"/>
        <v>0</v>
      </c>
      <c r="K114" s="152">
        <f t="shared" si="6"/>
        <v>1089923.5412474847</v>
      </c>
    </row>
    <row r="115" spans="1:11" x14ac:dyDescent="0.25">
      <c r="A115" s="61">
        <f>'A) Base RI'!A114</f>
        <v>5582</v>
      </c>
      <c r="B115" s="13" t="str">
        <f>'A) Base RI'!B114</f>
        <v>Cheseaux-sur-Lausanne</v>
      </c>
      <c r="C115" s="52">
        <f>'A) Base RI'!AN114</f>
        <v>4297</v>
      </c>
      <c r="D115" s="14">
        <f t="shared" si="8"/>
        <v>1000</v>
      </c>
      <c r="E115" s="19">
        <f t="shared" si="7"/>
        <v>2000</v>
      </c>
      <c r="F115" s="14">
        <f t="shared" si="7"/>
        <v>1297</v>
      </c>
      <c r="G115" s="19">
        <f t="shared" si="7"/>
        <v>0</v>
      </c>
      <c r="H115" s="52">
        <f t="shared" si="7"/>
        <v>0</v>
      </c>
      <c r="I115" s="14">
        <f t="shared" si="7"/>
        <v>0</v>
      </c>
      <c r="J115" s="14">
        <f t="shared" si="5"/>
        <v>0</v>
      </c>
      <c r="K115" s="152">
        <f t="shared" si="6"/>
        <v>1433927.565392354</v>
      </c>
    </row>
    <row r="116" spans="1:11" x14ac:dyDescent="0.25">
      <c r="A116" s="61">
        <f>'A) Base RI'!A115</f>
        <v>5583</v>
      </c>
      <c r="B116" s="13" t="str">
        <f>'A) Base RI'!B115</f>
        <v>Crissier</v>
      </c>
      <c r="C116" s="52">
        <f>'A) Base RI'!AN115</f>
        <v>7542</v>
      </c>
      <c r="D116" s="14">
        <f t="shared" si="8"/>
        <v>1000</v>
      </c>
      <c r="E116" s="19">
        <f t="shared" si="7"/>
        <v>2000</v>
      </c>
      <c r="F116" s="14">
        <f t="shared" si="7"/>
        <v>2000</v>
      </c>
      <c r="G116" s="19">
        <f t="shared" si="7"/>
        <v>2542</v>
      </c>
      <c r="H116" s="52">
        <f t="shared" si="7"/>
        <v>0</v>
      </c>
      <c r="I116" s="14">
        <f t="shared" si="7"/>
        <v>0</v>
      </c>
      <c r="J116" s="14">
        <f t="shared" si="5"/>
        <v>0</v>
      </c>
      <c r="K116" s="152">
        <f t="shared" si="6"/>
        <v>3291747.2837022133</v>
      </c>
    </row>
    <row r="117" spans="1:11" x14ac:dyDescent="0.25">
      <c r="A117" s="61">
        <f>'A) Base RI'!A116</f>
        <v>5584</v>
      </c>
      <c r="B117" s="13" t="str">
        <f>'A) Base RI'!B116</f>
        <v>Epalinges</v>
      </c>
      <c r="C117" s="52">
        <f>'A) Base RI'!AN116</f>
        <v>9185</v>
      </c>
      <c r="D117" s="14">
        <f t="shared" si="8"/>
        <v>1000</v>
      </c>
      <c r="E117" s="19">
        <f t="shared" si="7"/>
        <v>2000</v>
      </c>
      <c r="F117" s="14">
        <f t="shared" si="7"/>
        <v>2000</v>
      </c>
      <c r="G117" s="19">
        <f t="shared" si="7"/>
        <v>4000</v>
      </c>
      <c r="H117" s="52">
        <f t="shared" si="7"/>
        <v>185</v>
      </c>
      <c r="I117" s="14">
        <f t="shared" si="7"/>
        <v>0</v>
      </c>
      <c r="J117" s="14">
        <f t="shared" si="5"/>
        <v>0</v>
      </c>
      <c r="K117" s="152">
        <f t="shared" si="6"/>
        <v>4313414.4869215293</v>
      </c>
    </row>
    <row r="118" spans="1:11" x14ac:dyDescent="0.25">
      <c r="A118" s="61">
        <f>'A) Base RI'!A117</f>
        <v>5585</v>
      </c>
      <c r="B118" s="13" t="str">
        <f>'A) Base RI'!B117</f>
        <v>Jouxtens-Mézery</v>
      </c>
      <c r="C118" s="52">
        <f>'A) Base RI'!AN117</f>
        <v>1405</v>
      </c>
      <c r="D118" s="14">
        <f t="shared" si="8"/>
        <v>1000</v>
      </c>
      <c r="E118" s="19">
        <f t="shared" si="7"/>
        <v>405</v>
      </c>
      <c r="F118" s="14">
        <f t="shared" si="7"/>
        <v>0</v>
      </c>
      <c r="G118" s="19">
        <f t="shared" si="7"/>
        <v>0</v>
      </c>
      <c r="H118" s="52">
        <f t="shared" si="7"/>
        <v>0</v>
      </c>
      <c r="I118" s="14">
        <f t="shared" si="7"/>
        <v>0</v>
      </c>
      <c r="J118" s="14">
        <f t="shared" si="5"/>
        <v>0</v>
      </c>
      <c r="K118" s="152">
        <f t="shared" si="6"/>
        <v>239317.907444668</v>
      </c>
    </row>
    <row r="119" spans="1:11" x14ac:dyDescent="0.25">
      <c r="A119" s="61">
        <f>'A) Base RI'!A118</f>
        <v>5586</v>
      </c>
      <c r="B119" s="13" t="str">
        <f>'A) Base RI'!B118</f>
        <v>Lausanne</v>
      </c>
      <c r="C119" s="52">
        <f>'A) Base RI'!AN118</f>
        <v>134937</v>
      </c>
      <c r="D119" s="14">
        <f t="shared" si="8"/>
        <v>1000</v>
      </c>
      <c r="E119" s="19">
        <f t="shared" si="7"/>
        <v>2000</v>
      </c>
      <c r="F119" s="14">
        <f t="shared" si="7"/>
        <v>2000</v>
      </c>
      <c r="G119" s="19">
        <f t="shared" si="7"/>
        <v>4000</v>
      </c>
      <c r="H119" s="52">
        <f t="shared" si="7"/>
        <v>3000</v>
      </c>
      <c r="I119" s="14">
        <f t="shared" si="7"/>
        <v>3000</v>
      </c>
      <c r="J119" s="14">
        <f t="shared" si="5"/>
        <v>119937</v>
      </c>
      <c r="K119" s="152">
        <f t="shared" si="6"/>
        <v>134318821.32796782</v>
      </c>
    </row>
    <row r="120" spans="1:11" x14ac:dyDescent="0.25">
      <c r="A120" s="61">
        <f>'A) Base RI'!A119</f>
        <v>5587</v>
      </c>
      <c r="B120" s="13" t="str">
        <f>'A) Base RI'!B119</f>
        <v>Le Mont-sur-Lausanne</v>
      </c>
      <c r="C120" s="52">
        <f>'A) Base RI'!AN119</f>
        <v>7271</v>
      </c>
      <c r="D120" s="14">
        <f t="shared" si="8"/>
        <v>1000</v>
      </c>
      <c r="E120" s="19">
        <f t="shared" si="7"/>
        <v>2000</v>
      </c>
      <c r="F120" s="14">
        <f t="shared" si="7"/>
        <v>2000</v>
      </c>
      <c r="G120" s="19">
        <f t="shared" si="7"/>
        <v>2271</v>
      </c>
      <c r="H120" s="52">
        <f t="shared" si="7"/>
        <v>0</v>
      </c>
      <c r="I120" s="14">
        <f t="shared" si="7"/>
        <v>0</v>
      </c>
      <c r="J120" s="14">
        <f t="shared" si="5"/>
        <v>0</v>
      </c>
      <c r="K120" s="152">
        <f t="shared" si="6"/>
        <v>3130783.0985915493</v>
      </c>
    </row>
    <row r="121" spans="1:11" x14ac:dyDescent="0.25">
      <c r="A121" s="61">
        <f>'A) Base RI'!A120</f>
        <v>5588</v>
      </c>
      <c r="B121" s="13" t="str">
        <f>'A) Base RI'!B120</f>
        <v>Paudex</v>
      </c>
      <c r="C121" s="52">
        <f>'A) Base RI'!AN120</f>
        <v>1485</v>
      </c>
      <c r="D121" s="14">
        <f t="shared" si="8"/>
        <v>1000</v>
      </c>
      <c r="E121" s="19">
        <f t="shared" si="7"/>
        <v>485</v>
      </c>
      <c r="F121" s="14">
        <f t="shared" si="7"/>
        <v>0</v>
      </c>
      <c r="G121" s="19">
        <f t="shared" si="7"/>
        <v>0</v>
      </c>
      <c r="H121" s="52">
        <f t="shared" si="7"/>
        <v>0</v>
      </c>
      <c r="I121" s="14">
        <f t="shared" si="7"/>
        <v>0</v>
      </c>
      <c r="J121" s="14">
        <f t="shared" si="5"/>
        <v>0</v>
      </c>
      <c r="K121" s="152">
        <f t="shared" si="6"/>
        <v>267036.21730382292</v>
      </c>
    </row>
    <row r="122" spans="1:11" x14ac:dyDescent="0.25">
      <c r="A122" s="61">
        <f>'A) Base RI'!A121</f>
        <v>5589</v>
      </c>
      <c r="B122" s="13" t="str">
        <f>'A) Base RI'!B121</f>
        <v>Prilly</v>
      </c>
      <c r="C122" s="52">
        <f>'A) Base RI'!AN121</f>
        <v>11782</v>
      </c>
      <c r="D122" s="14">
        <f t="shared" si="8"/>
        <v>1000</v>
      </c>
      <c r="E122" s="19">
        <f t="shared" si="7"/>
        <v>2000</v>
      </c>
      <c r="F122" s="14">
        <f t="shared" si="7"/>
        <v>2000</v>
      </c>
      <c r="G122" s="19">
        <f t="shared" si="7"/>
        <v>4000</v>
      </c>
      <c r="H122" s="52">
        <f t="shared" si="7"/>
        <v>2782</v>
      </c>
      <c r="I122" s="14">
        <f t="shared" si="7"/>
        <v>0</v>
      </c>
      <c r="J122" s="14">
        <f t="shared" si="5"/>
        <v>0</v>
      </c>
      <c r="K122" s="152">
        <f t="shared" si="6"/>
        <v>6498656.740442656</v>
      </c>
    </row>
    <row r="123" spans="1:11" x14ac:dyDescent="0.25">
      <c r="A123" s="61">
        <f>'A) Base RI'!A122</f>
        <v>5590</v>
      </c>
      <c r="B123" s="13" t="str">
        <f>'A) Base RI'!B122</f>
        <v>Pully</v>
      </c>
      <c r="C123" s="52">
        <f>'A) Base RI'!AN122</f>
        <v>17811</v>
      </c>
      <c r="D123" s="14">
        <f t="shared" si="8"/>
        <v>1000</v>
      </c>
      <c r="E123" s="19">
        <f t="shared" si="7"/>
        <v>2000</v>
      </c>
      <c r="F123" s="14">
        <f t="shared" si="7"/>
        <v>2000</v>
      </c>
      <c r="G123" s="19">
        <f t="shared" si="7"/>
        <v>4000</v>
      </c>
      <c r="H123" s="52">
        <f t="shared" si="7"/>
        <v>3000</v>
      </c>
      <c r="I123" s="14">
        <f t="shared" si="7"/>
        <v>3000</v>
      </c>
      <c r="J123" s="14">
        <f t="shared" si="5"/>
        <v>2811</v>
      </c>
      <c r="K123" s="152">
        <f t="shared" si="6"/>
        <v>12573767.806841046</v>
      </c>
    </row>
    <row r="124" spans="1:11" x14ac:dyDescent="0.25">
      <c r="A124" s="61">
        <f>'A) Base RI'!A123</f>
        <v>5591</v>
      </c>
      <c r="B124" s="13" t="str">
        <f>'A) Base RI'!B123</f>
        <v>Renens</v>
      </c>
      <c r="C124" s="52">
        <f>'A) Base RI'!AN123</f>
        <v>20362</v>
      </c>
      <c r="D124" s="14">
        <f t="shared" si="8"/>
        <v>1000</v>
      </c>
      <c r="E124" s="19">
        <f t="shared" si="7"/>
        <v>2000</v>
      </c>
      <c r="F124" s="14">
        <f t="shared" si="7"/>
        <v>2000</v>
      </c>
      <c r="G124" s="19">
        <f t="shared" si="7"/>
        <v>4000</v>
      </c>
      <c r="H124" s="52">
        <f t="shared" si="7"/>
        <v>3000</v>
      </c>
      <c r="I124" s="14">
        <f t="shared" si="7"/>
        <v>3000</v>
      </c>
      <c r="J124" s="14">
        <f t="shared" si="5"/>
        <v>5362</v>
      </c>
      <c r="K124" s="152">
        <f t="shared" si="6"/>
        <v>15225370.623742454</v>
      </c>
    </row>
    <row r="125" spans="1:11" x14ac:dyDescent="0.25">
      <c r="A125" s="61">
        <f>'A) Base RI'!A124</f>
        <v>5592</v>
      </c>
      <c r="B125" s="13" t="str">
        <f>'A) Base RI'!B124</f>
        <v>Romanel-sur-Lausanne</v>
      </c>
      <c r="C125" s="52">
        <f>'A) Base RI'!AN124</f>
        <v>3351</v>
      </c>
      <c r="D125" s="14">
        <f t="shared" si="8"/>
        <v>1000</v>
      </c>
      <c r="E125" s="19">
        <f t="shared" si="7"/>
        <v>2000</v>
      </c>
      <c r="F125" s="14">
        <f t="shared" si="7"/>
        <v>351</v>
      </c>
      <c r="G125" s="19">
        <f t="shared" si="7"/>
        <v>0</v>
      </c>
      <c r="H125" s="52">
        <f t="shared" si="7"/>
        <v>0</v>
      </c>
      <c r="I125" s="14">
        <f t="shared" si="7"/>
        <v>0</v>
      </c>
      <c r="J125" s="14">
        <f t="shared" si="5"/>
        <v>0</v>
      </c>
      <c r="K125" s="152">
        <f t="shared" si="6"/>
        <v>965686.11670020118</v>
      </c>
    </row>
    <row r="126" spans="1:11" x14ac:dyDescent="0.25">
      <c r="A126" s="61">
        <f>'A) Base RI'!A125</f>
        <v>5601</v>
      </c>
      <c r="B126" s="13" t="str">
        <f>'A) Base RI'!B125</f>
        <v>Chexbres</v>
      </c>
      <c r="C126" s="52">
        <f>'A) Base RI'!AN125</f>
        <v>2218</v>
      </c>
      <c r="D126" s="14">
        <f t="shared" si="8"/>
        <v>1000</v>
      </c>
      <c r="E126" s="19">
        <f t="shared" si="7"/>
        <v>1218</v>
      </c>
      <c r="F126" s="14">
        <f t="shared" si="7"/>
        <v>0</v>
      </c>
      <c r="G126" s="19">
        <f t="shared" si="7"/>
        <v>0</v>
      </c>
      <c r="H126" s="52">
        <f t="shared" si="7"/>
        <v>0</v>
      </c>
      <c r="I126" s="14">
        <f t="shared" si="7"/>
        <v>0</v>
      </c>
      <c r="J126" s="14">
        <f t="shared" si="5"/>
        <v>0</v>
      </c>
      <c r="K126" s="152">
        <f t="shared" si="6"/>
        <v>521005.23138832994</v>
      </c>
    </row>
    <row r="127" spans="1:11" x14ac:dyDescent="0.25">
      <c r="A127" s="61">
        <f>'A) Base RI'!A126</f>
        <v>5604</v>
      </c>
      <c r="B127" s="13" t="str">
        <f>'A) Base RI'!B126</f>
        <v>Forel (Lavaux)</v>
      </c>
      <c r="C127" s="52">
        <f>'A) Base RI'!AN126</f>
        <v>2085</v>
      </c>
      <c r="D127" s="14">
        <f t="shared" si="8"/>
        <v>1000</v>
      </c>
      <c r="E127" s="19">
        <f t="shared" si="7"/>
        <v>1085</v>
      </c>
      <c r="F127" s="14">
        <f t="shared" si="7"/>
        <v>0</v>
      </c>
      <c r="G127" s="19">
        <f t="shared" si="7"/>
        <v>0</v>
      </c>
      <c r="H127" s="52">
        <f t="shared" si="7"/>
        <v>0</v>
      </c>
      <c r="I127" s="14">
        <f t="shared" si="7"/>
        <v>0</v>
      </c>
      <c r="J127" s="14">
        <f t="shared" si="5"/>
        <v>0</v>
      </c>
      <c r="K127" s="152">
        <f t="shared" si="6"/>
        <v>474923.54124748491</v>
      </c>
    </row>
    <row r="128" spans="1:11" x14ac:dyDescent="0.25">
      <c r="A128" s="61">
        <f>'A) Base RI'!A127</f>
        <v>5606</v>
      </c>
      <c r="B128" s="13" t="str">
        <f>'A) Base RI'!B127</f>
        <v>Lutry</v>
      </c>
      <c r="C128" s="52">
        <f>'A) Base RI'!AN127</f>
        <v>9739</v>
      </c>
      <c r="D128" s="14">
        <f t="shared" si="8"/>
        <v>1000</v>
      </c>
      <c r="E128" s="19">
        <f t="shared" si="7"/>
        <v>2000</v>
      </c>
      <c r="F128" s="14">
        <f t="shared" si="7"/>
        <v>2000</v>
      </c>
      <c r="G128" s="19">
        <f t="shared" si="7"/>
        <v>4000</v>
      </c>
      <c r="H128" s="52">
        <f t="shared" si="7"/>
        <v>739</v>
      </c>
      <c r="I128" s="14">
        <f t="shared" si="7"/>
        <v>0</v>
      </c>
      <c r="J128" s="14">
        <f t="shared" si="5"/>
        <v>0</v>
      </c>
      <c r="K128" s="152">
        <f t="shared" si="6"/>
        <v>4779577.0623742454</v>
      </c>
    </row>
    <row r="129" spans="1:11" x14ac:dyDescent="0.25">
      <c r="A129" s="61">
        <f>'A) Base RI'!A128</f>
        <v>5607</v>
      </c>
      <c r="B129" s="13" t="str">
        <f>'A) Base RI'!B128</f>
        <v>Puidoux</v>
      </c>
      <c r="C129" s="52">
        <f>'A) Base RI'!AN128</f>
        <v>2858</v>
      </c>
      <c r="D129" s="14">
        <f t="shared" si="8"/>
        <v>1000</v>
      </c>
      <c r="E129" s="19">
        <f t="shared" si="7"/>
        <v>1858</v>
      </c>
      <c r="F129" s="14">
        <f t="shared" si="7"/>
        <v>0</v>
      </c>
      <c r="G129" s="19">
        <f t="shared" si="7"/>
        <v>0</v>
      </c>
      <c r="H129" s="52">
        <f t="shared" si="7"/>
        <v>0</v>
      </c>
      <c r="I129" s="14">
        <f t="shared" si="7"/>
        <v>0</v>
      </c>
      <c r="J129" s="14">
        <f t="shared" si="5"/>
        <v>0</v>
      </c>
      <c r="K129" s="152">
        <f t="shared" si="6"/>
        <v>742751.71026156936</v>
      </c>
    </row>
    <row r="130" spans="1:11" x14ac:dyDescent="0.25">
      <c r="A130" s="61">
        <f>'A) Base RI'!A129</f>
        <v>5609</v>
      </c>
      <c r="B130" s="13" t="str">
        <f>'A) Base RI'!B129</f>
        <v>Rivaz</v>
      </c>
      <c r="C130" s="52">
        <f>'A) Base RI'!AN129</f>
        <v>360</v>
      </c>
      <c r="D130" s="14">
        <f t="shared" si="8"/>
        <v>360</v>
      </c>
      <c r="E130" s="19">
        <f t="shared" si="7"/>
        <v>0</v>
      </c>
      <c r="F130" s="14">
        <f t="shared" si="7"/>
        <v>0</v>
      </c>
      <c r="G130" s="19">
        <f t="shared" si="7"/>
        <v>0</v>
      </c>
      <c r="H130" s="52">
        <f t="shared" si="7"/>
        <v>0</v>
      </c>
      <c r="I130" s="14">
        <f t="shared" si="7"/>
        <v>0</v>
      </c>
      <c r="J130" s="14">
        <f t="shared" si="5"/>
        <v>0</v>
      </c>
      <c r="K130" s="152">
        <f t="shared" si="6"/>
        <v>35637.826961770625</v>
      </c>
    </row>
    <row r="131" spans="1:11" x14ac:dyDescent="0.25">
      <c r="A131" s="61">
        <f>'A) Base RI'!A130</f>
        <v>5610</v>
      </c>
      <c r="B131" s="13" t="str">
        <f>'A) Base RI'!B130</f>
        <v>St-Saphorin (Lavaux)</v>
      </c>
      <c r="C131" s="52">
        <f>'A) Base RI'!AN130</f>
        <v>383</v>
      </c>
      <c r="D131" s="14">
        <f t="shared" si="8"/>
        <v>383</v>
      </c>
      <c r="E131" s="19">
        <f t="shared" si="7"/>
        <v>0</v>
      </c>
      <c r="F131" s="14">
        <f t="shared" si="7"/>
        <v>0</v>
      </c>
      <c r="G131" s="19">
        <f t="shared" si="7"/>
        <v>0</v>
      </c>
      <c r="H131" s="52">
        <f t="shared" si="7"/>
        <v>0</v>
      </c>
      <c r="I131" s="14">
        <f t="shared" si="7"/>
        <v>0</v>
      </c>
      <c r="J131" s="14">
        <f t="shared" si="5"/>
        <v>0</v>
      </c>
      <c r="K131" s="152">
        <f t="shared" si="6"/>
        <v>37914.688128772636</v>
      </c>
    </row>
    <row r="132" spans="1:11" x14ac:dyDescent="0.25">
      <c r="A132" s="61">
        <f>'A) Base RI'!A131</f>
        <v>5611</v>
      </c>
      <c r="B132" s="13" t="str">
        <f>'A) Base RI'!B131</f>
        <v>Savigny</v>
      </c>
      <c r="C132" s="52">
        <f>'A) Base RI'!AN131</f>
        <v>3304</v>
      </c>
      <c r="D132" s="14">
        <f t="shared" si="8"/>
        <v>1000</v>
      </c>
      <c r="E132" s="19">
        <f t="shared" si="7"/>
        <v>2000</v>
      </c>
      <c r="F132" s="14">
        <f t="shared" si="7"/>
        <v>304</v>
      </c>
      <c r="G132" s="19">
        <f t="shared" si="7"/>
        <v>0</v>
      </c>
      <c r="H132" s="52">
        <f t="shared" si="7"/>
        <v>0</v>
      </c>
      <c r="I132" s="14">
        <f t="shared" si="7"/>
        <v>0</v>
      </c>
      <c r="J132" s="14">
        <f t="shared" si="5"/>
        <v>0</v>
      </c>
      <c r="K132" s="152">
        <f t="shared" si="6"/>
        <v>942422.53521126753</v>
      </c>
    </row>
    <row r="133" spans="1:11" x14ac:dyDescent="0.25">
      <c r="A133" s="61">
        <f>'A) Base RI'!A132</f>
        <v>5613</v>
      </c>
      <c r="B133" s="13" t="str">
        <f>'A) Base RI'!B132</f>
        <v>Bourg-en-Lavaux</v>
      </c>
      <c r="C133" s="52">
        <f>'A) Base RI'!AN132</f>
        <v>5247</v>
      </c>
      <c r="D133" s="14">
        <f t="shared" si="8"/>
        <v>1000</v>
      </c>
      <c r="E133" s="19">
        <f t="shared" si="7"/>
        <v>2000</v>
      </c>
      <c r="F133" s="14">
        <f t="shared" si="7"/>
        <v>2000</v>
      </c>
      <c r="G133" s="19">
        <f t="shared" si="7"/>
        <v>247</v>
      </c>
      <c r="H133" s="52">
        <f t="shared" si="7"/>
        <v>0</v>
      </c>
      <c r="I133" s="14">
        <f t="shared" si="7"/>
        <v>0</v>
      </c>
      <c r="J133" s="14">
        <f t="shared" si="5"/>
        <v>0</v>
      </c>
      <c r="K133" s="152">
        <f t="shared" si="6"/>
        <v>1928600.402414487</v>
      </c>
    </row>
    <row r="134" spans="1:11" x14ac:dyDescent="0.25">
      <c r="A134" s="61">
        <f>'A) Base RI'!A133</f>
        <v>5621</v>
      </c>
      <c r="B134" s="13" t="str">
        <f>'A) Base RI'!B133</f>
        <v>Aclens</v>
      </c>
      <c r="C134" s="52">
        <f>'A) Base RI'!AN133</f>
        <v>528</v>
      </c>
      <c r="D134" s="14">
        <f t="shared" si="8"/>
        <v>528</v>
      </c>
      <c r="E134" s="19">
        <f t="shared" si="7"/>
        <v>0</v>
      </c>
      <c r="F134" s="14">
        <f t="shared" si="7"/>
        <v>0</v>
      </c>
      <c r="G134" s="19">
        <f t="shared" si="7"/>
        <v>0</v>
      </c>
      <c r="H134" s="52">
        <f t="shared" si="7"/>
        <v>0</v>
      </c>
      <c r="I134" s="14">
        <f t="shared" si="7"/>
        <v>0</v>
      </c>
      <c r="J134" s="14">
        <f t="shared" si="5"/>
        <v>0</v>
      </c>
      <c r="K134" s="152">
        <f t="shared" si="6"/>
        <v>52268.812877263576</v>
      </c>
    </row>
    <row r="135" spans="1:11" x14ac:dyDescent="0.25">
      <c r="A135" s="61">
        <f>'A) Base RI'!A134</f>
        <v>5622</v>
      </c>
      <c r="B135" s="13" t="str">
        <f>'A) Base RI'!B134</f>
        <v>Bremblens</v>
      </c>
      <c r="C135" s="52">
        <f>'A) Base RI'!AN134</f>
        <v>511</v>
      </c>
      <c r="D135" s="14">
        <f t="shared" si="8"/>
        <v>511</v>
      </c>
      <c r="E135" s="19">
        <f t="shared" si="7"/>
        <v>0</v>
      </c>
      <c r="F135" s="14">
        <f t="shared" si="7"/>
        <v>0</v>
      </c>
      <c r="G135" s="19">
        <f t="shared" si="7"/>
        <v>0</v>
      </c>
      <c r="H135" s="52">
        <f t="shared" si="7"/>
        <v>0</v>
      </c>
      <c r="I135" s="14">
        <f t="shared" si="7"/>
        <v>0</v>
      </c>
      <c r="J135" s="14">
        <f t="shared" si="5"/>
        <v>0</v>
      </c>
      <c r="K135" s="152">
        <f t="shared" si="6"/>
        <v>50585.915492957742</v>
      </c>
    </row>
    <row r="136" spans="1:11" x14ac:dyDescent="0.25">
      <c r="A136" s="61">
        <f>'A) Base RI'!A135</f>
        <v>5623</v>
      </c>
      <c r="B136" s="13" t="str">
        <f>'A) Base RI'!B135</f>
        <v>Buchillon</v>
      </c>
      <c r="C136" s="52">
        <f>'A) Base RI'!AN135</f>
        <v>624</v>
      </c>
      <c r="D136" s="14">
        <f t="shared" si="8"/>
        <v>624</v>
      </c>
      <c r="E136" s="19">
        <f t="shared" si="7"/>
        <v>0</v>
      </c>
      <c r="F136" s="14">
        <f t="shared" si="7"/>
        <v>0</v>
      </c>
      <c r="G136" s="19">
        <f t="shared" si="7"/>
        <v>0</v>
      </c>
      <c r="H136" s="52">
        <f t="shared" si="7"/>
        <v>0</v>
      </c>
      <c r="I136" s="14">
        <f t="shared" si="7"/>
        <v>0</v>
      </c>
      <c r="J136" s="14">
        <f t="shared" si="5"/>
        <v>0</v>
      </c>
      <c r="K136" s="152">
        <f t="shared" si="6"/>
        <v>61772.233400402409</v>
      </c>
    </row>
    <row r="137" spans="1:11" x14ac:dyDescent="0.25">
      <c r="A137" s="61">
        <f>'A) Base RI'!A136</f>
        <v>5624</v>
      </c>
      <c r="B137" s="13" t="str">
        <f>'A) Base RI'!B136</f>
        <v>Bussigny</v>
      </c>
      <c r="C137" s="52">
        <f>'A) Base RI'!AN136</f>
        <v>8215</v>
      </c>
      <c r="D137" s="14">
        <f t="shared" si="8"/>
        <v>1000</v>
      </c>
      <c r="E137" s="19">
        <f t="shared" si="7"/>
        <v>2000</v>
      </c>
      <c r="F137" s="14">
        <f t="shared" si="7"/>
        <v>2000</v>
      </c>
      <c r="G137" s="19">
        <f t="shared" si="7"/>
        <v>3215</v>
      </c>
      <c r="H137" s="52">
        <f t="shared" si="7"/>
        <v>0</v>
      </c>
      <c r="I137" s="14">
        <f t="shared" si="7"/>
        <v>0</v>
      </c>
      <c r="J137" s="14">
        <f t="shared" ref="J137:J200" si="9">IF(C137&gt;$J$4,C137-$J$4,0)</f>
        <v>0</v>
      </c>
      <c r="K137" s="152">
        <f t="shared" ref="K137:K200" si="10">(D137*D$7)+(E137*E$7)+(F137*F$7)+(G137*G$7)+(H137*H$7)+(I137*I$7)+(J137*J$7)</f>
        <v>3691484.9094567406</v>
      </c>
    </row>
    <row r="138" spans="1:11" x14ac:dyDescent="0.25">
      <c r="A138" s="61">
        <f>'A) Base RI'!A137</f>
        <v>5625</v>
      </c>
      <c r="B138" s="13" t="str">
        <f>'A) Base RI'!B137</f>
        <v>Bussy-Chardonney</v>
      </c>
      <c r="C138" s="52">
        <f>'A) Base RI'!AN137</f>
        <v>377</v>
      </c>
      <c r="D138" s="14">
        <f t="shared" si="8"/>
        <v>377</v>
      </c>
      <c r="E138" s="19">
        <f t="shared" si="7"/>
        <v>0</v>
      </c>
      <c r="F138" s="14">
        <f t="shared" si="7"/>
        <v>0</v>
      </c>
      <c r="G138" s="19">
        <f t="shared" si="7"/>
        <v>0</v>
      </c>
      <c r="H138" s="52">
        <f t="shared" si="7"/>
        <v>0</v>
      </c>
      <c r="I138" s="14">
        <f t="shared" si="7"/>
        <v>0</v>
      </c>
      <c r="J138" s="14">
        <f t="shared" si="9"/>
        <v>0</v>
      </c>
      <c r="K138" s="152">
        <f t="shared" si="10"/>
        <v>37320.724346076458</v>
      </c>
    </row>
    <row r="139" spans="1:11" x14ac:dyDescent="0.25">
      <c r="A139" s="61">
        <f>'A) Base RI'!A138</f>
        <v>5627</v>
      </c>
      <c r="B139" s="13" t="str">
        <f>'A) Base RI'!B138</f>
        <v>Chavannes-près-Renens</v>
      </c>
      <c r="C139" s="52">
        <f>'A) Base RI'!AN138</f>
        <v>7374</v>
      </c>
      <c r="D139" s="14">
        <f t="shared" si="8"/>
        <v>1000</v>
      </c>
      <c r="E139" s="19">
        <f t="shared" si="7"/>
        <v>2000</v>
      </c>
      <c r="F139" s="14">
        <f t="shared" si="7"/>
        <v>2000</v>
      </c>
      <c r="G139" s="19">
        <f t="shared" si="7"/>
        <v>2374</v>
      </c>
      <c r="H139" s="52">
        <f t="shared" si="7"/>
        <v>0</v>
      </c>
      <c r="I139" s="14">
        <f t="shared" si="7"/>
        <v>0</v>
      </c>
      <c r="J139" s="14">
        <f t="shared" si="9"/>
        <v>0</v>
      </c>
      <c r="K139" s="152">
        <f t="shared" si="10"/>
        <v>3191961.3682092559</v>
      </c>
    </row>
    <row r="140" spans="1:11" x14ac:dyDescent="0.25">
      <c r="A140" s="61">
        <f>'A) Base RI'!A139</f>
        <v>5628</v>
      </c>
      <c r="B140" s="13" t="str">
        <f>'A) Base RI'!B139</f>
        <v>Chigny</v>
      </c>
      <c r="C140" s="52">
        <f>'A) Base RI'!AN139</f>
        <v>331</v>
      </c>
      <c r="D140" s="14">
        <f t="shared" si="8"/>
        <v>331</v>
      </c>
      <c r="E140" s="19">
        <f t="shared" si="7"/>
        <v>0</v>
      </c>
      <c r="F140" s="14">
        <f t="shared" si="7"/>
        <v>0</v>
      </c>
      <c r="G140" s="19">
        <f t="shared" si="7"/>
        <v>0</v>
      </c>
      <c r="H140" s="52">
        <f t="shared" si="7"/>
        <v>0</v>
      </c>
      <c r="I140" s="14">
        <f t="shared" si="7"/>
        <v>0</v>
      </c>
      <c r="J140" s="14">
        <f t="shared" si="9"/>
        <v>0</v>
      </c>
      <c r="K140" s="152">
        <f t="shared" si="10"/>
        <v>32767.002012072433</v>
      </c>
    </row>
    <row r="141" spans="1:11" x14ac:dyDescent="0.25">
      <c r="A141" s="61">
        <f>'A) Base RI'!A140</f>
        <v>5629</v>
      </c>
      <c r="B141" s="13" t="str">
        <f>'A) Base RI'!B140</f>
        <v>Clarmont</v>
      </c>
      <c r="C141" s="52">
        <f>'A) Base RI'!AN140</f>
        <v>160</v>
      </c>
      <c r="D141" s="14">
        <f t="shared" si="8"/>
        <v>160</v>
      </c>
      <c r="E141" s="19">
        <f t="shared" si="7"/>
        <v>0</v>
      </c>
      <c r="F141" s="14">
        <f t="shared" si="7"/>
        <v>0</v>
      </c>
      <c r="G141" s="19">
        <f t="shared" si="7"/>
        <v>0</v>
      </c>
      <c r="H141" s="52">
        <f t="shared" si="7"/>
        <v>0</v>
      </c>
      <c r="I141" s="14">
        <f t="shared" si="7"/>
        <v>0</v>
      </c>
      <c r="J141" s="14">
        <f t="shared" si="9"/>
        <v>0</v>
      </c>
      <c r="K141" s="152">
        <f t="shared" si="10"/>
        <v>15839.034205231386</v>
      </c>
    </row>
    <row r="142" spans="1:11" x14ac:dyDescent="0.25">
      <c r="A142" s="61">
        <f>'A) Base RI'!A141</f>
        <v>5631</v>
      </c>
      <c r="B142" s="13" t="str">
        <f>'A) Base RI'!B141</f>
        <v>Denens</v>
      </c>
      <c r="C142" s="52">
        <f>'A) Base RI'!AN141</f>
        <v>714</v>
      </c>
      <c r="D142" s="14">
        <f t="shared" si="8"/>
        <v>714</v>
      </c>
      <c r="E142" s="19">
        <f t="shared" si="7"/>
        <v>0</v>
      </c>
      <c r="F142" s="14">
        <f t="shared" si="7"/>
        <v>0</v>
      </c>
      <c r="G142" s="19">
        <f t="shared" si="7"/>
        <v>0</v>
      </c>
      <c r="H142" s="52">
        <f t="shared" si="7"/>
        <v>0</v>
      </c>
      <c r="I142" s="14">
        <f t="shared" si="7"/>
        <v>0</v>
      </c>
      <c r="J142" s="14">
        <f t="shared" si="9"/>
        <v>0</v>
      </c>
      <c r="K142" s="152">
        <f t="shared" si="10"/>
        <v>70681.690140845065</v>
      </c>
    </row>
    <row r="143" spans="1:11" x14ac:dyDescent="0.25">
      <c r="A143" s="61">
        <f>'A) Base RI'!A142</f>
        <v>5632</v>
      </c>
      <c r="B143" s="13" t="str">
        <f>'A) Base RI'!B142</f>
        <v>Denges</v>
      </c>
      <c r="C143" s="52">
        <f>'A) Base RI'!AN142</f>
        <v>1651</v>
      </c>
      <c r="D143" s="14">
        <f t="shared" si="8"/>
        <v>1000</v>
      </c>
      <c r="E143" s="19">
        <f t="shared" si="7"/>
        <v>651</v>
      </c>
      <c r="F143" s="14">
        <f t="shared" si="7"/>
        <v>0</v>
      </c>
      <c r="G143" s="19">
        <f t="shared" si="7"/>
        <v>0</v>
      </c>
      <c r="H143" s="52">
        <f t="shared" si="7"/>
        <v>0</v>
      </c>
      <c r="I143" s="14">
        <f t="shared" si="7"/>
        <v>0</v>
      </c>
      <c r="J143" s="14">
        <f t="shared" si="9"/>
        <v>0</v>
      </c>
      <c r="K143" s="152">
        <f t="shared" si="10"/>
        <v>324551.71026156942</v>
      </c>
    </row>
    <row r="144" spans="1:11" x14ac:dyDescent="0.25">
      <c r="A144" s="61">
        <f>'A) Base RI'!A143</f>
        <v>5633</v>
      </c>
      <c r="B144" s="13" t="str">
        <f>'A) Base RI'!B143</f>
        <v>Echandens</v>
      </c>
      <c r="C144" s="52">
        <f>'A) Base RI'!AN143</f>
        <v>2631</v>
      </c>
      <c r="D144" s="14">
        <f t="shared" si="8"/>
        <v>1000</v>
      </c>
      <c r="E144" s="19">
        <f t="shared" si="7"/>
        <v>1631</v>
      </c>
      <c r="F144" s="14">
        <f t="shared" si="7"/>
        <v>0</v>
      </c>
      <c r="G144" s="19">
        <f t="shared" si="7"/>
        <v>0</v>
      </c>
      <c r="H144" s="52">
        <f t="shared" si="7"/>
        <v>0</v>
      </c>
      <c r="I144" s="14">
        <f t="shared" si="7"/>
        <v>0</v>
      </c>
      <c r="J144" s="14">
        <f t="shared" si="9"/>
        <v>0</v>
      </c>
      <c r="K144" s="152">
        <f t="shared" si="10"/>
        <v>664101.00603621732</v>
      </c>
    </row>
    <row r="145" spans="1:11" x14ac:dyDescent="0.25">
      <c r="A145" s="61">
        <f>'A) Base RI'!A144</f>
        <v>5634</v>
      </c>
      <c r="B145" s="13" t="str">
        <f>'A) Base RI'!B144</f>
        <v>Echichens</v>
      </c>
      <c r="C145" s="52">
        <f>'A) Base RI'!AN144</f>
        <v>2585</v>
      </c>
      <c r="D145" s="14">
        <f t="shared" si="8"/>
        <v>1000</v>
      </c>
      <c r="E145" s="19">
        <f t="shared" si="7"/>
        <v>1585</v>
      </c>
      <c r="F145" s="14">
        <f t="shared" si="7"/>
        <v>0</v>
      </c>
      <c r="G145" s="19">
        <f t="shared" si="7"/>
        <v>0</v>
      </c>
      <c r="H145" s="52">
        <f t="shared" si="7"/>
        <v>0</v>
      </c>
      <c r="I145" s="14">
        <f t="shared" si="7"/>
        <v>0</v>
      </c>
      <c r="J145" s="14">
        <f t="shared" si="9"/>
        <v>0</v>
      </c>
      <c r="K145" s="152">
        <f t="shared" si="10"/>
        <v>648162.97786720318</v>
      </c>
    </row>
    <row r="146" spans="1:11" x14ac:dyDescent="0.25">
      <c r="A146" s="61">
        <f>'A) Base RI'!A145</f>
        <v>5635</v>
      </c>
      <c r="B146" s="13" t="str">
        <f>'A) Base RI'!B145</f>
        <v>Ecublens</v>
      </c>
      <c r="C146" s="52">
        <f>'A) Base RI'!AN145</f>
        <v>12288</v>
      </c>
      <c r="D146" s="14">
        <f t="shared" si="8"/>
        <v>1000</v>
      </c>
      <c r="E146" s="19">
        <f t="shared" si="7"/>
        <v>2000</v>
      </c>
      <c r="F146" s="14">
        <f t="shared" si="7"/>
        <v>2000</v>
      </c>
      <c r="G146" s="19">
        <f t="shared" si="7"/>
        <v>4000</v>
      </c>
      <c r="H146" s="52">
        <f t="shared" si="7"/>
        <v>3000</v>
      </c>
      <c r="I146" s="14">
        <f t="shared" si="7"/>
        <v>288</v>
      </c>
      <c r="J146" s="14">
        <f t="shared" si="9"/>
        <v>0</v>
      </c>
      <c r="K146" s="152">
        <f t="shared" si="10"/>
        <v>6967195.1710261572</v>
      </c>
    </row>
    <row r="147" spans="1:11" x14ac:dyDescent="0.25">
      <c r="A147" s="61">
        <f>'A) Base RI'!A146</f>
        <v>5636</v>
      </c>
      <c r="B147" s="13" t="str">
        <f>'A) Base RI'!B146</f>
        <v>Etoy</v>
      </c>
      <c r="C147" s="52">
        <f>'A) Base RI'!AN146</f>
        <v>2932</v>
      </c>
      <c r="D147" s="14">
        <f t="shared" si="8"/>
        <v>1000</v>
      </c>
      <c r="E147" s="19">
        <f t="shared" si="7"/>
        <v>1932</v>
      </c>
      <c r="F147" s="14">
        <f t="shared" si="7"/>
        <v>0</v>
      </c>
      <c r="G147" s="19">
        <f t="shared" si="7"/>
        <v>0</v>
      </c>
      <c r="H147" s="52">
        <f t="shared" si="7"/>
        <v>0</v>
      </c>
      <c r="I147" s="14">
        <f t="shared" si="7"/>
        <v>0</v>
      </c>
      <c r="J147" s="14">
        <f t="shared" si="9"/>
        <v>0</v>
      </c>
      <c r="K147" s="152">
        <f t="shared" si="10"/>
        <v>768391.14688128768</v>
      </c>
    </row>
    <row r="148" spans="1:11" x14ac:dyDescent="0.25">
      <c r="A148" s="61">
        <f>'A) Base RI'!A147</f>
        <v>5637</v>
      </c>
      <c r="B148" s="13" t="str">
        <f>'A) Base RI'!B147</f>
        <v>Lavigny</v>
      </c>
      <c r="C148" s="52">
        <f>'A) Base RI'!AN147</f>
        <v>981</v>
      </c>
      <c r="D148" s="14">
        <f t="shared" si="8"/>
        <v>981</v>
      </c>
      <c r="E148" s="19">
        <f t="shared" si="7"/>
        <v>0</v>
      </c>
      <c r="F148" s="14">
        <f t="shared" si="7"/>
        <v>0</v>
      </c>
      <c r="G148" s="19">
        <f t="shared" si="7"/>
        <v>0</v>
      </c>
      <c r="H148" s="52">
        <f t="shared" si="7"/>
        <v>0</v>
      </c>
      <c r="I148" s="14">
        <f t="shared" si="7"/>
        <v>0</v>
      </c>
      <c r="J148" s="14">
        <f t="shared" si="9"/>
        <v>0</v>
      </c>
      <c r="K148" s="152">
        <f t="shared" si="10"/>
        <v>97113.078470824941</v>
      </c>
    </row>
    <row r="149" spans="1:11" x14ac:dyDescent="0.25">
      <c r="A149" s="61">
        <f>'A) Base RI'!A148</f>
        <v>5638</v>
      </c>
      <c r="B149" s="13" t="str">
        <f>'A) Base RI'!B148</f>
        <v>Lonay</v>
      </c>
      <c r="C149" s="52">
        <f>'A) Base RI'!AN148</f>
        <v>2536</v>
      </c>
      <c r="D149" s="14">
        <f t="shared" si="8"/>
        <v>1000</v>
      </c>
      <c r="E149" s="19">
        <f t="shared" si="7"/>
        <v>1536</v>
      </c>
      <c r="F149" s="14">
        <f t="shared" si="7"/>
        <v>0</v>
      </c>
      <c r="G149" s="19">
        <f t="shared" si="7"/>
        <v>0</v>
      </c>
      <c r="H149" s="52">
        <f t="shared" si="7"/>
        <v>0</v>
      </c>
      <c r="I149" s="14">
        <f t="shared" si="7"/>
        <v>0</v>
      </c>
      <c r="J149" s="14">
        <f t="shared" si="9"/>
        <v>0</v>
      </c>
      <c r="K149" s="152">
        <f t="shared" si="10"/>
        <v>631185.51307847083</v>
      </c>
    </row>
    <row r="150" spans="1:11" x14ac:dyDescent="0.25">
      <c r="A150" s="61">
        <f>'A) Base RI'!A149</f>
        <v>5639</v>
      </c>
      <c r="B150" s="13" t="str">
        <f>'A) Base RI'!B149</f>
        <v>Lully</v>
      </c>
      <c r="C150" s="52">
        <f>'A) Base RI'!AN149</f>
        <v>760</v>
      </c>
      <c r="D150" s="14">
        <f t="shared" si="8"/>
        <v>760</v>
      </c>
      <c r="E150" s="19">
        <f t="shared" si="7"/>
        <v>0</v>
      </c>
      <c r="F150" s="14">
        <f t="shared" si="7"/>
        <v>0</v>
      </c>
      <c r="G150" s="19">
        <f t="shared" si="7"/>
        <v>0</v>
      </c>
      <c r="H150" s="52">
        <f t="shared" si="7"/>
        <v>0</v>
      </c>
      <c r="I150" s="14">
        <f t="shared" si="7"/>
        <v>0</v>
      </c>
      <c r="J150" s="14">
        <f t="shared" si="9"/>
        <v>0</v>
      </c>
      <c r="K150" s="152">
        <f t="shared" si="10"/>
        <v>75235.412474849087</v>
      </c>
    </row>
    <row r="151" spans="1:11" x14ac:dyDescent="0.25">
      <c r="A151" s="61">
        <f>'A) Base RI'!A150</f>
        <v>5640</v>
      </c>
      <c r="B151" s="13" t="str">
        <f>'A) Base RI'!B150</f>
        <v>Lussy-sur-Morges</v>
      </c>
      <c r="C151" s="52">
        <f>'A) Base RI'!AN150</f>
        <v>646</v>
      </c>
      <c r="D151" s="14">
        <f t="shared" si="8"/>
        <v>646</v>
      </c>
      <c r="E151" s="19">
        <f t="shared" si="7"/>
        <v>0</v>
      </c>
      <c r="F151" s="14">
        <f t="shared" si="7"/>
        <v>0</v>
      </c>
      <c r="G151" s="19">
        <f t="shared" si="7"/>
        <v>0</v>
      </c>
      <c r="H151" s="52">
        <f t="shared" si="7"/>
        <v>0</v>
      </c>
      <c r="I151" s="14">
        <f t="shared" si="7"/>
        <v>0</v>
      </c>
      <c r="J151" s="14">
        <f t="shared" si="9"/>
        <v>0</v>
      </c>
      <c r="K151" s="152">
        <f t="shared" si="10"/>
        <v>63950.100603621722</v>
      </c>
    </row>
    <row r="152" spans="1:11" x14ac:dyDescent="0.25">
      <c r="A152" s="61">
        <f>'A) Base RI'!A151</f>
        <v>5642</v>
      </c>
      <c r="B152" s="13" t="str">
        <f>'A) Base RI'!B151</f>
        <v>Morges</v>
      </c>
      <c r="C152" s="52">
        <f>'A) Base RI'!AN151</f>
        <v>15623</v>
      </c>
      <c r="D152" s="14">
        <f t="shared" si="8"/>
        <v>1000</v>
      </c>
      <c r="E152" s="19">
        <f t="shared" si="7"/>
        <v>2000</v>
      </c>
      <c r="F152" s="14">
        <f t="shared" si="7"/>
        <v>2000</v>
      </c>
      <c r="G152" s="19">
        <f t="shared" si="7"/>
        <v>4000</v>
      </c>
      <c r="H152" s="52">
        <f t="shared" si="7"/>
        <v>3000</v>
      </c>
      <c r="I152" s="14">
        <f t="shared" si="7"/>
        <v>3000</v>
      </c>
      <c r="J152" s="14">
        <f t="shared" si="9"/>
        <v>623</v>
      </c>
      <c r="K152" s="152">
        <f t="shared" si="10"/>
        <v>10299480.482897384</v>
      </c>
    </row>
    <row r="153" spans="1:11" x14ac:dyDescent="0.25">
      <c r="A153" s="61">
        <f>'A) Base RI'!A152</f>
        <v>5643</v>
      </c>
      <c r="B153" s="13" t="str">
        <f>'A) Base RI'!B152</f>
        <v>Préverenges</v>
      </c>
      <c r="C153" s="52">
        <f>'A) Base RI'!AN152</f>
        <v>5263</v>
      </c>
      <c r="D153" s="14">
        <f t="shared" si="8"/>
        <v>1000</v>
      </c>
      <c r="E153" s="19">
        <f t="shared" si="7"/>
        <v>2000</v>
      </c>
      <c r="F153" s="14">
        <f t="shared" si="7"/>
        <v>2000</v>
      </c>
      <c r="G153" s="19">
        <f t="shared" si="7"/>
        <v>263</v>
      </c>
      <c r="H153" s="52">
        <f t="shared" si="7"/>
        <v>0</v>
      </c>
      <c r="I153" s="14">
        <f t="shared" si="7"/>
        <v>0</v>
      </c>
      <c r="J153" s="14">
        <f t="shared" si="9"/>
        <v>0</v>
      </c>
      <c r="K153" s="152">
        <f t="shared" si="10"/>
        <v>1938103.8229376259</v>
      </c>
    </row>
    <row r="154" spans="1:11" x14ac:dyDescent="0.25">
      <c r="A154" s="61">
        <f>'A) Base RI'!A153</f>
        <v>5644</v>
      </c>
      <c r="B154" s="13" t="str">
        <f>'A) Base RI'!B153</f>
        <v>Reverolle</v>
      </c>
      <c r="C154" s="52">
        <f>'A) Base RI'!AN153</f>
        <v>360</v>
      </c>
      <c r="D154" s="14">
        <f t="shared" si="8"/>
        <v>360</v>
      </c>
      <c r="E154" s="19">
        <f t="shared" si="7"/>
        <v>0</v>
      </c>
      <c r="F154" s="14">
        <f t="shared" si="7"/>
        <v>0</v>
      </c>
      <c r="G154" s="19">
        <f t="shared" si="7"/>
        <v>0</v>
      </c>
      <c r="H154" s="52">
        <f t="shared" si="7"/>
        <v>0</v>
      </c>
      <c r="I154" s="14">
        <f t="shared" si="7"/>
        <v>0</v>
      </c>
      <c r="J154" s="14">
        <f t="shared" si="9"/>
        <v>0</v>
      </c>
      <c r="K154" s="152">
        <f t="shared" si="10"/>
        <v>35637.826961770625</v>
      </c>
    </row>
    <row r="155" spans="1:11" x14ac:dyDescent="0.25">
      <c r="A155" s="61">
        <f>'A) Base RI'!A154</f>
        <v>5645</v>
      </c>
      <c r="B155" s="13" t="str">
        <f>'A) Base RI'!B154</f>
        <v>Romanel-sur-Morges</v>
      </c>
      <c r="C155" s="52">
        <f>'A) Base RI'!AN154</f>
        <v>459</v>
      </c>
      <c r="D155" s="14">
        <f t="shared" si="8"/>
        <v>459</v>
      </c>
      <c r="E155" s="19">
        <f t="shared" si="7"/>
        <v>0</v>
      </c>
      <c r="F155" s="14">
        <f t="shared" si="7"/>
        <v>0</v>
      </c>
      <c r="G155" s="19">
        <f t="shared" si="7"/>
        <v>0</v>
      </c>
      <c r="H155" s="52">
        <f t="shared" si="7"/>
        <v>0</v>
      </c>
      <c r="I155" s="14">
        <f t="shared" si="7"/>
        <v>0</v>
      </c>
      <c r="J155" s="14">
        <f t="shared" si="9"/>
        <v>0</v>
      </c>
      <c r="K155" s="152">
        <f t="shared" si="10"/>
        <v>45438.229376257543</v>
      </c>
    </row>
    <row r="156" spans="1:11" x14ac:dyDescent="0.25">
      <c r="A156" s="61">
        <f>'A) Base RI'!A155</f>
        <v>5646</v>
      </c>
      <c r="B156" s="13" t="str">
        <f>'A) Base RI'!B155</f>
        <v>Saint-Prex</v>
      </c>
      <c r="C156" s="52">
        <f>'A) Base RI'!AN155</f>
        <v>5604</v>
      </c>
      <c r="D156" s="14">
        <f t="shared" si="8"/>
        <v>1000</v>
      </c>
      <c r="E156" s="19">
        <f t="shared" si="7"/>
        <v>2000</v>
      </c>
      <c r="F156" s="14">
        <f t="shared" si="7"/>
        <v>2000</v>
      </c>
      <c r="G156" s="19">
        <f t="shared" si="7"/>
        <v>604</v>
      </c>
      <c r="H156" s="52">
        <f t="shared" si="7"/>
        <v>0</v>
      </c>
      <c r="I156" s="14">
        <f t="shared" si="7"/>
        <v>0</v>
      </c>
      <c r="J156" s="14">
        <f t="shared" si="9"/>
        <v>0</v>
      </c>
      <c r="K156" s="152">
        <f t="shared" si="10"/>
        <v>2140645.4728370225</v>
      </c>
    </row>
    <row r="157" spans="1:11" x14ac:dyDescent="0.25">
      <c r="A157" s="61">
        <f>'A) Base RI'!A156</f>
        <v>5648</v>
      </c>
      <c r="B157" s="13" t="str">
        <f>'A) Base RI'!B156</f>
        <v>Saint-Sulpice</v>
      </c>
      <c r="C157" s="52">
        <f>'A) Base RI'!AN156</f>
        <v>3898</v>
      </c>
      <c r="D157" s="14">
        <f t="shared" si="8"/>
        <v>1000</v>
      </c>
      <c r="E157" s="19">
        <f t="shared" si="7"/>
        <v>2000</v>
      </c>
      <c r="F157" s="14">
        <f t="shared" si="7"/>
        <v>898</v>
      </c>
      <c r="G157" s="19">
        <f t="shared" ref="E157:I208" si="11">IF($C157&gt;G$4,IF($C157&lt;G$5,$C157-G$4,G$5-G$4),0)</f>
        <v>0</v>
      </c>
      <c r="H157" s="52">
        <f t="shared" si="11"/>
        <v>0</v>
      </c>
      <c r="I157" s="14">
        <f t="shared" si="11"/>
        <v>0</v>
      </c>
      <c r="J157" s="14">
        <f t="shared" si="9"/>
        <v>0</v>
      </c>
      <c r="K157" s="152">
        <f t="shared" si="10"/>
        <v>1236434.6076458753</v>
      </c>
    </row>
    <row r="158" spans="1:11" x14ac:dyDescent="0.25">
      <c r="A158" s="61">
        <f>'A) Base RI'!A157</f>
        <v>5649</v>
      </c>
      <c r="B158" s="13" t="str">
        <f>'A) Base RI'!B157</f>
        <v>Tolochenaz</v>
      </c>
      <c r="C158" s="52">
        <f>'A) Base RI'!AN157</f>
        <v>1855</v>
      </c>
      <c r="D158" s="14">
        <f t="shared" si="8"/>
        <v>1000</v>
      </c>
      <c r="E158" s="19">
        <f t="shared" si="11"/>
        <v>855</v>
      </c>
      <c r="F158" s="14">
        <f t="shared" si="11"/>
        <v>0</v>
      </c>
      <c r="G158" s="19">
        <f t="shared" si="11"/>
        <v>0</v>
      </c>
      <c r="H158" s="52">
        <f t="shared" si="11"/>
        <v>0</v>
      </c>
      <c r="I158" s="14">
        <f t="shared" si="11"/>
        <v>0</v>
      </c>
      <c r="J158" s="14">
        <f t="shared" si="9"/>
        <v>0</v>
      </c>
      <c r="K158" s="152">
        <f t="shared" si="10"/>
        <v>395233.4004024145</v>
      </c>
    </row>
    <row r="159" spans="1:11" x14ac:dyDescent="0.25">
      <c r="A159" s="61">
        <f>'A) Base RI'!A158</f>
        <v>5650</v>
      </c>
      <c r="B159" s="13" t="str">
        <f>'A) Base RI'!B158</f>
        <v>Vaux-sur-Morges</v>
      </c>
      <c r="C159" s="52">
        <f>'A) Base RI'!AN158</f>
        <v>203</v>
      </c>
      <c r="D159" s="14">
        <f t="shared" si="8"/>
        <v>203</v>
      </c>
      <c r="E159" s="19">
        <f t="shared" si="11"/>
        <v>0</v>
      </c>
      <c r="F159" s="14">
        <f t="shared" si="11"/>
        <v>0</v>
      </c>
      <c r="G159" s="19">
        <f t="shared" si="11"/>
        <v>0</v>
      </c>
      <c r="H159" s="52">
        <f t="shared" si="11"/>
        <v>0</v>
      </c>
      <c r="I159" s="14">
        <f t="shared" si="11"/>
        <v>0</v>
      </c>
      <c r="J159" s="14">
        <f t="shared" si="9"/>
        <v>0</v>
      </c>
      <c r="K159" s="152">
        <f t="shared" si="10"/>
        <v>20095.774647887323</v>
      </c>
    </row>
    <row r="160" spans="1:11" x14ac:dyDescent="0.25">
      <c r="A160" s="61">
        <f>'A) Base RI'!A159</f>
        <v>5651</v>
      </c>
      <c r="B160" s="13" t="str">
        <f>'A) Base RI'!B159</f>
        <v>Villars-Sainte-Croix</v>
      </c>
      <c r="C160" s="52">
        <f>'A) Base RI'!AN159</f>
        <v>709</v>
      </c>
      <c r="D160" s="14">
        <f t="shared" si="8"/>
        <v>709</v>
      </c>
      <c r="E160" s="19">
        <f t="shared" si="11"/>
        <v>0</v>
      </c>
      <c r="F160" s="14">
        <f t="shared" si="11"/>
        <v>0</v>
      </c>
      <c r="G160" s="19">
        <f t="shared" si="11"/>
        <v>0</v>
      </c>
      <c r="H160" s="52">
        <f t="shared" si="11"/>
        <v>0</v>
      </c>
      <c r="I160" s="14">
        <f t="shared" si="11"/>
        <v>0</v>
      </c>
      <c r="J160" s="14">
        <f t="shared" si="9"/>
        <v>0</v>
      </c>
      <c r="K160" s="152">
        <f t="shared" si="10"/>
        <v>70186.720321931585</v>
      </c>
    </row>
    <row r="161" spans="1:11" x14ac:dyDescent="0.25">
      <c r="A161" s="61">
        <f>'A) Base RI'!A160</f>
        <v>5652</v>
      </c>
      <c r="B161" s="13" t="str">
        <f>'A) Base RI'!B160</f>
        <v>Villars-sous-Yens</v>
      </c>
      <c r="C161" s="52">
        <f>'A) Base RI'!AN160</f>
        <v>564</v>
      </c>
      <c r="D161" s="14">
        <f t="shared" si="8"/>
        <v>564</v>
      </c>
      <c r="E161" s="19">
        <f t="shared" si="11"/>
        <v>0</v>
      </c>
      <c r="F161" s="14">
        <f t="shared" si="11"/>
        <v>0</v>
      </c>
      <c r="G161" s="19">
        <f t="shared" si="11"/>
        <v>0</v>
      </c>
      <c r="H161" s="52">
        <f t="shared" si="11"/>
        <v>0</v>
      </c>
      <c r="I161" s="14">
        <f t="shared" si="11"/>
        <v>0</v>
      </c>
      <c r="J161" s="14">
        <f t="shared" si="9"/>
        <v>0</v>
      </c>
      <c r="K161" s="152">
        <f t="shared" si="10"/>
        <v>55832.595573440638</v>
      </c>
    </row>
    <row r="162" spans="1:11" x14ac:dyDescent="0.25">
      <c r="A162" s="61">
        <f>'A) Base RI'!A161</f>
        <v>5653</v>
      </c>
      <c r="B162" s="13" t="str">
        <f>'A) Base RI'!B161</f>
        <v>Vufflens-le-Château</v>
      </c>
      <c r="C162" s="52">
        <f>'A) Base RI'!AN161</f>
        <v>821</v>
      </c>
      <c r="D162" s="14">
        <f t="shared" si="8"/>
        <v>821</v>
      </c>
      <c r="E162" s="19">
        <f t="shared" si="11"/>
        <v>0</v>
      </c>
      <c r="F162" s="14">
        <f t="shared" si="11"/>
        <v>0</v>
      </c>
      <c r="G162" s="19">
        <f t="shared" si="11"/>
        <v>0</v>
      </c>
      <c r="H162" s="52">
        <f t="shared" si="11"/>
        <v>0</v>
      </c>
      <c r="I162" s="14">
        <f t="shared" si="11"/>
        <v>0</v>
      </c>
      <c r="J162" s="14">
        <f t="shared" si="9"/>
        <v>0</v>
      </c>
      <c r="K162" s="152">
        <f t="shared" si="10"/>
        <v>81274.044265593562</v>
      </c>
    </row>
    <row r="163" spans="1:11" x14ac:dyDescent="0.25">
      <c r="A163" s="61">
        <f>'A) Base RI'!A162</f>
        <v>5654</v>
      </c>
      <c r="B163" s="13" t="str">
        <f>'A) Base RI'!B162</f>
        <v>Vullierens</v>
      </c>
      <c r="C163" s="52">
        <f>'A) Base RI'!AN162</f>
        <v>460</v>
      </c>
      <c r="D163" s="14">
        <f t="shared" si="8"/>
        <v>460</v>
      </c>
      <c r="E163" s="19">
        <f t="shared" si="11"/>
        <v>0</v>
      </c>
      <c r="F163" s="14">
        <f t="shared" si="11"/>
        <v>0</v>
      </c>
      <c r="G163" s="19">
        <f t="shared" si="11"/>
        <v>0</v>
      </c>
      <c r="H163" s="52">
        <f t="shared" si="11"/>
        <v>0</v>
      </c>
      <c r="I163" s="14">
        <f t="shared" si="11"/>
        <v>0</v>
      </c>
      <c r="J163" s="14">
        <f t="shared" si="9"/>
        <v>0</v>
      </c>
      <c r="K163" s="152">
        <f t="shared" si="10"/>
        <v>45537.22334004024</v>
      </c>
    </row>
    <row r="164" spans="1:11" x14ac:dyDescent="0.25">
      <c r="A164" s="61">
        <f>'A) Base RI'!A163</f>
        <v>5655</v>
      </c>
      <c r="B164" s="13" t="str">
        <f>'A) Base RI'!B163</f>
        <v>Yens</v>
      </c>
      <c r="C164" s="52">
        <f>'A) Base RI'!AN163</f>
        <v>1405</v>
      </c>
      <c r="D164" s="14">
        <f t="shared" si="8"/>
        <v>1000</v>
      </c>
      <c r="E164" s="19">
        <f t="shared" si="11"/>
        <v>405</v>
      </c>
      <c r="F164" s="14">
        <f t="shared" si="11"/>
        <v>0</v>
      </c>
      <c r="G164" s="19">
        <f t="shared" si="11"/>
        <v>0</v>
      </c>
      <c r="H164" s="52">
        <f t="shared" si="11"/>
        <v>0</v>
      </c>
      <c r="I164" s="14">
        <f t="shared" si="11"/>
        <v>0</v>
      </c>
      <c r="J164" s="14">
        <f t="shared" si="9"/>
        <v>0</v>
      </c>
      <c r="K164" s="152">
        <f t="shared" si="10"/>
        <v>239317.907444668</v>
      </c>
    </row>
    <row r="165" spans="1:11" x14ac:dyDescent="0.25">
      <c r="A165" s="61">
        <f>'A) Base RI'!A164</f>
        <v>5661</v>
      </c>
      <c r="B165" s="13" t="str">
        <f>'A) Base RI'!B164</f>
        <v>Boulens</v>
      </c>
      <c r="C165" s="52">
        <f>'A) Base RI'!AN164</f>
        <v>325</v>
      </c>
      <c r="D165" s="14">
        <f t="shared" si="8"/>
        <v>325</v>
      </c>
      <c r="E165" s="19">
        <f t="shared" si="11"/>
        <v>0</v>
      </c>
      <c r="F165" s="14">
        <f t="shared" si="11"/>
        <v>0</v>
      </c>
      <c r="G165" s="19">
        <f t="shared" si="11"/>
        <v>0</v>
      </c>
      <c r="H165" s="52">
        <f t="shared" si="11"/>
        <v>0</v>
      </c>
      <c r="I165" s="14">
        <f t="shared" si="11"/>
        <v>0</v>
      </c>
      <c r="J165" s="14">
        <f t="shared" si="9"/>
        <v>0</v>
      </c>
      <c r="K165" s="152">
        <f t="shared" si="10"/>
        <v>32173.038229376256</v>
      </c>
    </row>
    <row r="166" spans="1:11" x14ac:dyDescent="0.25">
      <c r="A166" s="61">
        <f>'A) Base RI'!A165</f>
        <v>5663</v>
      </c>
      <c r="B166" s="13" t="str">
        <f>'A) Base RI'!B165</f>
        <v>Bussy-sur-Moudon</v>
      </c>
      <c r="C166" s="52">
        <f>'A) Base RI'!AN165</f>
        <v>198</v>
      </c>
      <c r="D166" s="14">
        <f t="shared" si="8"/>
        <v>198</v>
      </c>
      <c r="E166" s="19">
        <f t="shared" si="11"/>
        <v>0</v>
      </c>
      <c r="F166" s="14">
        <f t="shared" si="11"/>
        <v>0</v>
      </c>
      <c r="G166" s="19">
        <f t="shared" si="11"/>
        <v>0</v>
      </c>
      <c r="H166" s="52">
        <f t="shared" si="11"/>
        <v>0</v>
      </c>
      <c r="I166" s="14">
        <f t="shared" si="11"/>
        <v>0</v>
      </c>
      <c r="J166" s="14">
        <f t="shared" si="9"/>
        <v>0</v>
      </c>
      <c r="K166" s="152">
        <f t="shared" si="10"/>
        <v>19600.80482897384</v>
      </c>
    </row>
    <row r="167" spans="1:11" x14ac:dyDescent="0.25">
      <c r="A167" s="61">
        <f>'A) Base RI'!A166</f>
        <v>5665</v>
      </c>
      <c r="B167" s="13" t="str">
        <f>'A) Base RI'!B166</f>
        <v>Chavannes-sur-Moudon</v>
      </c>
      <c r="C167" s="52">
        <f>'A) Base RI'!AN166</f>
        <v>224</v>
      </c>
      <c r="D167" s="14">
        <f t="shared" si="8"/>
        <v>224</v>
      </c>
      <c r="E167" s="19">
        <f t="shared" si="11"/>
        <v>0</v>
      </c>
      <c r="F167" s="14">
        <f t="shared" si="11"/>
        <v>0</v>
      </c>
      <c r="G167" s="19">
        <f t="shared" si="11"/>
        <v>0</v>
      </c>
      <c r="H167" s="52">
        <f t="shared" si="11"/>
        <v>0</v>
      </c>
      <c r="I167" s="14">
        <f t="shared" si="11"/>
        <v>0</v>
      </c>
      <c r="J167" s="14">
        <f t="shared" si="9"/>
        <v>0</v>
      </c>
      <c r="K167" s="152">
        <f t="shared" si="10"/>
        <v>22174.647887323943</v>
      </c>
    </row>
    <row r="168" spans="1:11" x14ac:dyDescent="0.25">
      <c r="A168" s="61">
        <f>'A) Base RI'!A167</f>
        <v>5669</v>
      </c>
      <c r="B168" s="13" t="str">
        <f>'A) Base RI'!B167</f>
        <v>Curtilles</v>
      </c>
      <c r="C168" s="52">
        <f>'A) Base RI'!AN167</f>
        <v>311</v>
      </c>
      <c r="D168" s="14">
        <f t="shared" si="8"/>
        <v>311</v>
      </c>
      <c r="E168" s="19">
        <f t="shared" si="11"/>
        <v>0</v>
      </c>
      <c r="F168" s="14">
        <f t="shared" si="11"/>
        <v>0</v>
      </c>
      <c r="G168" s="19">
        <f t="shared" si="11"/>
        <v>0</v>
      </c>
      <c r="H168" s="52">
        <f t="shared" si="11"/>
        <v>0</v>
      </c>
      <c r="I168" s="14">
        <f t="shared" si="11"/>
        <v>0</v>
      </c>
      <c r="J168" s="14">
        <f t="shared" si="9"/>
        <v>0</v>
      </c>
      <c r="K168" s="152">
        <f t="shared" si="10"/>
        <v>30787.122736418511</v>
      </c>
    </row>
    <row r="169" spans="1:11" x14ac:dyDescent="0.25">
      <c r="A169" s="61">
        <f>'A) Base RI'!A168</f>
        <v>5671</v>
      </c>
      <c r="B169" s="13" t="str">
        <f>'A) Base RI'!B168</f>
        <v>Dompierre</v>
      </c>
      <c r="C169" s="52">
        <f>'A) Base RI'!AN168</f>
        <v>247</v>
      </c>
      <c r="D169" s="14">
        <f t="shared" si="8"/>
        <v>247</v>
      </c>
      <c r="E169" s="19">
        <f t="shared" si="11"/>
        <v>0</v>
      </c>
      <c r="F169" s="14">
        <f t="shared" si="11"/>
        <v>0</v>
      </c>
      <c r="G169" s="19">
        <f t="shared" si="11"/>
        <v>0</v>
      </c>
      <c r="H169" s="52">
        <f t="shared" si="11"/>
        <v>0</v>
      </c>
      <c r="I169" s="14">
        <f t="shared" si="11"/>
        <v>0</v>
      </c>
      <c r="J169" s="14">
        <f t="shared" si="9"/>
        <v>0</v>
      </c>
      <c r="K169" s="152">
        <f t="shared" si="10"/>
        <v>24451.509054325954</v>
      </c>
    </row>
    <row r="170" spans="1:11" x14ac:dyDescent="0.25">
      <c r="A170" s="61">
        <f>'A) Base RI'!A169</f>
        <v>5673</v>
      </c>
      <c r="B170" s="13" t="str">
        <f>'A) Base RI'!B169</f>
        <v>Hermenches</v>
      </c>
      <c r="C170" s="52">
        <f>'A) Base RI'!AN169</f>
        <v>382</v>
      </c>
      <c r="D170" s="14">
        <f t="shared" si="8"/>
        <v>382</v>
      </c>
      <c r="E170" s="19">
        <f t="shared" si="11"/>
        <v>0</v>
      </c>
      <c r="F170" s="14">
        <f t="shared" si="11"/>
        <v>0</v>
      </c>
      <c r="G170" s="19">
        <f t="shared" si="11"/>
        <v>0</v>
      </c>
      <c r="H170" s="52">
        <f t="shared" si="11"/>
        <v>0</v>
      </c>
      <c r="I170" s="14">
        <f t="shared" si="11"/>
        <v>0</v>
      </c>
      <c r="J170" s="14">
        <f t="shared" si="9"/>
        <v>0</v>
      </c>
      <c r="K170" s="152">
        <f t="shared" si="10"/>
        <v>37815.694164989938</v>
      </c>
    </row>
    <row r="171" spans="1:11" x14ac:dyDescent="0.25">
      <c r="A171" s="61">
        <f>'A) Base RI'!A170</f>
        <v>5674</v>
      </c>
      <c r="B171" s="13" t="str">
        <f>'A) Base RI'!B170</f>
        <v>Lovatens</v>
      </c>
      <c r="C171" s="52">
        <f>'A) Base RI'!AN170</f>
        <v>151</v>
      </c>
      <c r="D171" s="14">
        <f t="shared" ref="D171:D234" si="12">IF($C171&gt;D$4,IF($C171&lt;D$5,$C171-D$4,D$5-D$4),0)</f>
        <v>151</v>
      </c>
      <c r="E171" s="19">
        <f t="shared" si="11"/>
        <v>0</v>
      </c>
      <c r="F171" s="14">
        <f t="shared" si="11"/>
        <v>0</v>
      </c>
      <c r="G171" s="19">
        <f t="shared" si="11"/>
        <v>0</v>
      </c>
      <c r="H171" s="52">
        <f t="shared" si="11"/>
        <v>0</v>
      </c>
      <c r="I171" s="14">
        <f t="shared" si="11"/>
        <v>0</v>
      </c>
      <c r="J171" s="14">
        <f t="shared" si="9"/>
        <v>0</v>
      </c>
      <c r="K171" s="152">
        <f t="shared" si="10"/>
        <v>14948.088531187122</v>
      </c>
    </row>
    <row r="172" spans="1:11" x14ac:dyDescent="0.25">
      <c r="A172" s="61">
        <f>'A) Base RI'!A171</f>
        <v>5675</v>
      </c>
      <c r="B172" s="13" t="str">
        <f>'A) Base RI'!B171</f>
        <v>Lucens</v>
      </c>
      <c r="C172" s="52">
        <f>'A) Base RI'!AN171</f>
        <v>3890</v>
      </c>
      <c r="D172" s="14">
        <f t="shared" si="12"/>
        <v>1000</v>
      </c>
      <c r="E172" s="19">
        <f t="shared" si="11"/>
        <v>2000</v>
      </c>
      <c r="F172" s="14">
        <f t="shared" si="11"/>
        <v>890</v>
      </c>
      <c r="G172" s="19">
        <f t="shared" si="11"/>
        <v>0</v>
      </c>
      <c r="H172" s="52">
        <f t="shared" si="11"/>
        <v>0</v>
      </c>
      <c r="I172" s="14">
        <f t="shared" si="11"/>
        <v>0</v>
      </c>
      <c r="J172" s="14">
        <f t="shared" si="9"/>
        <v>0</v>
      </c>
      <c r="K172" s="152">
        <f t="shared" si="10"/>
        <v>1232474.8490945674</v>
      </c>
    </row>
    <row r="173" spans="1:11" x14ac:dyDescent="0.25">
      <c r="A173" s="61">
        <f>'A) Base RI'!A172</f>
        <v>5678</v>
      </c>
      <c r="B173" s="13" t="str">
        <f>'A) Base RI'!B172</f>
        <v>Moudon</v>
      </c>
      <c r="C173" s="52">
        <f>'A) Base RI'!AN172</f>
        <v>5770</v>
      </c>
      <c r="D173" s="14">
        <f t="shared" si="12"/>
        <v>1000</v>
      </c>
      <c r="E173" s="19">
        <f t="shared" si="11"/>
        <v>2000</v>
      </c>
      <c r="F173" s="14">
        <f t="shared" si="11"/>
        <v>2000</v>
      </c>
      <c r="G173" s="19">
        <f t="shared" si="11"/>
        <v>770</v>
      </c>
      <c r="H173" s="52">
        <f t="shared" si="11"/>
        <v>0</v>
      </c>
      <c r="I173" s="14">
        <f t="shared" si="11"/>
        <v>0</v>
      </c>
      <c r="J173" s="14">
        <f t="shared" si="9"/>
        <v>0</v>
      </c>
      <c r="K173" s="152">
        <f t="shared" si="10"/>
        <v>2239243.4607645879</v>
      </c>
    </row>
    <row r="174" spans="1:11" x14ac:dyDescent="0.25">
      <c r="A174" s="61">
        <f>'A) Base RI'!A173</f>
        <v>5680</v>
      </c>
      <c r="B174" s="13" t="str">
        <f>'A) Base RI'!B173</f>
        <v>Ogens</v>
      </c>
      <c r="C174" s="52">
        <f>'A) Base RI'!AN173</f>
        <v>283</v>
      </c>
      <c r="D174" s="14">
        <f t="shared" si="12"/>
        <v>283</v>
      </c>
      <c r="E174" s="19">
        <f t="shared" si="11"/>
        <v>0</v>
      </c>
      <c r="F174" s="14">
        <f t="shared" si="11"/>
        <v>0</v>
      </c>
      <c r="G174" s="19">
        <f t="shared" si="11"/>
        <v>0</v>
      </c>
      <c r="H174" s="52">
        <f t="shared" si="11"/>
        <v>0</v>
      </c>
      <c r="I174" s="14">
        <f t="shared" si="11"/>
        <v>0</v>
      </c>
      <c r="J174" s="14">
        <f t="shared" si="9"/>
        <v>0</v>
      </c>
      <c r="K174" s="152">
        <f t="shared" si="10"/>
        <v>28015.291750503016</v>
      </c>
    </row>
    <row r="175" spans="1:11" x14ac:dyDescent="0.25">
      <c r="A175" s="61">
        <f>'A) Base RI'!A174</f>
        <v>5683</v>
      </c>
      <c r="B175" s="13" t="str">
        <f>'A) Base RI'!B174</f>
        <v>Prévonloup</v>
      </c>
      <c r="C175" s="52">
        <f>'A) Base RI'!AN174</f>
        <v>172</v>
      </c>
      <c r="D175" s="14">
        <f t="shared" si="12"/>
        <v>172</v>
      </c>
      <c r="E175" s="19">
        <f t="shared" si="11"/>
        <v>0</v>
      </c>
      <c r="F175" s="14">
        <f t="shared" si="11"/>
        <v>0</v>
      </c>
      <c r="G175" s="19">
        <f t="shared" si="11"/>
        <v>0</v>
      </c>
      <c r="H175" s="52">
        <f t="shared" si="11"/>
        <v>0</v>
      </c>
      <c r="I175" s="14">
        <f t="shared" si="11"/>
        <v>0</v>
      </c>
      <c r="J175" s="14">
        <f t="shared" si="9"/>
        <v>0</v>
      </c>
      <c r="K175" s="152">
        <f t="shared" si="10"/>
        <v>17026.96177062374</v>
      </c>
    </row>
    <row r="176" spans="1:11" x14ac:dyDescent="0.25">
      <c r="A176" s="61">
        <f>'A) Base RI'!A175</f>
        <v>5684</v>
      </c>
      <c r="B176" s="13" t="str">
        <f>'A) Base RI'!B175</f>
        <v>Rossenges</v>
      </c>
      <c r="C176" s="52">
        <f>'A) Base RI'!AN175</f>
        <v>65</v>
      </c>
      <c r="D176" s="14">
        <f t="shared" si="12"/>
        <v>65</v>
      </c>
      <c r="E176" s="19">
        <f t="shared" si="11"/>
        <v>0</v>
      </c>
      <c r="F176" s="14">
        <f t="shared" si="11"/>
        <v>0</v>
      </c>
      <c r="G176" s="19">
        <f t="shared" si="11"/>
        <v>0</v>
      </c>
      <c r="H176" s="52">
        <f t="shared" si="11"/>
        <v>0</v>
      </c>
      <c r="I176" s="14">
        <f t="shared" si="11"/>
        <v>0</v>
      </c>
      <c r="J176" s="14">
        <f t="shared" si="9"/>
        <v>0</v>
      </c>
      <c r="K176" s="152">
        <f t="shared" si="10"/>
        <v>6434.6076458752514</v>
      </c>
    </row>
    <row r="177" spans="1:11" x14ac:dyDescent="0.25">
      <c r="A177" s="61">
        <f>'A) Base RI'!A176</f>
        <v>5688</v>
      </c>
      <c r="B177" s="13" t="str">
        <f>'A) Base RI'!B176</f>
        <v>Syens</v>
      </c>
      <c r="C177" s="52">
        <f>'A) Base RI'!AN176</f>
        <v>139</v>
      </c>
      <c r="D177" s="14">
        <f t="shared" si="12"/>
        <v>139</v>
      </c>
      <c r="E177" s="19">
        <f t="shared" si="11"/>
        <v>0</v>
      </c>
      <c r="F177" s="14">
        <f t="shared" si="11"/>
        <v>0</v>
      </c>
      <c r="G177" s="19">
        <f t="shared" si="11"/>
        <v>0</v>
      </c>
      <c r="H177" s="52">
        <f t="shared" si="11"/>
        <v>0</v>
      </c>
      <c r="I177" s="14">
        <f t="shared" si="11"/>
        <v>0</v>
      </c>
      <c r="J177" s="14">
        <f t="shared" si="9"/>
        <v>0</v>
      </c>
      <c r="K177" s="152">
        <f t="shared" si="10"/>
        <v>13760.160965794768</v>
      </c>
    </row>
    <row r="178" spans="1:11" x14ac:dyDescent="0.25">
      <c r="A178" s="61">
        <f>'A) Base RI'!A177</f>
        <v>5690</v>
      </c>
      <c r="B178" s="13" t="str">
        <f>'A) Base RI'!B177</f>
        <v>Villars-le-Comte</v>
      </c>
      <c r="C178" s="52">
        <f>'A) Base RI'!AN177</f>
        <v>150</v>
      </c>
      <c r="D178" s="14">
        <f t="shared" si="12"/>
        <v>150</v>
      </c>
      <c r="E178" s="19">
        <f t="shared" si="11"/>
        <v>0</v>
      </c>
      <c r="F178" s="14">
        <f t="shared" si="11"/>
        <v>0</v>
      </c>
      <c r="G178" s="19">
        <f t="shared" si="11"/>
        <v>0</v>
      </c>
      <c r="H178" s="52">
        <f t="shared" si="11"/>
        <v>0</v>
      </c>
      <c r="I178" s="14">
        <f t="shared" si="11"/>
        <v>0</v>
      </c>
      <c r="J178" s="14">
        <f t="shared" si="9"/>
        <v>0</v>
      </c>
      <c r="K178" s="152">
        <f t="shared" si="10"/>
        <v>14849.094567404425</v>
      </c>
    </row>
    <row r="179" spans="1:11" x14ac:dyDescent="0.25">
      <c r="A179" s="61">
        <f>'A) Base RI'!A178</f>
        <v>5692</v>
      </c>
      <c r="B179" s="13" t="str">
        <f>'A) Base RI'!B178</f>
        <v>Vucherens</v>
      </c>
      <c r="C179" s="52">
        <f>'A) Base RI'!AN178</f>
        <v>543</v>
      </c>
      <c r="D179" s="14">
        <f t="shared" si="12"/>
        <v>543</v>
      </c>
      <c r="E179" s="19">
        <f t="shared" si="11"/>
        <v>0</v>
      </c>
      <c r="F179" s="14">
        <f t="shared" si="11"/>
        <v>0</v>
      </c>
      <c r="G179" s="19">
        <f t="shared" si="11"/>
        <v>0</v>
      </c>
      <c r="H179" s="52">
        <f t="shared" si="11"/>
        <v>0</v>
      </c>
      <c r="I179" s="14">
        <f t="shared" si="11"/>
        <v>0</v>
      </c>
      <c r="J179" s="14">
        <f t="shared" si="9"/>
        <v>0</v>
      </c>
      <c r="K179" s="152">
        <f t="shared" si="10"/>
        <v>53753.722334004022</v>
      </c>
    </row>
    <row r="180" spans="1:11" x14ac:dyDescent="0.25">
      <c r="A180" s="61">
        <f>'A) Base RI'!A179</f>
        <v>5693</v>
      </c>
      <c r="B180" s="13" t="str">
        <f>'A) Base RI'!B179</f>
        <v>Montanaire</v>
      </c>
      <c r="C180" s="52">
        <f>'A) Base RI'!AN179</f>
        <v>2421</v>
      </c>
      <c r="D180" s="14">
        <f t="shared" si="12"/>
        <v>1000</v>
      </c>
      <c r="E180" s="19">
        <f t="shared" si="11"/>
        <v>1421</v>
      </c>
      <c r="F180" s="14">
        <f t="shared" si="11"/>
        <v>0</v>
      </c>
      <c r="G180" s="19">
        <f t="shared" si="11"/>
        <v>0</v>
      </c>
      <c r="H180" s="52">
        <f t="shared" si="11"/>
        <v>0</v>
      </c>
      <c r="I180" s="14">
        <f t="shared" si="11"/>
        <v>0</v>
      </c>
      <c r="J180" s="14">
        <f t="shared" si="9"/>
        <v>0</v>
      </c>
      <c r="K180" s="152">
        <f t="shared" si="10"/>
        <v>591340.44265593565</v>
      </c>
    </row>
    <row r="181" spans="1:11" x14ac:dyDescent="0.25">
      <c r="A181" s="61">
        <f>'A) Base RI'!A180</f>
        <v>5701</v>
      </c>
      <c r="B181" s="13" t="str">
        <f>'A) Base RI'!B180</f>
        <v>Arnex-sur-Nyon</v>
      </c>
      <c r="C181" s="52">
        <f>'A) Base RI'!AN180</f>
        <v>208</v>
      </c>
      <c r="D181" s="14">
        <f t="shared" si="12"/>
        <v>208</v>
      </c>
      <c r="E181" s="19">
        <f t="shared" si="11"/>
        <v>0</v>
      </c>
      <c r="F181" s="14">
        <f t="shared" si="11"/>
        <v>0</v>
      </c>
      <c r="G181" s="19">
        <f t="shared" si="11"/>
        <v>0</v>
      </c>
      <c r="H181" s="52">
        <f t="shared" si="11"/>
        <v>0</v>
      </c>
      <c r="I181" s="14">
        <f t="shared" si="11"/>
        <v>0</v>
      </c>
      <c r="J181" s="14">
        <f t="shared" si="9"/>
        <v>0</v>
      </c>
      <c r="K181" s="152">
        <f t="shared" si="10"/>
        <v>20590.744466800803</v>
      </c>
    </row>
    <row r="182" spans="1:11" x14ac:dyDescent="0.25">
      <c r="A182" s="61">
        <f>'A) Base RI'!A181</f>
        <v>5702</v>
      </c>
      <c r="B182" s="13" t="str">
        <f>'A) Base RI'!B181</f>
        <v>Arzier-Le Muids</v>
      </c>
      <c r="C182" s="52">
        <f>'A) Base RI'!AN181</f>
        <v>2506</v>
      </c>
      <c r="D182" s="14">
        <f t="shared" si="12"/>
        <v>1000</v>
      </c>
      <c r="E182" s="19">
        <f t="shared" si="11"/>
        <v>1506</v>
      </c>
      <c r="F182" s="14">
        <f t="shared" si="11"/>
        <v>0</v>
      </c>
      <c r="G182" s="19">
        <f t="shared" si="11"/>
        <v>0</v>
      </c>
      <c r="H182" s="52">
        <f t="shared" si="11"/>
        <v>0</v>
      </c>
      <c r="I182" s="14">
        <f t="shared" si="11"/>
        <v>0</v>
      </c>
      <c r="J182" s="14">
        <f t="shared" si="9"/>
        <v>0</v>
      </c>
      <c r="K182" s="152">
        <f t="shared" si="10"/>
        <v>620791.14688128768</v>
      </c>
    </row>
    <row r="183" spans="1:11" x14ac:dyDescent="0.25">
      <c r="A183" s="61">
        <f>'A) Base RI'!A182</f>
        <v>5703</v>
      </c>
      <c r="B183" s="13" t="str">
        <f>'A) Base RI'!B182</f>
        <v>Bassins</v>
      </c>
      <c r="C183" s="52">
        <f>'A) Base RI'!AN182</f>
        <v>1320</v>
      </c>
      <c r="D183" s="14">
        <f t="shared" si="12"/>
        <v>1000</v>
      </c>
      <c r="E183" s="19">
        <f t="shared" si="11"/>
        <v>320</v>
      </c>
      <c r="F183" s="14">
        <f t="shared" si="11"/>
        <v>0</v>
      </c>
      <c r="G183" s="19">
        <f t="shared" si="11"/>
        <v>0</v>
      </c>
      <c r="H183" s="52">
        <f t="shared" si="11"/>
        <v>0</v>
      </c>
      <c r="I183" s="14">
        <f t="shared" si="11"/>
        <v>0</v>
      </c>
      <c r="J183" s="14">
        <f t="shared" si="9"/>
        <v>0</v>
      </c>
      <c r="K183" s="152">
        <f t="shared" si="10"/>
        <v>209867.20321931588</v>
      </c>
    </row>
    <row r="184" spans="1:11" x14ac:dyDescent="0.25">
      <c r="A184" s="61">
        <f>'A) Base RI'!A183</f>
        <v>5704</v>
      </c>
      <c r="B184" s="13" t="str">
        <f>'A) Base RI'!B183</f>
        <v>Begnins</v>
      </c>
      <c r="C184" s="52">
        <f>'A) Base RI'!AN183</f>
        <v>1802</v>
      </c>
      <c r="D184" s="14">
        <f t="shared" si="12"/>
        <v>1000</v>
      </c>
      <c r="E184" s="19">
        <f t="shared" si="11"/>
        <v>802</v>
      </c>
      <c r="F184" s="14">
        <f t="shared" si="11"/>
        <v>0</v>
      </c>
      <c r="G184" s="19">
        <f t="shared" si="11"/>
        <v>0</v>
      </c>
      <c r="H184" s="52">
        <f t="shared" si="11"/>
        <v>0</v>
      </c>
      <c r="I184" s="14">
        <f t="shared" si="11"/>
        <v>0</v>
      </c>
      <c r="J184" s="14">
        <f t="shared" si="9"/>
        <v>0</v>
      </c>
      <c r="K184" s="152">
        <f t="shared" si="10"/>
        <v>376870.02012072434</v>
      </c>
    </row>
    <row r="185" spans="1:11" x14ac:dyDescent="0.25">
      <c r="A185" s="61">
        <f>'A) Base RI'!A184</f>
        <v>5705</v>
      </c>
      <c r="B185" s="13" t="str">
        <f>'A) Base RI'!B184</f>
        <v>Bogis-Bossey</v>
      </c>
      <c r="C185" s="52">
        <f>'A) Base RI'!AN184</f>
        <v>830</v>
      </c>
      <c r="D185" s="14">
        <f t="shared" si="12"/>
        <v>830</v>
      </c>
      <c r="E185" s="19">
        <f t="shared" si="11"/>
        <v>0</v>
      </c>
      <c r="F185" s="14">
        <f t="shared" si="11"/>
        <v>0</v>
      </c>
      <c r="G185" s="19">
        <f t="shared" si="11"/>
        <v>0</v>
      </c>
      <c r="H185" s="52">
        <f t="shared" si="11"/>
        <v>0</v>
      </c>
      <c r="I185" s="14">
        <f t="shared" si="11"/>
        <v>0</v>
      </c>
      <c r="J185" s="14">
        <f t="shared" si="9"/>
        <v>0</v>
      </c>
      <c r="K185" s="152">
        <f t="shared" si="10"/>
        <v>82164.989939637817</v>
      </c>
    </row>
    <row r="186" spans="1:11" x14ac:dyDescent="0.25">
      <c r="A186" s="61">
        <f>'A) Base RI'!A185</f>
        <v>5706</v>
      </c>
      <c r="B186" s="13" t="str">
        <f>'A) Base RI'!B185</f>
        <v>Borex</v>
      </c>
      <c r="C186" s="52">
        <f>'A) Base RI'!AN185</f>
        <v>1049</v>
      </c>
      <c r="D186" s="14">
        <f t="shared" si="12"/>
        <v>1000</v>
      </c>
      <c r="E186" s="19">
        <f t="shared" si="11"/>
        <v>49</v>
      </c>
      <c r="F186" s="14">
        <f t="shared" si="11"/>
        <v>0</v>
      </c>
      <c r="G186" s="19">
        <f t="shared" si="11"/>
        <v>0</v>
      </c>
      <c r="H186" s="52">
        <f t="shared" si="11"/>
        <v>0</v>
      </c>
      <c r="I186" s="14">
        <f t="shared" si="11"/>
        <v>0</v>
      </c>
      <c r="J186" s="14">
        <f t="shared" si="9"/>
        <v>0</v>
      </c>
      <c r="K186" s="152">
        <f t="shared" si="10"/>
        <v>115971.42857142857</v>
      </c>
    </row>
    <row r="187" spans="1:11" x14ac:dyDescent="0.25">
      <c r="A187" s="61">
        <f>'A) Base RI'!A186</f>
        <v>5707</v>
      </c>
      <c r="B187" s="13" t="str">
        <f>'A) Base RI'!B186</f>
        <v>Chavannes-de-Bogis</v>
      </c>
      <c r="C187" s="52">
        <f>'A) Base RI'!AN186</f>
        <v>1155</v>
      </c>
      <c r="D187" s="14">
        <f t="shared" si="12"/>
        <v>1000</v>
      </c>
      <c r="E187" s="19">
        <f t="shared" si="11"/>
        <v>155</v>
      </c>
      <c r="F187" s="14">
        <f t="shared" si="11"/>
        <v>0</v>
      </c>
      <c r="G187" s="19">
        <f t="shared" si="11"/>
        <v>0</v>
      </c>
      <c r="H187" s="52">
        <f t="shared" si="11"/>
        <v>0</v>
      </c>
      <c r="I187" s="14">
        <f t="shared" si="11"/>
        <v>0</v>
      </c>
      <c r="J187" s="14">
        <f t="shared" si="9"/>
        <v>0</v>
      </c>
      <c r="K187" s="152">
        <f t="shared" si="10"/>
        <v>152698.18913480884</v>
      </c>
    </row>
    <row r="188" spans="1:11" x14ac:dyDescent="0.25">
      <c r="A188" s="61">
        <f>'A) Base RI'!A187</f>
        <v>5708</v>
      </c>
      <c r="B188" s="13" t="str">
        <f>'A) Base RI'!B187</f>
        <v>Chavannes-des-Bois</v>
      </c>
      <c r="C188" s="52">
        <f>'A) Base RI'!AN187</f>
        <v>807</v>
      </c>
      <c r="D188" s="14">
        <f t="shared" si="12"/>
        <v>807</v>
      </c>
      <c r="E188" s="19">
        <f t="shared" si="11"/>
        <v>0</v>
      </c>
      <c r="F188" s="14">
        <f t="shared" si="11"/>
        <v>0</v>
      </c>
      <c r="G188" s="19">
        <f t="shared" si="11"/>
        <v>0</v>
      </c>
      <c r="H188" s="52">
        <f t="shared" si="11"/>
        <v>0</v>
      </c>
      <c r="I188" s="14">
        <f t="shared" si="11"/>
        <v>0</v>
      </c>
      <c r="J188" s="14">
        <f t="shared" si="9"/>
        <v>0</v>
      </c>
      <c r="K188" s="152">
        <f t="shared" si="10"/>
        <v>79888.128772635813</v>
      </c>
    </row>
    <row r="189" spans="1:11" x14ac:dyDescent="0.25">
      <c r="A189" s="61">
        <f>'A) Base RI'!A188</f>
        <v>5709</v>
      </c>
      <c r="B189" s="13" t="str">
        <f>'A) Base RI'!B188</f>
        <v>Chéserex</v>
      </c>
      <c r="C189" s="52">
        <f>'A) Base RI'!AN188</f>
        <v>1174</v>
      </c>
      <c r="D189" s="14">
        <f t="shared" si="12"/>
        <v>1000</v>
      </c>
      <c r="E189" s="19">
        <f t="shared" si="11"/>
        <v>174</v>
      </c>
      <c r="F189" s="14">
        <f t="shared" si="11"/>
        <v>0</v>
      </c>
      <c r="G189" s="19">
        <f t="shared" si="11"/>
        <v>0</v>
      </c>
      <c r="H189" s="52">
        <f t="shared" si="11"/>
        <v>0</v>
      </c>
      <c r="I189" s="14">
        <f t="shared" si="11"/>
        <v>0</v>
      </c>
      <c r="J189" s="14">
        <f t="shared" si="9"/>
        <v>0</v>
      </c>
      <c r="K189" s="152">
        <f t="shared" si="10"/>
        <v>159281.28772635813</v>
      </c>
    </row>
    <row r="190" spans="1:11" x14ac:dyDescent="0.25">
      <c r="A190" s="61">
        <f>'A) Base RI'!A189</f>
        <v>5710</v>
      </c>
      <c r="B190" s="13" t="str">
        <f>'A) Base RI'!B189</f>
        <v>Coinsins</v>
      </c>
      <c r="C190" s="52">
        <f>'A) Base RI'!AN189</f>
        <v>435</v>
      </c>
      <c r="D190" s="14">
        <f t="shared" si="12"/>
        <v>435</v>
      </c>
      <c r="E190" s="19">
        <f t="shared" si="11"/>
        <v>0</v>
      </c>
      <c r="F190" s="14">
        <f t="shared" si="11"/>
        <v>0</v>
      </c>
      <c r="G190" s="19">
        <f t="shared" si="11"/>
        <v>0</v>
      </c>
      <c r="H190" s="52">
        <f t="shared" si="11"/>
        <v>0</v>
      </c>
      <c r="I190" s="14">
        <f t="shared" si="11"/>
        <v>0</v>
      </c>
      <c r="J190" s="14">
        <f t="shared" si="9"/>
        <v>0</v>
      </c>
      <c r="K190" s="152">
        <f t="shared" si="10"/>
        <v>43062.374245472834</v>
      </c>
    </row>
    <row r="191" spans="1:11" x14ac:dyDescent="0.25">
      <c r="A191" s="61">
        <f>'A) Base RI'!A190</f>
        <v>5711</v>
      </c>
      <c r="B191" s="13" t="str">
        <f>'A) Base RI'!B190</f>
        <v>Commugny</v>
      </c>
      <c r="C191" s="52">
        <f>'A) Base RI'!AN190</f>
        <v>2591</v>
      </c>
      <c r="D191" s="14">
        <f t="shared" si="12"/>
        <v>1000</v>
      </c>
      <c r="E191" s="19">
        <f t="shared" si="11"/>
        <v>1591</v>
      </c>
      <c r="F191" s="14">
        <f t="shared" si="11"/>
        <v>0</v>
      </c>
      <c r="G191" s="19">
        <f t="shared" si="11"/>
        <v>0</v>
      </c>
      <c r="H191" s="52">
        <f t="shared" si="11"/>
        <v>0</v>
      </c>
      <c r="I191" s="14">
        <f t="shared" si="11"/>
        <v>0</v>
      </c>
      <c r="J191" s="14">
        <f t="shared" si="9"/>
        <v>0</v>
      </c>
      <c r="K191" s="152">
        <f t="shared" si="10"/>
        <v>650241.85110663984</v>
      </c>
    </row>
    <row r="192" spans="1:11" x14ac:dyDescent="0.25">
      <c r="A192" s="61">
        <f>'A) Base RI'!A191</f>
        <v>5712</v>
      </c>
      <c r="B192" s="13" t="str">
        <f>'A) Base RI'!B191</f>
        <v>Coppet</v>
      </c>
      <c r="C192" s="52">
        <f>'A) Base RI'!AN191</f>
        <v>2936</v>
      </c>
      <c r="D192" s="14">
        <f t="shared" si="12"/>
        <v>1000</v>
      </c>
      <c r="E192" s="19">
        <f t="shared" si="11"/>
        <v>1936</v>
      </c>
      <c r="F192" s="14">
        <f t="shared" si="11"/>
        <v>0</v>
      </c>
      <c r="G192" s="19">
        <f t="shared" si="11"/>
        <v>0</v>
      </c>
      <c r="H192" s="52">
        <f t="shared" si="11"/>
        <v>0</v>
      </c>
      <c r="I192" s="14">
        <f t="shared" si="11"/>
        <v>0</v>
      </c>
      <c r="J192" s="14">
        <f t="shared" si="9"/>
        <v>0</v>
      </c>
      <c r="K192" s="152">
        <f t="shared" si="10"/>
        <v>769777.06237424549</v>
      </c>
    </row>
    <row r="193" spans="1:11" x14ac:dyDescent="0.25">
      <c r="A193" s="61">
        <f>'A) Base RI'!A192</f>
        <v>5713</v>
      </c>
      <c r="B193" s="13" t="str">
        <f>'A) Base RI'!B192</f>
        <v>Crans-près-Céligny</v>
      </c>
      <c r="C193" s="52">
        <f>'A) Base RI'!AN192</f>
        <v>2044</v>
      </c>
      <c r="D193" s="14">
        <f t="shared" si="12"/>
        <v>1000</v>
      </c>
      <c r="E193" s="19">
        <f t="shared" si="11"/>
        <v>1044</v>
      </c>
      <c r="F193" s="14">
        <f t="shared" si="11"/>
        <v>0</v>
      </c>
      <c r="G193" s="19">
        <f t="shared" si="11"/>
        <v>0</v>
      </c>
      <c r="H193" s="52">
        <f t="shared" si="11"/>
        <v>0</v>
      </c>
      <c r="I193" s="14">
        <f t="shared" si="11"/>
        <v>0</v>
      </c>
      <c r="J193" s="14">
        <f t="shared" si="9"/>
        <v>0</v>
      </c>
      <c r="K193" s="152">
        <f t="shared" si="10"/>
        <v>460717.907444668</v>
      </c>
    </row>
    <row r="194" spans="1:11" x14ac:dyDescent="0.25">
      <c r="A194" s="61">
        <f>'A) Base RI'!A193</f>
        <v>5714</v>
      </c>
      <c r="B194" s="13" t="str">
        <f>'A) Base RI'!B193</f>
        <v>Crassier</v>
      </c>
      <c r="C194" s="52">
        <f>'A) Base RI'!AN193</f>
        <v>1141</v>
      </c>
      <c r="D194" s="14">
        <f t="shared" si="12"/>
        <v>1000</v>
      </c>
      <c r="E194" s="19">
        <f t="shared" si="11"/>
        <v>141</v>
      </c>
      <c r="F194" s="14">
        <f t="shared" si="11"/>
        <v>0</v>
      </c>
      <c r="G194" s="19">
        <f t="shared" si="11"/>
        <v>0</v>
      </c>
      <c r="H194" s="52">
        <f t="shared" si="11"/>
        <v>0</v>
      </c>
      <c r="I194" s="14">
        <f t="shared" si="11"/>
        <v>0</v>
      </c>
      <c r="J194" s="14">
        <f t="shared" si="9"/>
        <v>0</v>
      </c>
      <c r="K194" s="152">
        <f t="shared" si="10"/>
        <v>147847.48490945675</v>
      </c>
    </row>
    <row r="195" spans="1:11" x14ac:dyDescent="0.25">
      <c r="A195" s="61">
        <f>'A) Base RI'!A194</f>
        <v>5715</v>
      </c>
      <c r="B195" s="13" t="str">
        <f>'A) Base RI'!B194</f>
        <v>Duillier</v>
      </c>
      <c r="C195" s="52">
        <f>'A) Base RI'!AN194</f>
        <v>998</v>
      </c>
      <c r="D195" s="14">
        <f t="shared" si="12"/>
        <v>998</v>
      </c>
      <c r="E195" s="19">
        <f t="shared" si="11"/>
        <v>0</v>
      </c>
      <c r="F195" s="14">
        <f t="shared" si="11"/>
        <v>0</v>
      </c>
      <c r="G195" s="19">
        <f t="shared" si="11"/>
        <v>0</v>
      </c>
      <c r="H195" s="52">
        <f t="shared" si="11"/>
        <v>0</v>
      </c>
      <c r="I195" s="14">
        <f t="shared" si="11"/>
        <v>0</v>
      </c>
      <c r="J195" s="14">
        <f t="shared" si="9"/>
        <v>0</v>
      </c>
      <c r="K195" s="152">
        <f t="shared" si="10"/>
        <v>98795.975855130775</v>
      </c>
    </row>
    <row r="196" spans="1:11" x14ac:dyDescent="0.25">
      <c r="A196" s="61">
        <f>'A) Base RI'!A195</f>
        <v>5716</v>
      </c>
      <c r="B196" s="13" t="str">
        <f>'A) Base RI'!B195</f>
        <v>Eysins</v>
      </c>
      <c r="C196" s="52">
        <f>'A) Base RI'!AN195</f>
        <v>1469</v>
      </c>
      <c r="D196" s="14">
        <f t="shared" si="12"/>
        <v>1000</v>
      </c>
      <c r="E196" s="19">
        <f t="shared" si="11"/>
        <v>469</v>
      </c>
      <c r="F196" s="14">
        <f t="shared" si="11"/>
        <v>0</v>
      </c>
      <c r="G196" s="19">
        <f t="shared" si="11"/>
        <v>0</v>
      </c>
      <c r="H196" s="52">
        <f t="shared" si="11"/>
        <v>0</v>
      </c>
      <c r="I196" s="14">
        <f t="shared" si="11"/>
        <v>0</v>
      </c>
      <c r="J196" s="14">
        <f t="shared" si="9"/>
        <v>0</v>
      </c>
      <c r="K196" s="152">
        <f t="shared" si="10"/>
        <v>261492.55533199193</v>
      </c>
    </row>
    <row r="197" spans="1:11" x14ac:dyDescent="0.25">
      <c r="A197" s="61">
        <f>'A) Base RI'!A196</f>
        <v>5717</v>
      </c>
      <c r="B197" s="13" t="str">
        <f>'A) Base RI'!B196</f>
        <v>Founex</v>
      </c>
      <c r="C197" s="52">
        <f>'A) Base RI'!AN196</f>
        <v>3372</v>
      </c>
      <c r="D197" s="14">
        <f t="shared" si="12"/>
        <v>1000</v>
      </c>
      <c r="E197" s="19">
        <f t="shared" si="11"/>
        <v>2000</v>
      </c>
      <c r="F197" s="14">
        <f t="shared" si="11"/>
        <v>372</v>
      </c>
      <c r="G197" s="19">
        <f t="shared" si="11"/>
        <v>0</v>
      </c>
      <c r="H197" s="52">
        <f t="shared" si="11"/>
        <v>0</v>
      </c>
      <c r="I197" s="14">
        <f t="shared" si="11"/>
        <v>0</v>
      </c>
      <c r="J197" s="14">
        <f t="shared" si="9"/>
        <v>0</v>
      </c>
      <c r="K197" s="152">
        <f t="shared" si="10"/>
        <v>976080.48289738421</v>
      </c>
    </row>
    <row r="198" spans="1:11" x14ac:dyDescent="0.25">
      <c r="A198" s="61">
        <f>'A) Base RI'!A197</f>
        <v>5718</v>
      </c>
      <c r="B198" s="13" t="str">
        <f>'A) Base RI'!B197</f>
        <v>Genolier</v>
      </c>
      <c r="C198" s="52">
        <f>'A) Base RI'!AN197</f>
        <v>1890</v>
      </c>
      <c r="D198" s="14">
        <f t="shared" si="12"/>
        <v>1000</v>
      </c>
      <c r="E198" s="19">
        <f t="shared" si="11"/>
        <v>890</v>
      </c>
      <c r="F198" s="14">
        <f t="shared" si="11"/>
        <v>0</v>
      </c>
      <c r="G198" s="19">
        <f t="shared" si="11"/>
        <v>0</v>
      </c>
      <c r="H198" s="52">
        <f t="shared" si="11"/>
        <v>0</v>
      </c>
      <c r="I198" s="14">
        <f t="shared" si="11"/>
        <v>0</v>
      </c>
      <c r="J198" s="14">
        <f t="shared" si="9"/>
        <v>0</v>
      </c>
      <c r="K198" s="152">
        <f t="shared" si="10"/>
        <v>407360.16096579476</v>
      </c>
    </row>
    <row r="199" spans="1:11" x14ac:dyDescent="0.25">
      <c r="A199" s="61">
        <f>'A) Base RI'!A198</f>
        <v>5719</v>
      </c>
      <c r="B199" s="13" t="str">
        <f>'A) Base RI'!B198</f>
        <v>Gingins</v>
      </c>
      <c r="C199" s="52">
        <f>'A) Base RI'!AN198</f>
        <v>1204</v>
      </c>
      <c r="D199" s="14">
        <f t="shared" si="12"/>
        <v>1000</v>
      </c>
      <c r="E199" s="19">
        <f t="shared" si="11"/>
        <v>204</v>
      </c>
      <c r="F199" s="14">
        <f t="shared" si="11"/>
        <v>0</v>
      </c>
      <c r="G199" s="19">
        <f t="shared" si="11"/>
        <v>0</v>
      </c>
      <c r="H199" s="52">
        <f t="shared" si="11"/>
        <v>0</v>
      </c>
      <c r="I199" s="14">
        <f t="shared" si="11"/>
        <v>0</v>
      </c>
      <c r="J199" s="14">
        <f t="shared" si="9"/>
        <v>0</v>
      </c>
      <c r="K199" s="152">
        <f t="shared" si="10"/>
        <v>169675.65392354125</v>
      </c>
    </row>
    <row r="200" spans="1:11" x14ac:dyDescent="0.25">
      <c r="A200" s="61">
        <f>'A) Base RI'!A199</f>
        <v>5720</v>
      </c>
      <c r="B200" s="13" t="str">
        <f>'A) Base RI'!B199</f>
        <v>Givrins</v>
      </c>
      <c r="C200" s="52">
        <f>'A) Base RI'!AN199</f>
        <v>971</v>
      </c>
      <c r="D200" s="14">
        <f t="shared" si="12"/>
        <v>971</v>
      </c>
      <c r="E200" s="19">
        <f t="shared" si="11"/>
        <v>0</v>
      </c>
      <c r="F200" s="14">
        <f t="shared" si="11"/>
        <v>0</v>
      </c>
      <c r="G200" s="19">
        <f t="shared" si="11"/>
        <v>0</v>
      </c>
      <c r="H200" s="52">
        <f t="shared" si="11"/>
        <v>0</v>
      </c>
      <c r="I200" s="14">
        <f t="shared" si="11"/>
        <v>0</v>
      </c>
      <c r="J200" s="14">
        <f t="shared" si="9"/>
        <v>0</v>
      </c>
      <c r="K200" s="152">
        <f t="shared" si="10"/>
        <v>96123.138832997982</v>
      </c>
    </row>
    <row r="201" spans="1:11" x14ac:dyDescent="0.25">
      <c r="A201" s="61">
        <f>'A) Base RI'!A200</f>
        <v>5721</v>
      </c>
      <c r="B201" s="13" t="str">
        <f>'A) Base RI'!B200</f>
        <v>Gland</v>
      </c>
      <c r="C201" s="52">
        <f>'A) Base RI'!AN200</f>
        <v>12663</v>
      </c>
      <c r="D201" s="14">
        <f t="shared" si="12"/>
        <v>1000</v>
      </c>
      <c r="E201" s="19">
        <f t="shared" si="11"/>
        <v>2000</v>
      </c>
      <c r="F201" s="14">
        <f t="shared" si="11"/>
        <v>2000</v>
      </c>
      <c r="G201" s="19">
        <f t="shared" si="11"/>
        <v>4000</v>
      </c>
      <c r="H201" s="52">
        <f t="shared" si="11"/>
        <v>3000</v>
      </c>
      <c r="I201" s="14">
        <f t="shared" si="11"/>
        <v>663</v>
      </c>
      <c r="J201" s="14">
        <f t="shared" ref="J201:J264" si="13">IF(C201&gt;$J$4,C201-$J$4,0)</f>
        <v>0</v>
      </c>
      <c r="K201" s="152">
        <f t="shared" ref="K201:K264" si="14">(D201*D$7)+(E201*E$7)+(F201*F$7)+(G201*G$7)+(H201*H$7)+(I201*I$7)+(J201*J$7)</f>
        <v>7338422.5352112679</v>
      </c>
    </row>
    <row r="202" spans="1:11" x14ac:dyDescent="0.25">
      <c r="A202" s="61">
        <f>'A) Base RI'!A201</f>
        <v>5722</v>
      </c>
      <c r="B202" s="13" t="str">
        <f>'A) Base RI'!B201</f>
        <v>Grens</v>
      </c>
      <c r="C202" s="52">
        <f>'A) Base RI'!AN201</f>
        <v>380</v>
      </c>
      <c r="D202" s="14">
        <f t="shared" si="12"/>
        <v>380</v>
      </c>
      <c r="E202" s="19">
        <f t="shared" si="11"/>
        <v>0</v>
      </c>
      <c r="F202" s="14">
        <f t="shared" si="11"/>
        <v>0</v>
      </c>
      <c r="G202" s="19">
        <f t="shared" si="11"/>
        <v>0</v>
      </c>
      <c r="H202" s="52">
        <f t="shared" si="11"/>
        <v>0</v>
      </c>
      <c r="I202" s="14">
        <f t="shared" si="11"/>
        <v>0</v>
      </c>
      <c r="J202" s="14">
        <f t="shared" si="13"/>
        <v>0</v>
      </c>
      <c r="K202" s="152">
        <f t="shared" si="14"/>
        <v>37617.706237424543</v>
      </c>
    </row>
    <row r="203" spans="1:11" x14ac:dyDescent="0.25">
      <c r="A203" s="61">
        <f>'A) Base RI'!A202</f>
        <v>5723</v>
      </c>
      <c r="B203" s="13" t="str">
        <f>'A) Base RI'!B202</f>
        <v>Mies</v>
      </c>
      <c r="C203" s="52">
        <f>'A) Base RI'!AN202</f>
        <v>1778</v>
      </c>
      <c r="D203" s="14">
        <f t="shared" si="12"/>
        <v>1000</v>
      </c>
      <c r="E203" s="19">
        <f t="shared" si="11"/>
        <v>778</v>
      </c>
      <c r="F203" s="14">
        <f t="shared" si="11"/>
        <v>0</v>
      </c>
      <c r="G203" s="19">
        <f t="shared" si="11"/>
        <v>0</v>
      </c>
      <c r="H203" s="52">
        <f t="shared" si="11"/>
        <v>0</v>
      </c>
      <c r="I203" s="14">
        <f t="shared" si="11"/>
        <v>0</v>
      </c>
      <c r="J203" s="14">
        <f t="shared" si="13"/>
        <v>0</v>
      </c>
      <c r="K203" s="152">
        <f t="shared" si="14"/>
        <v>368554.52716297784</v>
      </c>
    </row>
    <row r="204" spans="1:11" x14ac:dyDescent="0.25">
      <c r="A204" s="61">
        <f>'A) Base RI'!A203</f>
        <v>5724</v>
      </c>
      <c r="B204" s="13" t="str">
        <f>'A) Base RI'!B203</f>
        <v>Nyon</v>
      </c>
      <c r="C204" s="52">
        <f>'A) Base RI'!AN203</f>
        <v>19861</v>
      </c>
      <c r="D204" s="14">
        <f t="shared" si="12"/>
        <v>1000</v>
      </c>
      <c r="E204" s="19">
        <f t="shared" si="11"/>
        <v>2000</v>
      </c>
      <c r="F204" s="14">
        <f t="shared" si="11"/>
        <v>2000</v>
      </c>
      <c r="G204" s="19">
        <f t="shared" si="11"/>
        <v>4000</v>
      </c>
      <c r="H204" s="52">
        <f t="shared" si="11"/>
        <v>3000</v>
      </c>
      <c r="I204" s="14">
        <f t="shared" si="11"/>
        <v>3000</v>
      </c>
      <c r="J204" s="14">
        <f t="shared" si="13"/>
        <v>4861</v>
      </c>
      <c r="K204" s="152">
        <f t="shared" si="14"/>
        <v>14704612.877263581</v>
      </c>
    </row>
    <row r="205" spans="1:11" x14ac:dyDescent="0.25">
      <c r="A205" s="61">
        <f>'A) Base RI'!A204</f>
        <v>5725</v>
      </c>
      <c r="B205" s="13" t="str">
        <f>'A) Base RI'!B204</f>
        <v>Prangins</v>
      </c>
      <c r="C205" s="52">
        <f>'A) Base RI'!AN204</f>
        <v>3976</v>
      </c>
      <c r="D205" s="14">
        <f t="shared" si="12"/>
        <v>1000</v>
      </c>
      <c r="E205" s="19">
        <f t="shared" si="11"/>
        <v>2000</v>
      </c>
      <c r="F205" s="14">
        <f t="shared" si="11"/>
        <v>976</v>
      </c>
      <c r="G205" s="19">
        <f t="shared" si="11"/>
        <v>0</v>
      </c>
      <c r="H205" s="52">
        <f t="shared" si="11"/>
        <v>0</v>
      </c>
      <c r="I205" s="14">
        <f t="shared" si="11"/>
        <v>0</v>
      </c>
      <c r="J205" s="14">
        <f t="shared" si="13"/>
        <v>0</v>
      </c>
      <c r="K205" s="152">
        <f t="shared" si="14"/>
        <v>1275042.2535211267</v>
      </c>
    </row>
    <row r="206" spans="1:11" x14ac:dyDescent="0.25">
      <c r="A206" s="61">
        <f>'A) Base RI'!A205</f>
        <v>5726</v>
      </c>
      <c r="B206" s="13" t="str">
        <f>'A) Base RI'!B205</f>
        <v>La Rippe</v>
      </c>
      <c r="C206" s="52">
        <f>'A) Base RI'!AN205</f>
        <v>1104</v>
      </c>
      <c r="D206" s="14">
        <f t="shared" si="12"/>
        <v>1000</v>
      </c>
      <c r="E206" s="19">
        <f t="shared" si="11"/>
        <v>104</v>
      </c>
      <c r="F206" s="14">
        <f t="shared" si="11"/>
        <v>0</v>
      </c>
      <c r="G206" s="19">
        <f t="shared" si="11"/>
        <v>0</v>
      </c>
      <c r="H206" s="52">
        <f t="shared" si="11"/>
        <v>0</v>
      </c>
      <c r="I206" s="14">
        <f t="shared" si="11"/>
        <v>0</v>
      </c>
      <c r="J206" s="14">
        <f t="shared" si="13"/>
        <v>0</v>
      </c>
      <c r="K206" s="152">
        <f t="shared" si="14"/>
        <v>135027.76659959758</v>
      </c>
    </row>
    <row r="207" spans="1:11" x14ac:dyDescent="0.25">
      <c r="A207" s="61">
        <f>'A) Base RI'!A206</f>
        <v>5727</v>
      </c>
      <c r="B207" s="13" t="str">
        <f>'A) Base RI'!B206</f>
        <v>Saint-Cergue</v>
      </c>
      <c r="C207" s="52">
        <f>'A) Base RI'!AN206</f>
        <v>2406</v>
      </c>
      <c r="D207" s="14">
        <f t="shared" si="12"/>
        <v>1000</v>
      </c>
      <c r="E207" s="19">
        <f t="shared" si="11"/>
        <v>1406</v>
      </c>
      <c r="F207" s="14">
        <f t="shared" si="11"/>
        <v>0</v>
      </c>
      <c r="G207" s="19">
        <f t="shared" si="11"/>
        <v>0</v>
      </c>
      <c r="H207" s="52">
        <f t="shared" si="11"/>
        <v>0</v>
      </c>
      <c r="I207" s="14">
        <f t="shared" si="11"/>
        <v>0</v>
      </c>
      <c r="J207" s="14">
        <f t="shared" si="13"/>
        <v>0</v>
      </c>
      <c r="K207" s="152">
        <f t="shared" si="14"/>
        <v>586143.25955734402</v>
      </c>
    </row>
    <row r="208" spans="1:11" x14ac:dyDescent="0.25">
      <c r="A208" s="61">
        <f>'A) Base RI'!A207</f>
        <v>5728</v>
      </c>
      <c r="B208" s="13" t="str">
        <f>'A) Base RI'!B207</f>
        <v>Signy-Avenex</v>
      </c>
      <c r="C208" s="52">
        <f>'A) Base RI'!AN207</f>
        <v>481</v>
      </c>
      <c r="D208" s="14">
        <f t="shared" si="12"/>
        <v>481</v>
      </c>
      <c r="E208" s="19">
        <f t="shared" si="11"/>
        <v>0</v>
      </c>
      <c r="F208" s="14">
        <f t="shared" si="11"/>
        <v>0</v>
      </c>
      <c r="G208" s="19">
        <f t="shared" ref="E208:I259" si="15">IF($C208&gt;G$4,IF($C208&lt;G$5,$C208-G$4,G$5-G$4),0)</f>
        <v>0</v>
      </c>
      <c r="H208" s="52">
        <f t="shared" si="15"/>
        <v>0</v>
      </c>
      <c r="I208" s="14">
        <f t="shared" si="15"/>
        <v>0</v>
      </c>
      <c r="J208" s="14">
        <f t="shared" si="13"/>
        <v>0</v>
      </c>
      <c r="K208" s="152">
        <f t="shared" si="14"/>
        <v>47616.096579476856</v>
      </c>
    </row>
    <row r="209" spans="1:11" x14ac:dyDescent="0.25">
      <c r="A209" s="61">
        <f>'A) Base RI'!A208</f>
        <v>5729</v>
      </c>
      <c r="B209" s="13" t="str">
        <f>'A) Base RI'!B208</f>
        <v>Tannay</v>
      </c>
      <c r="C209" s="52">
        <f>'A) Base RI'!AN208</f>
        <v>1448</v>
      </c>
      <c r="D209" s="14">
        <f t="shared" si="12"/>
        <v>1000</v>
      </c>
      <c r="E209" s="19">
        <f t="shared" si="15"/>
        <v>448</v>
      </c>
      <c r="F209" s="14">
        <f t="shared" si="15"/>
        <v>0</v>
      </c>
      <c r="G209" s="19">
        <f t="shared" si="15"/>
        <v>0</v>
      </c>
      <c r="H209" s="52">
        <f t="shared" si="15"/>
        <v>0</v>
      </c>
      <c r="I209" s="14">
        <f t="shared" si="15"/>
        <v>0</v>
      </c>
      <c r="J209" s="14">
        <f t="shared" si="13"/>
        <v>0</v>
      </c>
      <c r="K209" s="152">
        <f t="shared" si="14"/>
        <v>254216.49899396376</v>
      </c>
    </row>
    <row r="210" spans="1:11" x14ac:dyDescent="0.25">
      <c r="A210" s="61">
        <f>'A) Base RI'!A209</f>
        <v>5730</v>
      </c>
      <c r="B210" s="13" t="str">
        <f>'A) Base RI'!B209</f>
        <v>Trélex</v>
      </c>
      <c r="C210" s="52">
        <f>'A) Base RI'!AN209</f>
        <v>1394</v>
      </c>
      <c r="D210" s="14">
        <f t="shared" si="12"/>
        <v>1000</v>
      </c>
      <c r="E210" s="19">
        <f t="shared" si="15"/>
        <v>394</v>
      </c>
      <c r="F210" s="14">
        <f t="shared" si="15"/>
        <v>0</v>
      </c>
      <c r="G210" s="19">
        <f t="shared" si="15"/>
        <v>0</v>
      </c>
      <c r="H210" s="52">
        <f t="shared" si="15"/>
        <v>0</v>
      </c>
      <c r="I210" s="14">
        <f t="shared" si="15"/>
        <v>0</v>
      </c>
      <c r="J210" s="14">
        <f t="shared" si="13"/>
        <v>0</v>
      </c>
      <c r="K210" s="152">
        <f t="shared" si="14"/>
        <v>235506.63983903421</v>
      </c>
    </row>
    <row r="211" spans="1:11" x14ac:dyDescent="0.25">
      <c r="A211" s="61">
        <f>'A) Base RI'!A210</f>
        <v>5731</v>
      </c>
      <c r="B211" s="13" t="str">
        <f>'A) Base RI'!B210</f>
        <v>Le Vaud</v>
      </c>
      <c r="C211" s="52">
        <f>'A) Base RI'!AN210</f>
        <v>1243</v>
      </c>
      <c r="D211" s="14">
        <f t="shared" si="12"/>
        <v>1000</v>
      </c>
      <c r="E211" s="19">
        <f t="shared" si="15"/>
        <v>243</v>
      </c>
      <c r="F211" s="14">
        <f t="shared" si="15"/>
        <v>0</v>
      </c>
      <c r="G211" s="19">
        <f t="shared" si="15"/>
        <v>0</v>
      </c>
      <c r="H211" s="52">
        <f t="shared" si="15"/>
        <v>0</v>
      </c>
      <c r="I211" s="14">
        <f t="shared" si="15"/>
        <v>0</v>
      </c>
      <c r="J211" s="14">
        <f t="shared" si="13"/>
        <v>0</v>
      </c>
      <c r="K211" s="152">
        <f t="shared" si="14"/>
        <v>183188.32997987926</v>
      </c>
    </row>
    <row r="212" spans="1:11" x14ac:dyDescent="0.25">
      <c r="A212" s="61">
        <f>'A) Base RI'!A211</f>
        <v>5732</v>
      </c>
      <c r="B212" s="13" t="str">
        <f>'A) Base RI'!B211</f>
        <v>Vich</v>
      </c>
      <c r="C212" s="52">
        <f>'A) Base RI'!AN211</f>
        <v>882</v>
      </c>
      <c r="D212" s="14">
        <f t="shared" si="12"/>
        <v>882</v>
      </c>
      <c r="E212" s="19">
        <f t="shared" si="15"/>
        <v>0</v>
      </c>
      <c r="F212" s="14">
        <f t="shared" si="15"/>
        <v>0</v>
      </c>
      <c r="G212" s="19">
        <f t="shared" si="15"/>
        <v>0</v>
      </c>
      <c r="H212" s="52">
        <f t="shared" si="15"/>
        <v>0</v>
      </c>
      <c r="I212" s="14">
        <f t="shared" si="15"/>
        <v>0</v>
      </c>
      <c r="J212" s="14">
        <f t="shared" si="13"/>
        <v>0</v>
      </c>
      <c r="K212" s="152">
        <f t="shared" si="14"/>
        <v>87312.676056338023</v>
      </c>
    </row>
    <row r="213" spans="1:11" x14ac:dyDescent="0.25">
      <c r="A213" s="61">
        <f>'A) Base RI'!A212</f>
        <v>5741</v>
      </c>
      <c r="B213" s="13" t="str">
        <f>'A) Base RI'!B212</f>
        <v>L'Abergement</v>
      </c>
      <c r="C213" s="52">
        <f>'A) Base RI'!AN212</f>
        <v>250</v>
      </c>
      <c r="D213" s="14">
        <f t="shared" si="12"/>
        <v>250</v>
      </c>
      <c r="E213" s="19">
        <f t="shared" si="15"/>
        <v>0</v>
      </c>
      <c r="F213" s="14">
        <f t="shared" si="15"/>
        <v>0</v>
      </c>
      <c r="G213" s="19">
        <f t="shared" si="15"/>
        <v>0</v>
      </c>
      <c r="H213" s="52">
        <f t="shared" si="15"/>
        <v>0</v>
      </c>
      <c r="I213" s="14">
        <f t="shared" si="15"/>
        <v>0</v>
      </c>
      <c r="J213" s="14">
        <f t="shared" si="13"/>
        <v>0</v>
      </c>
      <c r="K213" s="152">
        <f t="shared" si="14"/>
        <v>24748.490945674042</v>
      </c>
    </row>
    <row r="214" spans="1:11" x14ac:dyDescent="0.25">
      <c r="A214" s="61">
        <f>'A) Base RI'!A213</f>
        <v>5742</v>
      </c>
      <c r="B214" s="13" t="str">
        <f>'A) Base RI'!B213</f>
        <v>Agiez</v>
      </c>
      <c r="C214" s="52">
        <f>'A) Base RI'!AN213</f>
        <v>308</v>
      </c>
      <c r="D214" s="14">
        <f t="shared" si="12"/>
        <v>308</v>
      </c>
      <c r="E214" s="19">
        <f t="shared" si="15"/>
        <v>0</v>
      </c>
      <c r="F214" s="14">
        <f t="shared" si="15"/>
        <v>0</v>
      </c>
      <c r="G214" s="19">
        <f t="shared" si="15"/>
        <v>0</v>
      </c>
      <c r="H214" s="52">
        <f t="shared" si="15"/>
        <v>0</v>
      </c>
      <c r="I214" s="14">
        <f t="shared" si="15"/>
        <v>0</v>
      </c>
      <c r="J214" s="14">
        <f t="shared" si="13"/>
        <v>0</v>
      </c>
      <c r="K214" s="152">
        <f t="shared" si="14"/>
        <v>30490.140845070422</v>
      </c>
    </row>
    <row r="215" spans="1:11" x14ac:dyDescent="0.25">
      <c r="A215" s="61">
        <f>'A) Base RI'!A214</f>
        <v>5743</v>
      </c>
      <c r="B215" s="13" t="str">
        <f>'A) Base RI'!B214</f>
        <v>Arnex-sur-Orbe</v>
      </c>
      <c r="C215" s="52">
        <f>'A) Base RI'!AN214</f>
        <v>625</v>
      </c>
      <c r="D215" s="14">
        <f t="shared" si="12"/>
        <v>625</v>
      </c>
      <c r="E215" s="19">
        <f t="shared" si="15"/>
        <v>0</v>
      </c>
      <c r="F215" s="14">
        <f t="shared" si="15"/>
        <v>0</v>
      </c>
      <c r="G215" s="19">
        <f t="shared" si="15"/>
        <v>0</v>
      </c>
      <c r="H215" s="52">
        <f t="shared" si="15"/>
        <v>0</v>
      </c>
      <c r="I215" s="14">
        <f t="shared" si="15"/>
        <v>0</v>
      </c>
      <c r="J215" s="14">
        <f t="shared" si="13"/>
        <v>0</v>
      </c>
      <c r="K215" s="152">
        <f t="shared" si="14"/>
        <v>61871.227364185106</v>
      </c>
    </row>
    <row r="216" spans="1:11" x14ac:dyDescent="0.25">
      <c r="A216" s="61">
        <f>'A) Base RI'!A215</f>
        <v>5744</v>
      </c>
      <c r="B216" s="13" t="str">
        <f>'A) Base RI'!B215</f>
        <v>Ballaigues</v>
      </c>
      <c r="C216" s="52">
        <f>'A) Base RI'!AN215</f>
        <v>1069</v>
      </c>
      <c r="D216" s="14">
        <f t="shared" si="12"/>
        <v>1000</v>
      </c>
      <c r="E216" s="19">
        <f t="shared" si="15"/>
        <v>69</v>
      </c>
      <c r="F216" s="14">
        <f t="shared" si="15"/>
        <v>0</v>
      </c>
      <c r="G216" s="19">
        <f t="shared" si="15"/>
        <v>0</v>
      </c>
      <c r="H216" s="52">
        <f t="shared" si="15"/>
        <v>0</v>
      </c>
      <c r="I216" s="14">
        <f t="shared" si="15"/>
        <v>0</v>
      </c>
      <c r="J216" s="14">
        <f t="shared" si="13"/>
        <v>0</v>
      </c>
      <c r="K216" s="152">
        <f t="shared" si="14"/>
        <v>122901.0060362173</v>
      </c>
    </row>
    <row r="217" spans="1:11" x14ac:dyDescent="0.25">
      <c r="A217" s="61">
        <f>'A) Base RI'!A216</f>
        <v>5745</v>
      </c>
      <c r="B217" s="13" t="str">
        <f>'A) Base RI'!B216</f>
        <v>Baulmes</v>
      </c>
      <c r="C217" s="52">
        <f>'A) Base RI'!AN216</f>
        <v>1034</v>
      </c>
      <c r="D217" s="14">
        <f t="shared" si="12"/>
        <v>1000</v>
      </c>
      <c r="E217" s="19">
        <f t="shared" si="15"/>
        <v>34</v>
      </c>
      <c r="F217" s="14">
        <f t="shared" si="15"/>
        <v>0</v>
      </c>
      <c r="G217" s="19">
        <f t="shared" si="15"/>
        <v>0</v>
      </c>
      <c r="H217" s="52">
        <f t="shared" si="15"/>
        <v>0</v>
      </c>
      <c r="I217" s="14">
        <f t="shared" si="15"/>
        <v>0</v>
      </c>
      <c r="J217" s="14">
        <f t="shared" si="13"/>
        <v>0</v>
      </c>
      <c r="K217" s="152">
        <f t="shared" si="14"/>
        <v>110774.24547283701</v>
      </c>
    </row>
    <row r="218" spans="1:11" x14ac:dyDescent="0.25">
      <c r="A218" s="61">
        <f>'A) Base RI'!A217</f>
        <v>5746</v>
      </c>
      <c r="B218" s="13" t="str">
        <f>'A) Base RI'!B217</f>
        <v>Bavois</v>
      </c>
      <c r="C218" s="52">
        <f>'A) Base RI'!AN217</f>
        <v>939</v>
      </c>
      <c r="D218" s="14">
        <f t="shared" si="12"/>
        <v>939</v>
      </c>
      <c r="E218" s="19">
        <f t="shared" si="15"/>
        <v>0</v>
      </c>
      <c r="F218" s="14">
        <f t="shared" si="15"/>
        <v>0</v>
      </c>
      <c r="G218" s="19">
        <f t="shared" si="15"/>
        <v>0</v>
      </c>
      <c r="H218" s="52">
        <f t="shared" si="15"/>
        <v>0</v>
      </c>
      <c r="I218" s="14">
        <f t="shared" si="15"/>
        <v>0</v>
      </c>
      <c r="J218" s="14">
        <f t="shared" si="13"/>
        <v>0</v>
      </c>
      <c r="K218" s="152">
        <f t="shared" si="14"/>
        <v>92955.331991951709</v>
      </c>
    </row>
    <row r="219" spans="1:11" x14ac:dyDescent="0.25">
      <c r="A219" s="61">
        <f>'A) Base RI'!A218</f>
        <v>5747</v>
      </c>
      <c r="B219" s="13" t="str">
        <f>'A) Base RI'!B218</f>
        <v>Bofflens</v>
      </c>
      <c r="C219" s="52">
        <f>'A) Base RI'!AN218</f>
        <v>187</v>
      </c>
      <c r="D219" s="14">
        <f t="shared" si="12"/>
        <v>187</v>
      </c>
      <c r="E219" s="19">
        <f t="shared" si="15"/>
        <v>0</v>
      </c>
      <c r="F219" s="14">
        <f t="shared" si="15"/>
        <v>0</v>
      </c>
      <c r="G219" s="19">
        <f t="shared" si="15"/>
        <v>0</v>
      </c>
      <c r="H219" s="52">
        <f t="shared" si="15"/>
        <v>0</v>
      </c>
      <c r="I219" s="14">
        <f t="shared" si="15"/>
        <v>0</v>
      </c>
      <c r="J219" s="14">
        <f t="shared" si="13"/>
        <v>0</v>
      </c>
      <c r="K219" s="152">
        <f t="shared" si="14"/>
        <v>18511.871227364183</v>
      </c>
    </row>
    <row r="220" spans="1:11" x14ac:dyDescent="0.25">
      <c r="A220" s="61">
        <f>'A) Base RI'!A219</f>
        <v>5748</v>
      </c>
      <c r="B220" s="13" t="str">
        <f>'A) Base RI'!B219</f>
        <v>Bretonnières</v>
      </c>
      <c r="C220" s="52">
        <f>'A) Base RI'!AN219</f>
        <v>252</v>
      </c>
      <c r="D220" s="14">
        <f t="shared" si="12"/>
        <v>252</v>
      </c>
      <c r="E220" s="19">
        <f t="shared" si="15"/>
        <v>0</v>
      </c>
      <c r="F220" s="14">
        <f t="shared" si="15"/>
        <v>0</v>
      </c>
      <c r="G220" s="19">
        <f t="shared" si="15"/>
        <v>0</v>
      </c>
      <c r="H220" s="52">
        <f t="shared" si="15"/>
        <v>0</v>
      </c>
      <c r="I220" s="14">
        <f t="shared" si="15"/>
        <v>0</v>
      </c>
      <c r="J220" s="14">
        <f t="shared" si="13"/>
        <v>0</v>
      </c>
      <c r="K220" s="152">
        <f t="shared" si="14"/>
        <v>24946.478873239434</v>
      </c>
    </row>
    <row r="221" spans="1:11" x14ac:dyDescent="0.25">
      <c r="A221" s="61">
        <f>'A) Base RI'!A220</f>
        <v>5749</v>
      </c>
      <c r="B221" s="13" t="str">
        <f>'A) Base RI'!B220</f>
        <v>Chavornay</v>
      </c>
      <c r="C221" s="52">
        <f>'A) Base RI'!AN220</f>
        <v>4672</v>
      </c>
      <c r="D221" s="14">
        <f t="shared" si="12"/>
        <v>1000</v>
      </c>
      <c r="E221" s="19">
        <f t="shared" si="15"/>
        <v>2000</v>
      </c>
      <c r="F221" s="14">
        <f t="shared" si="15"/>
        <v>1672</v>
      </c>
      <c r="G221" s="19">
        <f t="shared" si="15"/>
        <v>0</v>
      </c>
      <c r="H221" s="52">
        <f t="shared" si="15"/>
        <v>0</v>
      </c>
      <c r="I221" s="14">
        <f t="shared" si="15"/>
        <v>0</v>
      </c>
      <c r="J221" s="14">
        <f t="shared" si="13"/>
        <v>0</v>
      </c>
      <c r="K221" s="152">
        <f t="shared" si="14"/>
        <v>1619541.2474849094</v>
      </c>
    </row>
    <row r="222" spans="1:11" x14ac:dyDescent="0.25">
      <c r="A222" s="61">
        <f>'A) Base RI'!A221</f>
        <v>5750</v>
      </c>
      <c r="B222" s="13" t="str">
        <f>'A) Base RI'!B221</f>
        <v>Les Clées</v>
      </c>
      <c r="C222" s="52">
        <f>'A) Base RI'!AN221</f>
        <v>186</v>
      </c>
      <c r="D222" s="14">
        <f t="shared" si="12"/>
        <v>186</v>
      </c>
      <c r="E222" s="19">
        <f t="shared" si="15"/>
        <v>0</v>
      </c>
      <c r="F222" s="14">
        <f t="shared" si="15"/>
        <v>0</v>
      </c>
      <c r="G222" s="19">
        <f t="shared" si="15"/>
        <v>0</v>
      </c>
      <c r="H222" s="52">
        <f t="shared" si="15"/>
        <v>0</v>
      </c>
      <c r="I222" s="14">
        <f t="shared" si="15"/>
        <v>0</v>
      </c>
      <c r="J222" s="14">
        <f t="shared" si="13"/>
        <v>0</v>
      </c>
      <c r="K222" s="152">
        <f t="shared" si="14"/>
        <v>18412.877263581489</v>
      </c>
    </row>
    <row r="223" spans="1:11" x14ac:dyDescent="0.25">
      <c r="A223" s="61">
        <f>'A) Base RI'!A222</f>
        <v>5752</v>
      </c>
      <c r="B223" s="13" t="str">
        <f>'A) Base RI'!B222</f>
        <v>Croy</v>
      </c>
      <c r="C223" s="52">
        <f>'A) Base RI'!AN222</f>
        <v>335</v>
      </c>
      <c r="D223" s="14">
        <f t="shared" si="12"/>
        <v>335</v>
      </c>
      <c r="E223" s="19">
        <f t="shared" si="15"/>
        <v>0</v>
      </c>
      <c r="F223" s="14">
        <f t="shared" si="15"/>
        <v>0</v>
      </c>
      <c r="G223" s="19">
        <f t="shared" si="15"/>
        <v>0</v>
      </c>
      <c r="H223" s="52">
        <f t="shared" si="15"/>
        <v>0</v>
      </c>
      <c r="I223" s="14">
        <f t="shared" si="15"/>
        <v>0</v>
      </c>
      <c r="J223" s="14">
        <f t="shared" si="13"/>
        <v>0</v>
      </c>
      <c r="K223" s="152">
        <f t="shared" si="14"/>
        <v>33162.977867203219</v>
      </c>
    </row>
    <row r="224" spans="1:11" x14ac:dyDescent="0.25">
      <c r="A224" s="61">
        <f>'A) Base RI'!A223</f>
        <v>5754</v>
      </c>
      <c r="B224" s="13" t="str">
        <f>'A) Base RI'!B223</f>
        <v>Juriens</v>
      </c>
      <c r="C224" s="52">
        <f>'A) Base RI'!AN223</f>
        <v>302</v>
      </c>
      <c r="D224" s="14">
        <f t="shared" si="12"/>
        <v>302</v>
      </c>
      <c r="E224" s="19">
        <f t="shared" si="15"/>
        <v>0</v>
      </c>
      <c r="F224" s="14">
        <f t="shared" si="15"/>
        <v>0</v>
      </c>
      <c r="G224" s="19">
        <f t="shared" si="15"/>
        <v>0</v>
      </c>
      <c r="H224" s="52">
        <f t="shared" si="15"/>
        <v>0</v>
      </c>
      <c r="I224" s="14">
        <f t="shared" si="15"/>
        <v>0</v>
      </c>
      <c r="J224" s="14">
        <f t="shared" si="13"/>
        <v>0</v>
      </c>
      <c r="K224" s="152">
        <f t="shared" si="14"/>
        <v>29896.177062374245</v>
      </c>
    </row>
    <row r="225" spans="1:11" x14ac:dyDescent="0.25">
      <c r="A225" s="61">
        <f>'A) Base RI'!A224</f>
        <v>5755</v>
      </c>
      <c r="B225" s="13" t="str">
        <f>'A) Base RI'!B224</f>
        <v>Lignerolle</v>
      </c>
      <c r="C225" s="52">
        <f>'A) Base RI'!AN224</f>
        <v>394</v>
      </c>
      <c r="D225" s="14">
        <f t="shared" si="12"/>
        <v>394</v>
      </c>
      <c r="E225" s="19">
        <f t="shared" si="15"/>
        <v>0</v>
      </c>
      <c r="F225" s="14">
        <f t="shared" si="15"/>
        <v>0</v>
      </c>
      <c r="G225" s="19">
        <f t="shared" si="15"/>
        <v>0</v>
      </c>
      <c r="H225" s="52">
        <f t="shared" si="15"/>
        <v>0</v>
      </c>
      <c r="I225" s="14">
        <f t="shared" si="15"/>
        <v>0</v>
      </c>
      <c r="J225" s="14">
        <f t="shared" si="13"/>
        <v>0</v>
      </c>
      <c r="K225" s="152">
        <f t="shared" si="14"/>
        <v>39003.621730382292</v>
      </c>
    </row>
    <row r="226" spans="1:11" x14ac:dyDescent="0.25">
      <c r="A226" s="61">
        <f>'A) Base RI'!A225</f>
        <v>5756</v>
      </c>
      <c r="B226" s="13" t="str">
        <f>'A) Base RI'!B225</f>
        <v>Montcherand</v>
      </c>
      <c r="C226" s="52">
        <f>'A) Base RI'!AN225</f>
        <v>474</v>
      </c>
      <c r="D226" s="14">
        <f t="shared" si="12"/>
        <v>474</v>
      </c>
      <c r="E226" s="19">
        <f t="shared" si="15"/>
        <v>0</v>
      </c>
      <c r="F226" s="14">
        <f t="shared" si="15"/>
        <v>0</v>
      </c>
      <c r="G226" s="19">
        <f t="shared" si="15"/>
        <v>0</v>
      </c>
      <c r="H226" s="52">
        <f t="shared" si="15"/>
        <v>0</v>
      </c>
      <c r="I226" s="14">
        <f t="shared" si="15"/>
        <v>0</v>
      </c>
      <c r="J226" s="14">
        <f t="shared" si="13"/>
        <v>0</v>
      </c>
      <c r="K226" s="152">
        <f t="shared" si="14"/>
        <v>46923.138832997982</v>
      </c>
    </row>
    <row r="227" spans="1:11" x14ac:dyDescent="0.25">
      <c r="A227" s="61">
        <f>'A) Base RI'!A226</f>
        <v>5757</v>
      </c>
      <c r="B227" s="13" t="str">
        <f>'A) Base RI'!B226</f>
        <v>Orbe</v>
      </c>
      <c r="C227" s="52">
        <f>'A) Base RI'!AN226</f>
        <v>6767</v>
      </c>
      <c r="D227" s="14">
        <f t="shared" si="12"/>
        <v>1000</v>
      </c>
      <c r="E227" s="19">
        <f t="shared" si="15"/>
        <v>2000</v>
      </c>
      <c r="F227" s="14">
        <f t="shared" si="15"/>
        <v>2000</v>
      </c>
      <c r="G227" s="19">
        <f t="shared" si="15"/>
        <v>1767</v>
      </c>
      <c r="H227" s="52">
        <f t="shared" si="15"/>
        <v>0</v>
      </c>
      <c r="I227" s="14">
        <f t="shared" si="15"/>
        <v>0</v>
      </c>
      <c r="J227" s="14">
        <f t="shared" si="13"/>
        <v>0</v>
      </c>
      <c r="K227" s="152">
        <f t="shared" si="14"/>
        <v>2831425.352112676</v>
      </c>
    </row>
    <row r="228" spans="1:11" x14ac:dyDescent="0.25">
      <c r="A228" s="61">
        <f>'A) Base RI'!A227</f>
        <v>5758</v>
      </c>
      <c r="B228" s="13" t="str">
        <f>'A) Base RI'!B227</f>
        <v>La Praz</v>
      </c>
      <c r="C228" s="52">
        <f>'A) Base RI'!AN227</f>
        <v>160</v>
      </c>
      <c r="D228" s="14">
        <f t="shared" si="12"/>
        <v>160</v>
      </c>
      <c r="E228" s="19">
        <f t="shared" si="15"/>
        <v>0</v>
      </c>
      <c r="F228" s="14">
        <f t="shared" si="15"/>
        <v>0</v>
      </c>
      <c r="G228" s="19">
        <f t="shared" si="15"/>
        <v>0</v>
      </c>
      <c r="H228" s="52">
        <f t="shared" si="15"/>
        <v>0</v>
      </c>
      <c r="I228" s="14">
        <f t="shared" si="15"/>
        <v>0</v>
      </c>
      <c r="J228" s="14">
        <f t="shared" si="13"/>
        <v>0</v>
      </c>
      <c r="K228" s="152">
        <f t="shared" si="14"/>
        <v>15839.034205231386</v>
      </c>
    </row>
    <row r="229" spans="1:11" x14ac:dyDescent="0.25">
      <c r="A229" s="61">
        <f>'A) Base RI'!A228</f>
        <v>5759</v>
      </c>
      <c r="B229" s="13" t="str">
        <f>'A) Base RI'!B228</f>
        <v>Premier</v>
      </c>
      <c r="C229" s="52">
        <f>'A) Base RI'!AN228</f>
        <v>185</v>
      </c>
      <c r="D229" s="14">
        <f t="shared" si="12"/>
        <v>185</v>
      </c>
      <c r="E229" s="19">
        <f t="shared" si="15"/>
        <v>0</v>
      </c>
      <c r="F229" s="14">
        <f t="shared" si="15"/>
        <v>0</v>
      </c>
      <c r="G229" s="19">
        <f t="shared" si="15"/>
        <v>0</v>
      </c>
      <c r="H229" s="52">
        <f t="shared" si="15"/>
        <v>0</v>
      </c>
      <c r="I229" s="14">
        <f t="shared" si="15"/>
        <v>0</v>
      </c>
      <c r="J229" s="14">
        <f t="shared" si="13"/>
        <v>0</v>
      </c>
      <c r="K229" s="152">
        <f t="shared" si="14"/>
        <v>18313.883299798792</v>
      </c>
    </row>
    <row r="230" spans="1:11" x14ac:dyDescent="0.25">
      <c r="A230" s="61">
        <f>'A) Base RI'!A229</f>
        <v>5760</v>
      </c>
      <c r="B230" s="13" t="str">
        <f>'A) Base RI'!B229</f>
        <v>Rances</v>
      </c>
      <c r="C230" s="52">
        <f>'A) Base RI'!AN229</f>
        <v>460</v>
      </c>
      <c r="D230" s="14">
        <f t="shared" si="12"/>
        <v>460</v>
      </c>
      <c r="E230" s="19">
        <f t="shared" si="15"/>
        <v>0</v>
      </c>
      <c r="F230" s="14">
        <f t="shared" si="15"/>
        <v>0</v>
      </c>
      <c r="G230" s="19">
        <f t="shared" si="15"/>
        <v>0</v>
      </c>
      <c r="H230" s="52">
        <f t="shared" si="15"/>
        <v>0</v>
      </c>
      <c r="I230" s="14">
        <f t="shared" si="15"/>
        <v>0</v>
      </c>
      <c r="J230" s="14">
        <f t="shared" si="13"/>
        <v>0</v>
      </c>
      <c r="K230" s="152">
        <f t="shared" si="14"/>
        <v>45537.22334004024</v>
      </c>
    </row>
    <row r="231" spans="1:11" x14ac:dyDescent="0.25">
      <c r="A231" s="61">
        <f>'A) Base RI'!A230</f>
        <v>5761</v>
      </c>
      <c r="B231" s="13" t="str">
        <f>'A) Base RI'!B230</f>
        <v>Romainmôtier-Envy</v>
      </c>
      <c r="C231" s="52">
        <f>'A) Base RI'!AN230</f>
        <v>525</v>
      </c>
      <c r="D231" s="14">
        <f t="shared" si="12"/>
        <v>525</v>
      </c>
      <c r="E231" s="19">
        <f t="shared" si="15"/>
        <v>0</v>
      </c>
      <c r="F231" s="14">
        <f t="shared" si="15"/>
        <v>0</v>
      </c>
      <c r="G231" s="19">
        <f t="shared" si="15"/>
        <v>0</v>
      </c>
      <c r="H231" s="52">
        <f t="shared" si="15"/>
        <v>0</v>
      </c>
      <c r="I231" s="14">
        <f t="shared" si="15"/>
        <v>0</v>
      </c>
      <c r="J231" s="14">
        <f t="shared" si="13"/>
        <v>0</v>
      </c>
      <c r="K231" s="152">
        <f t="shared" si="14"/>
        <v>51971.830985915491</v>
      </c>
    </row>
    <row r="232" spans="1:11" x14ac:dyDescent="0.25">
      <c r="A232" s="61">
        <f>'A) Base RI'!A231</f>
        <v>5762</v>
      </c>
      <c r="B232" s="13" t="str">
        <f>'A) Base RI'!B231</f>
        <v>Sergey</v>
      </c>
      <c r="C232" s="52">
        <f>'A) Base RI'!AN231</f>
        <v>144</v>
      </c>
      <c r="D232" s="14">
        <f t="shared" si="12"/>
        <v>144</v>
      </c>
      <c r="E232" s="19">
        <f t="shared" si="15"/>
        <v>0</v>
      </c>
      <c r="F232" s="14">
        <f t="shared" si="15"/>
        <v>0</v>
      </c>
      <c r="G232" s="19">
        <f t="shared" si="15"/>
        <v>0</v>
      </c>
      <c r="H232" s="52">
        <f t="shared" si="15"/>
        <v>0</v>
      </c>
      <c r="I232" s="14">
        <f t="shared" si="15"/>
        <v>0</v>
      </c>
      <c r="J232" s="14">
        <f t="shared" si="13"/>
        <v>0</v>
      </c>
      <c r="K232" s="152">
        <f t="shared" si="14"/>
        <v>14255.130784708248</v>
      </c>
    </row>
    <row r="233" spans="1:11" x14ac:dyDescent="0.25">
      <c r="A233" s="61">
        <f>'A) Base RI'!A232</f>
        <v>5763</v>
      </c>
      <c r="B233" s="13" t="str">
        <f>'A) Base RI'!B232</f>
        <v>Valeyres-sous-Rances</v>
      </c>
      <c r="C233" s="52">
        <f>'A) Base RI'!AN232</f>
        <v>600</v>
      </c>
      <c r="D233" s="14">
        <f t="shared" si="12"/>
        <v>600</v>
      </c>
      <c r="E233" s="19">
        <f t="shared" si="15"/>
        <v>0</v>
      </c>
      <c r="F233" s="14">
        <f t="shared" si="15"/>
        <v>0</v>
      </c>
      <c r="G233" s="19">
        <f t="shared" si="15"/>
        <v>0</v>
      </c>
      <c r="H233" s="52">
        <f t="shared" si="15"/>
        <v>0</v>
      </c>
      <c r="I233" s="14">
        <f t="shared" si="15"/>
        <v>0</v>
      </c>
      <c r="J233" s="14">
        <f t="shared" si="13"/>
        <v>0</v>
      </c>
      <c r="K233" s="152">
        <f t="shared" si="14"/>
        <v>59396.3782696177</v>
      </c>
    </row>
    <row r="234" spans="1:11" x14ac:dyDescent="0.25">
      <c r="A234" s="61">
        <f>'A) Base RI'!A233</f>
        <v>5764</v>
      </c>
      <c r="B234" s="13" t="str">
        <f>'A) Base RI'!B233</f>
        <v>Vallorbe</v>
      </c>
      <c r="C234" s="52">
        <f>'A) Base RI'!AN233</f>
        <v>3650</v>
      </c>
      <c r="D234" s="14">
        <f t="shared" si="12"/>
        <v>1000</v>
      </c>
      <c r="E234" s="19">
        <f t="shared" si="15"/>
        <v>2000</v>
      </c>
      <c r="F234" s="14">
        <f t="shared" si="15"/>
        <v>650</v>
      </c>
      <c r="G234" s="19">
        <f t="shared" si="15"/>
        <v>0</v>
      </c>
      <c r="H234" s="52">
        <f t="shared" si="15"/>
        <v>0</v>
      </c>
      <c r="I234" s="14">
        <f t="shared" si="15"/>
        <v>0</v>
      </c>
      <c r="J234" s="14">
        <f t="shared" si="13"/>
        <v>0</v>
      </c>
      <c r="K234" s="152">
        <f t="shared" si="14"/>
        <v>1113682.092555332</v>
      </c>
    </row>
    <row r="235" spans="1:11" x14ac:dyDescent="0.25">
      <c r="A235" s="61">
        <f>'A) Base RI'!A234</f>
        <v>5765</v>
      </c>
      <c r="B235" s="13" t="str">
        <f>'A) Base RI'!B234</f>
        <v>Vaulion</v>
      </c>
      <c r="C235" s="52">
        <f>'A) Base RI'!AN234</f>
        <v>491</v>
      </c>
      <c r="D235" s="14">
        <f t="shared" ref="D235:D298" si="16">IF($C235&gt;D$4,IF($C235&lt;D$5,$C235-D$4,D$5-D$4),0)</f>
        <v>491</v>
      </c>
      <c r="E235" s="19">
        <f t="shared" si="15"/>
        <v>0</v>
      </c>
      <c r="F235" s="14">
        <f t="shared" si="15"/>
        <v>0</v>
      </c>
      <c r="G235" s="19">
        <f t="shared" si="15"/>
        <v>0</v>
      </c>
      <c r="H235" s="52">
        <f t="shared" si="15"/>
        <v>0</v>
      </c>
      <c r="I235" s="14">
        <f t="shared" si="15"/>
        <v>0</v>
      </c>
      <c r="J235" s="14">
        <f t="shared" si="13"/>
        <v>0</v>
      </c>
      <c r="K235" s="152">
        <f t="shared" si="14"/>
        <v>48606.036217303823</v>
      </c>
    </row>
    <row r="236" spans="1:11" x14ac:dyDescent="0.25">
      <c r="A236" s="61">
        <f>'A) Base RI'!A235</f>
        <v>5766</v>
      </c>
      <c r="B236" s="13" t="str">
        <f>'A) Base RI'!B235</f>
        <v>Vuiteboeuf</v>
      </c>
      <c r="C236" s="52">
        <f>'A) Base RI'!AN235</f>
        <v>538</v>
      </c>
      <c r="D236" s="14">
        <f t="shared" si="16"/>
        <v>538</v>
      </c>
      <c r="E236" s="19">
        <f t="shared" si="15"/>
        <v>0</v>
      </c>
      <c r="F236" s="14">
        <f t="shared" si="15"/>
        <v>0</v>
      </c>
      <c r="G236" s="19">
        <f t="shared" si="15"/>
        <v>0</v>
      </c>
      <c r="H236" s="52">
        <f t="shared" si="15"/>
        <v>0</v>
      </c>
      <c r="I236" s="14">
        <f t="shared" si="15"/>
        <v>0</v>
      </c>
      <c r="J236" s="14">
        <f t="shared" si="13"/>
        <v>0</v>
      </c>
      <c r="K236" s="152">
        <f t="shared" si="14"/>
        <v>53258.752515090542</v>
      </c>
    </row>
    <row r="237" spans="1:11" x14ac:dyDescent="0.25">
      <c r="A237" s="61">
        <f>'A) Base RI'!A236</f>
        <v>5785</v>
      </c>
      <c r="B237" s="13" t="str">
        <f>'A) Base RI'!B236</f>
        <v>Corcelles-le-Jorat</v>
      </c>
      <c r="C237" s="52">
        <f>'A) Base RI'!AN236</f>
        <v>421</v>
      </c>
      <c r="D237" s="14">
        <f t="shared" si="16"/>
        <v>421</v>
      </c>
      <c r="E237" s="19">
        <f t="shared" si="15"/>
        <v>0</v>
      </c>
      <c r="F237" s="14">
        <f t="shared" si="15"/>
        <v>0</v>
      </c>
      <c r="G237" s="19">
        <f t="shared" si="15"/>
        <v>0</v>
      </c>
      <c r="H237" s="52">
        <f t="shared" si="15"/>
        <v>0</v>
      </c>
      <c r="I237" s="14">
        <f t="shared" si="15"/>
        <v>0</v>
      </c>
      <c r="J237" s="14">
        <f t="shared" si="13"/>
        <v>0</v>
      </c>
      <c r="K237" s="152">
        <f t="shared" si="14"/>
        <v>41676.458752515086</v>
      </c>
    </row>
    <row r="238" spans="1:11" x14ac:dyDescent="0.25">
      <c r="A238" s="61">
        <f>'A) Base RI'!A237</f>
        <v>5788</v>
      </c>
      <c r="B238" s="13" t="str">
        <f>'A) Base RI'!B237</f>
        <v>Essertes</v>
      </c>
      <c r="C238" s="52">
        <f>'A) Base RI'!AN237</f>
        <v>330</v>
      </c>
      <c r="D238" s="14">
        <f t="shared" si="16"/>
        <v>330</v>
      </c>
      <c r="E238" s="19">
        <f t="shared" si="15"/>
        <v>0</v>
      </c>
      <c r="F238" s="14">
        <f t="shared" si="15"/>
        <v>0</v>
      </c>
      <c r="G238" s="19">
        <f t="shared" si="15"/>
        <v>0</v>
      </c>
      <c r="H238" s="52">
        <f t="shared" si="15"/>
        <v>0</v>
      </c>
      <c r="I238" s="14">
        <f t="shared" si="15"/>
        <v>0</v>
      </c>
      <c r="J238" s="14">
        <f t="shared" si="13"/>
        <v>0</v>
      </c>
      <c r="K238" s="152">
        <f t="shared" si="14"/>
        <v>32668.008048289736</v>
      </c>
    </row>
    <row r="239" spans="1:11" x14ac:dyDescent="0.25">
      <c r="A239" s="61">
        <f>'A) Base RI'!A238</f>
        <v>5790</v>
      </c>
      <c r="B239" s="13" t="str">
        <f>'A) Base RI'!B238</f>
        <v>Maracon</v>
      </c>
      <c r="C239" s="52">
        <f>'A) Base RI'!AN238</f>
        <v>444</v>
      </c>
      <c r="D239" s="14">
        <f t="shared" si="16"/>
        <v>444</v>
      </c>
      <c r="E239" s="19">
        <f t="shared" si="15"/>
        <v>0</v>
      </c>
      <c r="F239" s="14">
        <f t="shared" si="15"/>
        <v>0</v>
      </c>
      <c r="G239" s="19">
        <f t="shared" si="15"/>
        <v>0</v>
      </c>
      <c r="H239" s="52">
        <f t="shared" si="15"/>
        <v>0</v>
      </c>
      <c r="I239" s="14">
        <f t="shared" si="15"/>
        <v>0</v>
      </c>
      <c r="J239" s="14">
        <f t="shared" si="13"/>
        <v>0</v>
      </c>
      <c r="K239" s="152">
        <f t="shared" si="14"/>
        <v>43953.319919517096</v>
      </c>
    </row>
    <row r="240" spans="1:11" x14ac:dyDescent="0.25">
      <c r="A240" s="61">
        <f>'A) Base RI'!A239</f>
        <v>5792</v>
      </c>
      <c r="B240" s="13" t="str">
        <f>'A) Base RI'!B239</f>
        <v>Montpreveyres</v>
      </c>
      <c r="C240" s="52">
        <f>'A) Base RI'!AN239</f>
        <v>628</v>
      </c>
      <c r="D240" s="14">
        <f t="shared" si="16"/>
        <v>628</v>
      </c>
      <c r="E240" s="19">
        <f t="shared" si="15"/>
        <v>0</v>
      </c>
      <c r="F240" s="14">
        <f t="shared" si="15"/>
        <v>0</v>
      </c>
      <c r="G240" s="19">
        <f t="shared" si="15"/>
        <v>0</v>
      </c>
      <c r="H240" s="52">
        <f t="shared" si="15"/>
        <v>0</v>
      </c>
      <c r="I240" s="14">
        <f t="shared" si="15"/>
        <v>0</v>
      </c>
      <c r="J240" s="14">
        <f t="shared" si="13"/>
        <v>0</v>
      </c>
      <c r="K240" s="152">
        <f t="shared" si="14"/>
        <v>62168.209255533198</v>
      </c>
    </row>
    <row r="241" spans="1:11" x14ac:dyDescent="0.25">
      <c r="A241" s="61">
        <f>'A) Base RI'!A240</f>
        <v>5798</v>
      </c>
      <c r="B241" s="13" t="str">
        <f>'A) Base RI'!B240</f>
        <v>Ropraz</v>
      </c>
      <c r="C241" s="52">
        <f>'A) Base RI'!AN240</f>
        <v>405</v>
      </c>
      <c r="D241" s="14">
        <f t="shared" si="16"/>
        <v>405</v>
      </c>
      <c r="E241" s="19">
        <f t="shared" si="15"/>
        <v>0</v>
      </c>
      <c r="F241" s="14">
        <f t="shared" si="15"/>
        <v>0</v>
      </c>
      <c r="G241" s="19">
        <f t="shared" si="15"/>
        <v>0</v>
      </c>
      <c r="H241" s="52">
        <f t="shared" si="15"/>
        <v>0</v>
      </c>
      <c r="I241" s="14">
        <f t="shared" si="15"/>
        <v>0</v>
      </c>
      <c r="J241" s="14">
        <f t="shared" si="13"/>
        <v>0</v>
      </c>
      <c r="K241" s="152">
        <f t="shared" si="14"/>
        <v>40092.555331991949</v>
      </c>
    </row>
    <row r="242" spans="1:11" x14ac:dyDescent="0.25">
      <c r="A242" s="61">
        <f>'A) Base RI'!A241</f>
        <v>5799</v>
      </c>
      <c r="B242" s="13" t="str">
        <f>'A) Base RI'!B241</f>
        <v>Servion</v>
      </c>
      <c r="C242" s="52">
        <f>'A) Base RI'!AN241</f>
        <v>1908</v>
      </c>
      <c r="D242" s="14">
        <f t="shared" si="16"/>
        <v>1000</v>
      </c>
      <c r="E242" s="19">
        <f t="shared" si="15"/>
        <v>908</v>
      </c>
      <c r="F242" s="14">
        <f t="shared" si="15"/>
        <v>0</v>
      </c>
      <c r="G242" s="19">
        <f t="shared" si="15"/>
        <v>0</v>
      </c>
      <c r="H242" s="52">
        <f t="shared" si="15"/>
        <v>0</v>
      </c>
      <c r="I242" s="14">
        <f t="shared" si="15"/>
        <v>0</v>
      </c>
      <c r="J242" s="14">
        <f t="shared" si="13"/>
        <v>0</v>
      </c>
      <c r="K242" s="152">
        <f t="shared" si="14"/>
        <v>413596.7806841046</v>
      </c>
    </row>
    <row r="243" spans="1:11" x14ac:dyDescent="0.25">
      <c r="A243" s="61">
        <f>'A) Base RI'!A242</f>
        <v>5803</v>
      </c>
      <c r="B243" s="13" t="str">
        <f>'A) Base RI'!B242</f>
        <v>Vulliens</v>
      </c>
      <c r="C243" s="52">
        <f>'A) Base RI'!AN242</f>
        <v>462</v>
      </c>
      <c r="D243" s="14">
        <f t="shared" si="16"/>
        <v>462</v>
      </c>
      <c r="E243" s="19">
        <f t="shared" si="15"/>
        <v>0</v>
      </c>
      <c r="F243" s="14">
        <f t="shared" si="15"/>
        <v>0</v>
      </c>
      <c r="G243" s="19">
        <f t="shared" si="15"/>
        <v>0</v>
      </c>
      <c r="H243" s="52">
        <f t="shared" si="15"/>
        <v>0</v>
      </c>
      <c r="I243" s="14">
        <f t="shared" si="15"/>
        <v>0</v>
      </c>
      <c r="J243" s="14">
        <f t="shared" si="13"/>
        <v>0</v>
      </c>
      <c r="K243" s="152">
        <f t="shared" si="14"/>
        <v>45735.211267605628</v>
      </c>
    </row>
    <row r="244" spans="1:11" x14ac:dyDescent="0.25">
      <c r="A244" s="61">
        <f>'A) Base RI'!A243</f>
        <v>5804</v>
      </c>
      <c r="B244" s="13" t="str">
        <f>'A) Base RI'!B243</f>
        <v>Jorat-Menthue</v>
      </c>
      <c r="C244" s="52">
        <f>'A) Base RI'!AN243</f>
        <v>1518</v>
      </c>
      <c r="D244" s="14">
        <f t="shared" si="16"/>
        <v>1000</v>
      </c>
      <c r="E244" s="19">
        <f t="shared" si="15"/>
        <v>518</v>
      </c>
      <c r="F244" s="14">
        <f t="shared" si="15"/>
        <v>0</v>
      </c>
      <c r="G244" s="19">
        <f t="shared" si="15"/>
        <v>0</v>
      </c>
      <c r="H244" s="52">
        <f t="shared" si="15"/>
        <v>0</v>
      </c>
      <c r="I244" s="14">
        <f t="shared" si="15"/>
        <v>0</v>
      </c>
      <c r="J244" s="14">
        <f t="shared" si="13"/>
        <v>0</v>
      </c>
      <c r="K244" s="152">
        <f t="shared" si="14"/>
        <v>278470.02012072434</v>
      </c>
    </row>
    <row r="245" spans="1:11" x14ac:dyDescent="0.25">
      <c r="A245" s="61">
        <f>'A) Base RI'!A244</f>
        <v>5805</v>
      </c>
      <c r="B245" s="13" t="str">
        <f>'A) Base RI'!B244</f>
        <v>Oron</v>
      </c>
      <c r="C245" s="52">
        <f>'A) Base RI'!AN244</f>
        <v>5297</v>
      </c>
      <c r="D245" s="14">
        <f t="shared" si="16"/>
        <v>1000</v>
      </c>
      <c r="E245" s="19">
        <f t="shared" si="15"/>
        <v>2000</v>
      </c>
      <c r="F245" s="14">
        <f t="shared" si="15"/>
        <v>2000</v>
      </c>
      <c r="G245" s="19">
        <f t="shared" si="15"/>
        <v>297</v>
      </c>
      <c r="H245" s="52">
        <f t="shared" si="15"/>
        <v>0</v>
      </c>
      <c r="I245" s="14">
        <f t="shared" si="15"/>
        <v>0</v>
      </c>
      <c r="J245" s="14">
        <f t="shared" si="13"/>
        <v>0</v>
      </c>
      <c r="K245" s="152">
        <f t="shared" si="14"/>
        <v>1958298.5915492959</v>
      </c>
    </row>
    <row r="246" spans="1:11" x14ac:dyDescent="0.25">
      <c r="A246" s="61">
        <f>'A) Base RI'!A245</f>
        <v>5806</v>
      </c>
      <c r="B246" s="13" t="str">
        <f>'A) Base RI'!B245</f>
        <v>Jorat-Mézières</v>
      </c>
      <c r="C246" s="52">
        <f>'A) Base RI'!AN245</f>
        <v>2755</v>
      </c>
      <c r="D246" s="14">
        <f t="shared" si="16"/>
        <v>1000</v>
      </c>
      <c r="E246" s="19">
        <f t="shared" si="15"/>
        <v>1755</v>
      </c>
      <c r="F246" s="14">
        <f t="shared" si="15"/>
        <v>0</v>
      </c>
      <c r="G246" s="19">
        <f t="shared" si="15"/>
        <v>0</v>
      </c>
      <c r="H246" s="52">
        <f t="shared" si="15"/>
        <v>0</v>
      </c>
      <c r="I246" s="14">
        <f t="shared" si="15"/>
        <v>0</v>
      </c>
      <c r="J246" s="14">
        <f t="shared" si="13"/>
        <v>0</v>
      </c>
      <c r="K246" s="152">
        <f t="shared" si="14"/>
        <v>707064.38631790737</v>
      </c>
    </row>
    <row r="247" spans="1:11" x14ac:dyDescent="0.25">
      <c r="A247" s="61">
        <f>'A) Base RI'!A246</f>
        <v>5812</v>
      </c>
      <c r="B247" s="13" t="str">
        <f>'A) Base RI'!B246</f>
        <v>Champtauroz</v>
      </c>
      <c r="C247" s="52">
        <f>'A) Base RI'!AN246</f>
        <v>133</v>
      </c>
      <c r="D247" s="14">
        <f t="shared" si="16"/>
        <v>133</v>
      </c>
      <c r="E247" s="19">
        <f t="shared" si="15"/>
        <v>0</v>
      </c>
      <c r="F247" s="14">
        <f t="shared" si="15"/>
        <v>0</v>
      </c>
      <c r="G247" s="19">
        <f t="shared" si="15"/>
        <v>0</v>
      </c>
      <c r="H247" s="52">
        <f t="shared" si="15"/>
        <v>0</v>
      </c>
      <c r="I247" s="14">
        <f t="shared" si="15"/>
        <v>0</v>
      </c>
      <c r="J247" s="14">
        <f t="shared" si="13"/>
        <v>0</v>
      </c>
      <c r="K247" s="152">
        <f t="shared" si="14"/>
        <v>13166.197183098591</v>
      </c>
    </row>
    <row r="248" spans="1:11" x14ac:dyDescent="0.25">
      <c r="A248" s="61">
        <f>'A) Base RI'!A247</f>
        <v>5813</v>
      </c>
      <c r="B248" s="13" t="str">
        <f>'A) Base RI'!B247</f>
        <v>Chevroux</v>
      </c>
      <c r="C248" s="52">
        <f>'A) Base RI'!AN247</f>
        <v>430</v>
      </c>
      <c r="D248" s="14">
        <f t="shared" si="16"/>
        <v>430</v>
      </c>
      <c r="E248" s="19">
        <f t="shared" si="15"/>
        <v>0</v>
      </c>
      <c r="F248" s="14">
        <f t="shared" si="15"/>
        <v>0</v>
      </c>
      <c r="G248" s="19">
        <f t="shared" si="15"/>
        <v>0</v>
      </c>
      <c r="H248" s="52">
        <f t="shared" si="15"/>
        <v>0</v>
      </c>
      <c r="I248" s="14">
        <f t="shared" si="15"/>
        <v>0</v>
      </c>
      <c r="J248" s="14">
        <f t="shared" si="13"/>
        <v>0</v>
      </c>
      <c r="K248" s="152">
        <f t="shared" si="14"/>
        <v>42567.404426559355</v>
      </c>
    </row>
    <row r="249" spans="1:11" x14ac:dyDescent="0.25">
      <c r="A249" s="61">
        <f>'A) Base RI'!A248</f>
        <v>5816</v>
      </c>
      <c r="B249" s="13" t="str">
        <f>'A) Base RI'!B248</f>
        <v>Corcelles-près-Payerne</v>
      </c>
      <c r="C249" s="52">
        <f>'A) Base RI'!AN248</f>
        <v>2229</v>
      </c>
      <c r="D249" s="14">
        <f t="shared" si="16"/>
        <v>1000</v>
      </c>
      <c r="E249" s="19">
        <f t="shared" si="15"/>
        <v>1229</v>
      </c>
      <c r="F249" s="14">
        <f t="shared" si="15"/>
        <v>0</v>
      </c>
      <c r="G249" s="19">
        <f t="shared" si="15"/>
        <v>0</v>
      </c>
      <c r="H249" s="52">
        <f t="shared" si="15"/>
        <v>0</v>
      </c>
      <c r="I249" s="14">
        <f t="shared" si="15"/>
        <v>0</v>
      </c>
      <c r="J249" s="14">
        <f t="shared" si="13"/>
        <v>0</v>
      </c>
      <c r="K249" s="152">
        <f t="shared" si="14"/>
        <v>524816.4989939637</v>
      </c>
    </row>
    <row r="250" spans="1:11" x14ac:dyDescent="0.25">
      <c r="A250" s="61">
        <f>'A) Base RI'!A249</f>
        <v>5817</v>
      </c>
      <c r="B250" s="13" t="str">
        <f>'A) Base RI'!B249</f>
        <v>Grandcour</v>
      </c>
      <c r="C250" s="52">
        <f>'A) Base RI'!AN249</f>
        <v>856</v>
      </c>
      <c r="D250" s="14">
        <f t="shared" si="16"/>
        <v>856</v>
      </c>
      <c r="E250" s="19">
        <f t="shared" si="15"/>
        <v>0</v>
      </c>
      <c r="F250" s="14">
        <f t="shared" si="15"/>
        <v>0</v>
      </c>
      <c r="G250" s="19">
        <f t="shared" si="15"/>
        <v>0</v>
      </c>
      <c r="H250" s="52">
        <f t="shared" si="15"/>
        <v>0</v>
      </c>
      <c r="I250" s="14">
        <f t="shared" si="15"/>
        <v>0</v>
      </c>
      <c r="J250" s="14">
        <f t="shared" si="13"/>
        <v>0</v>
      </c>
      <c r="K250" s="152">
        <f t="shared" si="14"/>
        <v>84738.83299798792</v>
      </c>
    </row>
    <row r="251" spans="1:11" x14ac:dyDescent="0.25">
      <c r="A251" s="61">
        <f>'A) Base RI'!A250</f>
        <v>5819</v>
      </c>
      <c r="B251" s="13" t="str">
        <f>'A) Base RI'!B250</f>
        <v>Henniez</v>
      </c>
      <c r="C251" s="52">
        <f>'A) Base RI'!AN250</f>
        <v>339</v>
      </c>
      <c r="D251" s="14">
        <f t="shared" si="16"/>
        <v>339</v>
      </c>
      <c r="E251" s="19">
        <f t="shared" si="15"/>
        <v>0</v>
      </c>
      <c r="F251" s="14">
        <f t="shared" si="15"/>
        <v>0</v>
      </c>
      <c r="G251" s="19">
        <f t="shared" si="15"/>
        <v>0</v>
      </c>
      <c r="H251" s="52">
        <f t="shared" si="15"/>
        <v>0</v>
      </c>
      <c r="I251" s="14">
        <f t="shared" si="15"/>
        <v>0</v>
      </c>
      <c r="J251" s="14">
        <f t="shared" si="13"/>
        <v>0</v>
      </c>
      <c r="K251" s="152">
        <f t="shared" si="14"/>
        <v>33558.953722334001</v>
      </c>
    </row>
    <row r="252" spans="1:11" x14ac:dyDescent="0.25">
      <c r="A252" s="61">
        <f>'A) Base RI'!A251</f>
        <v>5821</v>
      </c>
      <c r="B252" s="13" t="str">
        <f>'A) Base RI'!B251</f>
        <v>Missy</v>
      </c>
      <c r="C252" s="52">
        <f>'A) Base RI'!AN251</f>
        <v>350</v>
      </c>
      <c r="D252" s="14">
        <f t="shared" si="16"/>
        <v>350</v>
      </c>
      <c r="E252" s="19">
        <f t="shared" si="15"/>
        <v>0</v>
      </c>
      <c r="F252" s="14">
        <f t="shared" si="15"/>
        <v>0</v>
      </c>
      <c r="G252" s="19">
        <f t="shared" si="15"/>
        <v>0</v>
      </c>
      <c r="H252" s="52">
        <f t="shared" si="15"/>
        <v>0</v>
      </c>
      <c r="I252" s="14">
        <f t="shared" si="15"/>
        <v>0</v>
      </c>
      <c r="J252" s="14">
        <f t="shared" si="13"/>
        <v>0</v>
      </c>
      <c r="K252" s="152">
        <f t="shared" si="14"/>
        <v>34647.887323943658</v>
      </c>
    </row>
    <row r="253" spans="1:11" x14ac:dyDescent="0.25">
      <c r="A253" s="61">
        <f>'A) Base RI'!A252</f>
        <v>5822</v>
      </c>
      <c r="B253" s="13" t="str">
        <f>'A) Base RI'!B252</f>
        <v>Payerne</v>
      </c>
      <c r="C253" s="52">
        <f>'A) Base RI'!AN252</f>
        <v>9302</v>
      </c>
      <c r="D253" s="14">
        <f t="shared" si="16"/>
        <v>1000</v>
      </c>
      <c r="E253" s="19">
        <f t="shared" si="15"/>
        <v>2000</v>
      </c>
      <c r="F253" s="14">
        <f t="shared" si="15"/>
        <v>2000</v>
      </c>
      <c r="G253" s="19">
        <f t="shared" si="15"/>
        <v>4000</v>
      </c>
      <c r="H253" s="52">
        <f t="shared" si="15"/>
        <v>302</v>
      </c>
      <c r="I253" s="14">
        <f t="shared" si="15"/>
        <v>0</v>
      </c>
      <c r="J253" s="14">
        <f t="shared" si="13"/>
        <v>0</v>
      </c>
      <c r="K253" s="152">
        <f t="shared" si="14"/>
        <v>4411863.9839034202</v>
      </c>
    </row>
    <row r="254" spans="1:11" x14ac:dyDescent="0.25">
      <c r="A254" s="61">
        <f>'A) Base RI'!A253</f>
        <v>5827</v>
      </c>
      <c r="B254" s="13" t="str">
        <f>'A) Base RI'!B253</f>
        <v>Trey</v>
      </c>
      <c r="C254" s="52">
        <f>'A) Base RI'!AN253</f>
        <v>255</v>
      </c>
      <c r="D254" s="14">
        <f t="shared" si="16"/>
        <v>255</v>
      </c>
      <c r="E254" s="19">
        <f t="shared" si="15"/>
        <v>0</v>
      </c>
      <c r="F254" s="14">
        <f t="shared" si="15"/>
        <v>0</v>
      </c>
      <c r="G254" s="19">
        <f t="shared" si="15"/>
        <v>0</v>
      </c>
      <c r="H254" s="52">
        <f t="shared" si="15"/>
        <v>0</v>
      </c>
      <c r="I254" s="14">
        <f t="shared" si="15"/>
        <v>0</v>
      </c>
      <c r="J254" s="14">
        <f t="shared" si="13"/>
        <v>0</v>
      </c>
      <c r="K254" s="152">
        <f t="shared" si="14"/>
        <v>25243.460764587522</v>
      </c>
    </row>
    <row r="255" spans="1:11" x14ac:dyDescent="0.25">
      <c r="A255" s="61">
        <f>'A) Base RI'!A254</f>
        <v>5828</v>
      </c>
      <c r="B255" s="13" t="str">
        <f>'A) Base RI'!B254</f>
        <v>Treytorrens (Payerne)</v>
      </c>
      <c r="C255" s="52">
        <f>'A) Base RI'!AN254</f>
        <v>124</v>
      </c>
      <c r="D255" s="14">
        <f t="shared" si="16"/>
        <v>124</v>
      </c>
      <c r="E255" s="19">
        <f t="shared" si="15"/>
        <v>0</v>
      </c>
      <c r="F255" s="14">
        <f t="shared" si="15"/>
        <v>0</v>
      </c>
      <c r="G255" s="19">
        <f t="shared" si="15"/>
        <v>0</v>
      </c>
      <c r="H255" s="52">
        <f t="shared" si="15"/>
        <v>0</v>
      </c>
      <c r="I255" s="14">
        <f t="shared" si="15"/>
        <v>0</v>
      </c>
      <c r="J255" s="14">
        <f t="shared" si="13"/>
        <v>0</v>
      </c>
      <c r="K255" s="152">
        <f t="shared" si="14"/>
        <v>12275.251509054326</v>
      </c>
    </row>
    <row r="256" spans="1:11" x14ac:dyDescent="0.25">
      <c r="A256" s="61">
        <f>'A) Base RI'!A255</f>
        <v>5830</v>
      </c>
      <c r="B256" s="13" t="str">
        <f>'A) Base RI'!B255</f>
        <v>Villarzel</v>
      </c>
      <c r="C256" s="52">
        <f>'A) Base RI'!AN255</f>
        <v>415</v>
      </c>
      <c r="D256" s="14">
        <f t="shared" si="16"/>
        <v>415</v>
      </c>
      <c r="E256" s="19">
        <f t="shared" si="15"/>
        <v>0</v>
      </c>
      <c r="F256" s="14">
        <f t="shared" si="15"/>
        <v>0</v>
      </c>
      <c r="G256" s="19">
        <f t="shared" si="15"/>
        <v>0</v>
      </c>
      <c r="H256" s="52">
        <f t="shared" si="15"/>
        <v>0</v>
      </c>
      <c r="I256" s="14">
        <f t="shared" si="15"/>
        <v>0</v>
      </c>
      <c r="J256" s="14">
        <f t="shared" si="13"/>
        <v>0</v>
      </c>
      <c r="K256" s="152">
        <f t="shared" si="14"/>
        <v>41082.494969818908</v>
      </c>
    </row>
    <row r="257" spans="1:11" x14ac:dyDescent="0.25">
      <c r="A257" s="61">
        <f>'A) Base RI'!A256</f>
        <v>5831</v>
      </c>
      <c r="B257" s="13" t="str">
        <f>'A) Base RI'!B256</f>
        <v>Valbroye</v>
      </c>
      <c r="C257" s="52">
        <f>'A) Base RI'!AN256</f>
        <v>2960</v>
      </c>
      <c r="D257" s="14">
        <f t="shared" si="16"/>
        <v>1000</v>
      </c>
      <c r="E257" s="19">
        <f t="shared" si="15"/>
        <v>1960</v>
      </c>
      <c r="F257" s="14">
        <f t="shared" si="15"/>
        <v>0</v>
      </c>
      <c r="G257" s="19">
        <f t="shared" si="15"/>
        <v>0</v>
      </c>
      <c r="H257" s="52">
        <f t="shared" si="15"/>
        <v>0</v>
      </c>
      <c r="I257" s="14">
        <f t="shared" si="15"/>
        <v>0</v>
      </c>
      <c r="J257" s="14">
        <f t="shared" si="13"/>
        <v>0</v>
      </c>
      <c r="K257" s="152">
        <f t="shared" si="14"/>
        <v>778092.55533199187</v>
      </c>
    </row>
    <row r="258" spans="1:11" x14ac:dyDescent="0.25">
      <c r="A258" s="61">
        <f>'A) Base RI'!A257</f>
        <v>5841</v>
      </c>
      <c r="B258" s="13" t="str">
        <f>'A) Base RI'!B257</f>
        <v>Château-d'Oex</v>
      </c>
      <c r="C258" s="52">
        <f>'A) Base RI'!AN257</f>
        <v>3408</v>
      </c>
      <c r="D258" s="14">
        <f t="shared" si="16"/>
        <v>1000</v>
      </c>
      <c r="E258" s="19">
        <f t="shared" si="15"/>
        <v>2000</v>
      </c>
      <c r="F258" s="14">
        <f t="shared" si="15"/>
        <v>408</v>
      </c>
      <c r="G258" s="19">
        <f t="shared" si="15"/>
        <v>0</v>
      </c>
      <c r="H258" s="52">
        <f t="shared" si="15"/>
        <v>0</v>
      </c>
      <c r="I258" s="14">
        <f t="shared" si="15"/>
        <v>0</v>
      </c>
      <c r="J258" s="14">
        <f t="shared" si="13"/>
        <v>0</v>
      </c>
      <c r="K258" s="152">
        <f t="shared" si="14"/>
        <v>993899.39637826954</v>
      </c>
    </row>
    <row r="259" spans="1:11" x14ac:dyDescent="0.25">
      <c r="A259" s="61">
        <f>'A) Base RI'!A258</f>
        <v>5842</v>
      </c>
      <c r="B259" s="13" t="str">
        <f>'A) Base RI'!B258</f>
        <v>Rossinière</v>
      </c>
      <c r="C259" s="52">
        <f>'A) Base RI'!AN258</f>
        <v>565</v>
      </c>
      <c r="D259" s="14">
        <f t="shared" si="16"/>
        <v>565</v>
      </c>
      <c r="E259" s="19">
        <f t="shared" si="15"/>
        <v>0</v>
      </c>
      <c r="F259" s="14">
        <f t="shared" si="15"/>
        <v>0</v>
      </c>
      <c r="G259" s="19">
        <f t="shared" ref="E259:I310" si="17">IF($C259&gt;G$4,IF($C259&lt;G$5,$C259-G$4,G$5-G$4),0)</f>
        <v>0</v>
      </c>
      <c r="H259" s="52">
        <f t="shared" si="17"/>
        <v>0</v>
      </c>
      <c r="I259" s="14">
        <f t="shared" si="17"/>
        <v>0</v>
      </c>
      <c r="J259" s="14">
        <f t="shared" si="13"/>
        <v>0</v>
      </c>
      <c r="K259" s="152">
        <f t="shared" si="14"/>
        <v>55931.589537223335</v>
      </c>
    </row>
    <row r="260" spans="1:11" x14ac:dyDescent="0.25">
      <c r="A260" s="61">
        <f>'A) Base RI'!A259</f>
        <v>5843</v>
      </c>
      <c r="B260" s="13" t="str">
        <f>'A) Base RI'!B259</f>
        <v>Rougemont</v>
      </c>
      <c r="C260" s="52">
        <f>'A) Base RI'!AN259</f>
        <v>881</v>
      </c>
      <c r="D260" s="14">
        <f t="shared" si="16"/>
        <v>881</v>
      </c>
      <c r="E260" s="19">
        <f t="shared" si="17"/>
        <v>0</v>
      </c>
      <c r="F260" s="14">
        <f t="shared" si="17"/>
        <v>0</v>
      </c>
      <c r="G260" s="19">
        <f t="shared" si="17"/>
        <v>0</v>
      </c>
      <c r="H260" s="52">
        <f t="shared" si="17"/>
        <v>0</v>
      </c>
      <c r="I260" s="14">
        <f t="shared" si="17"/>
        <v>0</v>
      </c>
      <c r="J260" s="14">
        <f t="shared" si="13"/>
        <v>0</v>
      </c>
      <c r="K260" s="152">
        <f t="shared" si="14"/>
        <v>87213.682092555333</v>
      </c>
    </row>
    <row r="261" spans="1:11" x14ac:dyDescent="0.25">
      <c r="A261" s="61">
        <f>'A) Base RI'!A260</f>
        <v>5851</v>
      </c>
      <c r="B261" s="13" t="str">
        <f>'A) Base RI'!B260</f>
        <v>Allaman</v>
      </c>
      <c r="C261" s="52">
        <f>'A) Base RI'!AN260</f>
        <v>393</v>
      </c>
      <c r="D261" s="14">
        <f t="shared" si="16"/>
        <v>393</v>
      </c>
      <c r="E261" s="19">
        <f t="shared" si="17"/>
        <v>0</v>
      </c>
      <c r="F261" s="14">
        <f t="shared" si="17"/>
        <v>0</v>
      </c>
      <c r="G261" s="19">
        <f t="shared" si="17"/>
        <v>0</v>
      </c>
      <c r="H261" s="52">
        <f t="shared" si="17"/>
        <v>0</v>
      </c>
      <c r="I261" s="14">
        <f t="shared" si="17"/>
        <v>0</v>
      </c>
      <c r="J261" s="14">
        <f t="shared" si="13"/>
        <v>0</v>
      </c>
      <c r="K261" s="152">
        <f t="shared" si="14"/>
        <v>38904.627766599595</v>
      </c>
    </row>
    <row r="262" spans="1:11" x14ac:dyDescent="0.25">
      <c r="A262" s="61">
        <f>'A) Base RI'!A261</f>
        <v>5852</v>
      </c>
      <c r="B262" s="13" t="str">
        <f>'A) Base RI'!B261</f>
        <v>Bursinel</v>
      </c>
      <c r="C262" s="52">
        <f>'A) Base RI'!AN261</f>
        <v>477</v>
      </c>
      <c r="D262" s="14">
        <f t="shared" si="16"/>
        <v>477</v>
      </c>
      <c r="E262" s="19">
        <f t="shared" si="17"/>
        <v>0</v>
      </c>
      <c r="F262" s="14">
        <f t="shared" si="17"/>
        <v>0</v>
      </c>
      <c r="G262" s="19">
        <f t="shared" si="17"/>
        <v>0</v>
      </c>
      <c r="H262" s="52">
        <f t="shared" si="17"/>
        <v>0</v>
      </c>
      <c r="I262" s="14">
        <f t="shared" si="17"/>
        <v>0</v>
      </c>
      <c r="J262" s="14">
        <f t="shared" si="13"/>
        <v>0</v>
      </c>
      <c r="K262" s="152">
        <f t="shared" si="14"/>
        <v>47220.120724346074</v>
      </c>
    </row>
    <row r="263" spans="1:11" x14ac:dyDescent="0.25">
      <c r="A263" s="61">
        <f>'A) Base RI'!A262</f>
        <v>5853</v>
      </c>
      <c r="B263" s="13" t="str">
        <f>'A) Base RI'!B262</f>
        <v>Bursins</v>
      </c>
      <c r="C263" s="52">
        <f>'A) Base RI'!AN262</f>
        <v>772</v>
      </c>
      <c r="D263" s="14">
        <f t="shared" si="16"/>
        <v>772</v>
      </c>
      <c r="E263" s="19">
        <f t="shared" si="17"/>
        <v>0</v>
      </c>
      <c r="F263" s="14">
        <f t="shared" si="17"/>
        <v>0</v>
      </c>
      <c r="G263" s="19">
        <f t="shared" si="17"/>
        <v>0</v>
      </c>
      <c r="H263" s="52">
        <f t="shared" si="17"/>
        <v>0</v>
      </c>
      <c r="I263" s="14">
        <f t="shared" si="17"/>
        <v>0</v>
      </c>
      <c r="J263" s="14">
        <f t="shared" si="13"/>
        <v>0</v>
      </c>
      <c r="K263" s="152">
        <f t="shared" si="14"/>
        <v>76423.340040241441</v>
      </c>
    </row>
    <row r="264" spans="1:11" x14ac:dyDescent="0.25">
      <c r="A264" s="61">
        <f>'A) Base RI'!A263</f>
        <v>5854</v>
      </c>
      <c r="B264" s="13" t="str">
        <f>'A) Base RI'!B263</f>
        <v>Burtigny</v>
      </c>
      <c r="C264" s="52">
        <f>'A) Base RI'!AN263</f>
        <v>352</v>
      </c>
      <c r="D264" s="14">
        <f t="shared" si="16"/>
        <v>352</v>
      </c>
      <c r="E264" s="19">
        <f t="shared" si="17"/>
        <v>0</v>
      </c>
      <c r="F264" s="14">
        <f t="shared" si="17"/>
        <v>0</v>
      </c>
      <c r="G264" s="19">
        <f t="shared" si="17"/>
        <v>0</v>
      </c>
      <c r="H264" s="52">
        <f t="shared" si="17"/>
        <v>0</v>
      </c>
      <c r="I264" s="14">
        <f t="shared" si="17"/>
        <v>0</v>
      </c>
      <c r="J264" s="14">
        <f t="shared" si="13"/>
        <v>0</v>
      </c>
      <c r="K264" s="152">
        <f t="shared" si="14"/>
        <v>34845.875251509053</v>
      </c>
    </row>
    <row r="265" spans="1:11" x14ac:dyDescent="0.25">
      <c r="A265" s="61">
        <f>'A) Base RI'!A264</f>
        <v>5855</v>
      </c>
      <c r="B265" s="13" t="str">
        <f>'A) Base RI'!B264</f>
        <v>Dully</v>
      </c>
      <c r="C265" s="52">
        <f>'A) Base RI'!AN264</f>
        <v>636</v>
      </c>
      <c r="D265" s="14">
        <f t="shared" si="16"/>
        <v>636</v>
      </c>
      <c r="E265" s="19">
        <f t="shared" si="17"/>
        <v>0</v>
      </c>
      <c r="F265" s="14">
        <f t="shared" si="17"/>
        <v>0</v>
      </c>
      <c r="G265" s="19">
        <f t="shared" si="17"/>
        <v>0</v>
      </c>
      <c r="H265" s="52">
        <f t="shared" si="17"/>
        <v>0</v>
      </c>
      <c r="I265" s="14">
        <f t="shared" si="17"/>
        <v>0</v>
      </c>
      <c r="J265" s="14">
        <f t="shared" ref="J265:J316" si="18">IF(C265&gt;$J$4,C265-$J$4,0)</f>
        <v>0</v>
      </c>
      <c r="K265" s="152">
        <f t="shared" ref="K265:K316" si="19">(D265*D$7)+(E265*E$7)+(F265*F$7)+(G265*G$7)+(H265*H$7)+(I265*I$7)+(J265*J$7)</f>
        <v>62960.160965794763</v>
      </c>
    </row>
    <row r="266" spans="1:11" x14ac:dyDescent="0.25">
      <c r="A266" s="61">
        <f>'A) Base RI'!A265</f>
        <v>5856</v>
      </c>
      <c r="B266" s="13" t="str">
        <f>'A) Base RI'!B265</f>
        <v>Essertines-sur-Rolle</v>
      </c>
      <c r="C266" s="52">
        <f>'A) Base RI'!AN265</f>
        <v>700</v>
      </c>
      <c r="D266" s="14">
        <f t="shared" si="16"/>
        <v>700</v>
      </c>
      <c r="E266" s="19">
        <f t="shared" si="17"/>
        <v>0</v>
      </c>
      <c r="F266" s="14">
        <f t="shared" si="17"/>
        <v>0</v>
      </c>
      <c r="G266" s="19">
        <f t="shared" si="17"/>
        <v>0</v>
      </c>
      <c r="H266" s="52">
        <f t="shared" si="17"/>
        <v>0</v>
      </c>
      <c r="I266" s="14">
        <f t="shared" si="17"/>
        <v>0</v>
      </c>
      <c r="J266" s="14">
        <f t="shared" si="18"/>
        <v>0</v>
      </c>
      <c r="K266" s="152">
        <f t="shared" si="19"/>
        <v>69295.774647887316</v>
      </c>
    </row>
    <row r="267" spans="1:11" x14ac:dyDescent="0.25">
      <c r="A267" s="61">
        <f>'A) Base RI'!A266</f>
        <v>5857</v>
      </c>
      <c r="B267" s="13" t="str">
        <f>'A) Base RI'!B266</f>
        <v>Gilly</v>
      </c>
      <c r="C267" s="52">
        <f>'A) Base RI'!AN266</f>
        <v>1131</v>
      </c>
      <c r="D267" s="14">
        <f t="shared" si="16"/>
        <v>1000</v>
      </c>
      <c r="E267" s="19">
        <f t="shared" si="17"/>
        <v>131</v>
      </c>
      <c r="F267" s="14">
        <f t="shared" si="17"/>
        <v>0</v>
      </c>
      <c r="G267" s="19">
        <f t="shared" si="17"/>
        <v>0</v>
      </c>
      <c r="H267" s="52">
        <f t="shared" si="17"/>
        <v>0</v>
      </c>
      <c r="I267" s="14">
        <f t="shared" si="17"/>
        <v>0</v>
      </c>
      <c r="J267" s="14">
        <f t="shared" si="18"/>
        <v>0</v>
      </c>
      <c r="K267" s="152">
        <f t="shared" si="19"/>
        <v>144382.69617706237</v>
      </c>
    </row>
    <row r="268" spans="1:11" x14ac:dyDescent="0.25">
      <c r="A268" s="61">
        <f>'A) Base RI'!A267</f>
        <v>5858</v>
      </c>
      <c r="B268" s="13" t="str">
        <f>'A) Base RI'!B267</f>
        <v>Luins</v>
      </c>
      <c r="C268" s="52">
        <f>'A) Base RI'!AN267</f>
        <v>633</v>
      </c>
      <c r="D268" s="14">
        <f t="shared" si="16"/>
        <v>633</v>
      </c>
      <c r="E268" s="19">
        <f t="shared" si="17"/>
        <v>0</v>
      </c>
      <c r="F268" s="14">
        <f t="shared" si="17"/>
        <v>0</v>
      </c>
      <c r="G268" s="19">
        <f t="shared" si="17"/>
        <v>0</v>
      </c>
      <c r="H268" s="52">
        <f t="shared" si="17"/>
        <v>0</v>
      </c>
      <c r="I268" s="14">
        <f t="shared" si="17"/>
        <v>0</v>
      </c>
      <c r="J268" s="14">
        <f t="shared" si="18"/>
        <v>0</v>
      </c>
      <c r="K268" s="152">
        <f t="shared" si="19"/>
        <v>62663.179074446678</v>
      </c>
    </row>
    <row r="269" spans="1:11" x14ac:dyDescent="0.25">
      <c r="A269" s="61">
        <f>'A) Base RI'!A268</f>
        <v>5859</v>
      </c>
      <c r="B269" s="13" t="str">
        <f>'A) Base RI'!B268</f>
        <v>Mont-sur-Rolle</v>
      </c>
      <c r="C269" s="52">
        <f>'A) Base RI'!AN268</f>
        <v>2594</v>
      </c>
      <c r="D269" s="14">
        <f t="shared" si="16"/>
        <v>1000</v>
      </c>
      <c r="E269" s="19">
        <f t="shared" si="17"/>
        <v>1594</v>
      </c>
      <c r="F269" s="14">
        <f t="shared" si="17"/>
        <v>0</v>
      </c>
      <c r="G269" s="19">
        <f t="shared" si="17"/>
        <v>0</v>
      </c>
      <c r="H269" s="52">
        <f t="shared" si="17"/>
        <v>0</v>
      </c>
      <c r="I269" s="14">
        <f t="shared" si="17"/>
        <v>0</v>
      </c>
      <c r="J269" s="14">
        <f t="shared" si="18"/>
        <v>0</v>
      </c>
      <c r="K269" s="152">
        <f t="shared" si="19"/>
        <v>651281.28772635816</v>
      </c>
    </row>
    <row r="270" spans="1:11" x14ac:dyDescent="0.25">
      <c r="A270" s="61">
        <f>'A) Base RI'!A269</f>
        <v>5860</v>
      </c>
      <c r="B270" s="13" t="str">
        <f>'A) Base RI'!B269</f>
        <v>Perroy</v>
      </c>
      <c r="C270" s="52">
        <f>'A) Base RI'!AN269</f>
        <v>1464</v>
      </c>
      <c r="D270" s="14">
        <f t="shared" si="16"/>
        <v>1000</v>
      </c>
      <c r="E270" s="19">
        <f t="shared" si="17"/>
        <v>464</v>
      </c>
      <c r="F270" s="14">
        <f t="shared" si="17"/>
        <v>0</v>
      </c>
      <c r="G270" s="19">
        <f t="shared" si="17"/>
        <v>0</v>
      </c>
      <c r="H270" s="52">
        <f t="shared" si="17"/>
        <v>0</v>
      </c>
      <c r="I270" s="14">
        <f t="shared" si="17"/>
        <v>0</v>
      </c>
      <c r="J270" s="14">
        <f t="shared" si="18"/>
        <v>0</v>
      </c>
      <c r="K270" s="152">
        <f t="shared" si="19"/>
        <v>259760.16096579476</v>
      </c>
    </row>
    <row r="271" spans="1:11" x14ac:dyDescent="0.25">
      <c r="A271" s="61">
        <f>'A) Base RI'!A270</f>
        <v>5861</v>
      </c>
      <c r="B271" s="13" t="str">
        <f>'A) Base RI'!B270</f>
        <v>Rolle</v>
      </c>
      <c r="C271" s="52">
        <f>'A) Base RI'!AN270</f>
        <v>6047</v>
      </c>
      <c r="D271" s="14">
        <f t="shared" si="16"/>
        <v>1000</v>
      </c>
      <c r="E271" s="19">
        <f t="shared" si="17"/>
        <v>2000</v>
      </c>
      <c r="F271" s="14">
        <f t="shared" si="17"/>
        <v>2000</v>
      </c>
      <c r="G271" s="19">
        <f t="shared" si="17"/>
        <v>1047</v>
      </c>
      <c r="H271" s="52">
        <f t="shared" si="17"/>
        <v>0</v>
      </c>
      <c r="I271" s="14">
        <f t="shared" si="17"/>
        <v>0</v>
      </c>
      <c r="J271" s="14">
        <f t="shared" si="18"/>
        <v>0</v>
      </c>
      <c r="K271" s="152">
        <f t="shared" si="19"/>
        <v>2403771.4285714286</v>
      </c>
    </row>
    <row r="272" spans="1:11" x14ac:dyDescent="0.25">
      <c r="A272" s="61">
        <f>'A) Base RI'!A271</f>
        <v>5862</v>
      </c>
      <c r="B272" s="13" t="str">
        <f>'A) Base RI'!B271</f>
        <v>Tartegnin</v>
      </c>
      <c r="C272" s="52">
        <f>'A) Base RI'!AN271</f>
        <v>230</v>
      </c>
      <c r="D272" s="14">
        <f t="shared" si="16"/>
        <v>230</v>
      </c>
      <c r="E272" s="19">
        <f t="shared" si="17"/>
        <v>0</v>
      </c>
      <c r="F272" s="14">
        <f t="shared" si="17"/>
        <v>0</v>
      </c>
      <c r="G272" s="19">
        <f t="shared" si="17"/>
        <v>0</v>
      </c>
      <c r="H272" s="52">
        <f t="shared" si="17"/>
        <v>0</v>
      </c>
      <c r="I272" s="14">
        <f t="shared" si="17"/>
        <v>0</v>
      </c>
      <c r="J272" s="14">
        <f t="shared" si="18"/>
        <v>0</v>
      </c>
      <c r="K272" s="152">
        <f t="shared" si="19"/>
        <v>22768.61167002012</v>
      </c>
    </row>
    <row r="273" spans="1:11" x14ac:dyDescent="0.25">
      <c r="A273" s="61">
        <f>'A) Base RI'!A272</f>
        <v>5863</v>
      </c>
      <c r="B273" s="13" t="str">
        <f>'A) Base RI'!B272</f>
        <v>Vinzel</v>
      </c>
      <c r="C273" s="52">
        <f>'A) Base RI'!AN272</f>
        <v>349</v>
      </c>
      <c r="D273" s="14">
        <f t="shared" si="16"/>
        <v>349</v>
      </c>
      <c r="E273" s="19">
        <f t="shared" si="17"/>
        <v>0</v>
      </c>
      <c r="F273" s="14">
        <f t="shared" si="17"/>
        <v>0</v>
      </c>
      <c r="G273" s="19">
        <f t="shared" si="17"/>
        <v>0</v>
      </c>
      <c r="H273" s="52">
        <f t="shared" si="17"/>
        <v>0</v>
      </c>
      <c r="I273" s="14">
        <f t="shared" si="17"/>
        <v>0</v>
      </c>
      <c r="J273" s="14">
        <f t="shared" si="18"/>
        <v>0</v>
      </c>
      <c r="K273" s="152">
        <f t="shared" si="19"/>
        <v>34548.893360160961</v>
      </c>
    </row>
    <row r="274" spans="1:11" x14ac:dyDescent="0.25">
      <c r="A274" s="61">
        <f>'A) Base RI'!A273</f>
        <v>5871</v>
      </c>
      <c r="B274" s="13" t="str">
        <f>'A) Base RI'!B273</f>
        <v>L'Abbaye</v>
      </c>
      <c r="C274" s="52">
        <f>'A) Base RI'!AN273</f>
        <v>1423</v>
      </c>
      <c r="D274" s="14">
        <f t="shared" si="16"/>
        <v>1000</v>
      </c>
      <c r="E274" s="19">
        <f t="shared" si="17"/>
        <v>423</v>
      </c>
      <c r="F274" s="14">
        <f t="shared" si="17"/>
        <v>0</v>
      </c>
      <c r="G274" s="19">
        <f t="shared" si="17"/>
        <v>0</v>
      </c>
      <c r="H274" s="52">
        <f t="shared" si="17"/>
        <v>0</v>
      </c>
      <c r="I274" s="14">
        <f t="shared" si="17"/>
        <v>0</v>
      </c>
      <c r="J274" s="14">
        <f t="shared" si="18"/>
        <v>0</v>
      </c>
      <c r="K274" s="152">
        <f t="shared" si="19"/>
        <v>245554.52716297784</v>
      </c>
    </row>
    <row r="275" spans="1:11" x14ac:dyDescent="0.25">
      <c r="A275" s="61">
        <f>'A) Base RI'!A274</f>
        <v>5872</v>
      </c>
      <c r="B275" s="13" t="str">
        <f>'A) Base RI'!B274</f>
        <v>Le Chenit</v>
      </c>
      <c r="C275" s="52">
        <f>'A) Base RI'!AN274</f>
        <v>4614</v>
      </c>
      <c r="D275" s="14">
        <f t="shared" si="16"/>
        <v>1000</v>
      </c>
      <c r="E275" s="19">
        <f t="shared" si="17"/>
        <v>2000</v>
      </c>
      <c r="F275" s="14">
        <f t="shared" si="17"/>
        <v>1614</v>
      </c>
      <c r="G275" s="19">
        <f t="shared" si="17"/>
        <v>0</v>
      </c>
      <c r="H275" s="52">
        <f t="shared" si="17"/>
        <v>0</v>
      </c>
      <c r="I275" s="14">
        <f t="shared" si="17"/>
        <v>0</v>
      </c>
      <c r="J275" s="14">
        <f t="shared" si="18"/>
        <v>0</v>
      </c>
      <c r="K275" s="152">
        <f t="shared" si="19"/>
        <v>1590832.9979879274</v>
      </c>
    </row>
    <row r="276" spans="1:11" x14ac:dyDescent="0.25">
      <c r="A276" s="61">
        <f>'A) Base RI'!A275</f>
        <v>5873</v>
      </c>
      <c r="B276" s="13" t="str">
        <f>'A) Base RI'!B275</f>
        <v>Le Lieu</v>
      </c>
      <c r="C276" s="52">
        <f>'A) Base RI'!AN275</f>
        <v>859</v>
      </c>
      <c r="D276" s="14">
        <f t="shared" si="16"/>
        <v>859</v>
      </c>
      <c r="E276" s="19">
        <f t="shared" si="17"/>
        <v>0</v>
      </c>
      <c r="F276" s="14">
        <f t="shared" si="17"/>
        <v>0</v>
      </c>
      <c r="G276" s="19">
        <f t="shared" si="17"/>
        <v>0</v>
      </c>
      <c r="H276" s="52">
        <f t="shared" si="17"/>
        <v>0</v>
      </c>
      <c r="I276" s="14">
        <f t="shared" si="17"/>
        <v>0</v>
      </c>
      <c r="J276" s="14">
        <f t="shared" si="18"/>
        <v>0</v>
      </c>
      <c r="K276" s="152">
        <f t="shared" si="19"/>
        <v>85035.814889336005</v>
      </c>
    </row>
    <row r="277" spans="1:11" x14ac:dyDescent="0.25">
      <c r="A277" s="61">
        <f>'A) Base RI'!A276</f>
        <v>5881</v>
      </c>
      <c r="B277" s="13" t="str">
        <f>'A) Base RI'!B276</f>
        <v>Blonay</v>
      </c>
      <c r="C277" s="52">
        <f>'A) Base RI'!AN276</f>
        <v>6132</v>
      </c>
      <c r="D277" s="14">
        <f t="shared" si="16"/>
        <v>1000</v>
      </c>
      <c r="E277" s="19">
        <f t="shared" si="17"/>
        <v>2000</v>
      </c>
      <c r="F277" s="14">
        <f t="shared" si="17"/>
        <v>2000</v>
      </c>
      <c r="G277" s="19">
        <f t="shared" si="17"/>
        <v>1132</v>
      </c>
      <c r="H277" s="52">
        <f t="shared" si="17"/>
        <v>0</v>
      </c>
      <c r="I277" s="14">
        <f t="shared" si="17"/>
        <v>0</v>
      </c>
      <c r="J277" s="14">
        <f t="shared" si="18"/>
        <v>0</v>
      </c>
      <c r="K277" s="152">
        <f t="shared" si="19"/>
        <v>2454258.3501006039</v>
      </c>
    </row>
    <row r="278" spans="1:11" x14ac:dyDescent="0.25">
      <c r="A278" s="61">
        <f>'A) Base RI'!A277</f>
        <v>5882</v>
      </c>
      <c r="B278" s="13" t="str">
        <f>'A) Base RI'!B277</f>
        <v>Chardonne</v>
      </c>
      <c r="C278" s="52">
        <f>'A) Base RI'!AN277</f>
        <v>2889</v>
      </c>
      <c r="D278" s="14">
        <f t="shared" si="16"/>
        <v>1000</v>
      </c>
      <c r="E278" s="19">
        <f t="shared" si="17"/>
        <v>1889</v>
      </c>
      <c r="F278" s="14">
        <f t="shared" si="17"/>
        <v>0</v>
      </c>
      <c r="G278" s="19">
        <f t="shared" si="17"/>
        <v>0</v>
      </c>
      <c r="H278" s="52">
        <f t="shared" si="17"/>
        <v>0</v>
      </c>
      <c r="I278" s="14">
        <f t="shared" si="17"/>
        <v>0</v>
      </c>
      <c r="J278" s="14">
        <f t="shared" si="18"/>
        <v>0</v>
      </c>
      <c r="K278" s="152">
        <f t="shared" si="19"/>
        <v>753492.55533199187</v>
      </c>
    </row>
    <row r="279" spans="1:11" x14ac:dyDescent="0.25">
      <c r="A279" s="61">
        <f>'A) Base RI'!A278</f>
        <v>5883</v>
      </c>
      <c r="B279" s="13" t="str">
        <f>'A) Base RI'!B278</f>
        <v>Corseaux</v>
      </c>
      <c r="C279" s="52">
        <f>'A) Base RI'!AN278</f>
        <v>2172</v>
      </c>
      <c r="D279" s="14">
        <f t="shared" si="16"/>
        <v>1000</v>
      </c>
      <c r="E279" s="19">
        <f t="shared" si="17"/>
        <v>1172</v>
      </c>
      <c r="F279" s="14">
        <f t="shared" si="17"/>
        <v>0</v>
      </c>
      <c r="G279" s="19">
        <f t="shared" si="17"/>
        <v>0</v>
      </c>
      <c r="H279" s="52">
        <f t="shared" si="17"/>
        <v>0</v>
      </c>
      <c r="I279" s="14">
        <f t="shared" si="17"/>
        <v>0</v>
      </c>
      <c r="J279" s="14">
        <f t="shared" si="18"/>
        <v>0</v>
      </c>
      <c r="K279" s="152">
        <f t="shared" si="19"/>
        <v>505067.20321931585</v>
      </c>
    </row>
    <row r="280" spans="1:11" x14ac:dyDescent="0.25">
      <c r="A280" s="61">
        <f>'A) Base RI'!A279</f>
        <v>5884</v>
      </c>
      <c r="B280" s="13" t="str">
        <f>'A) Base RI'!B279</f>
        <v>Corsier-sur-Vevey</v>
      </c>
      <c r="C280" s="52">
        <f>'A) Base RI'!AN279</f>
        <v>3427</v>
      </c>
      <c r="D280" s="14">
        <f t="shared" si="16"/>
        <v>1000</v>
      </c>
      <c r="E280" s="19">
        <f t="shared" si="17"/>
        <v>2000</v>
      </c>
      <c r="F280" s="14">
        <f t="shared" si="17"/>
        <v>427</v>
      </c>
      <c r="G280" s="19">
        <f t="shared" si="17"/>
        <v>0</v>
      </c>
      <c r="H280" s="52">
        <f t="shared" si="17"/>
        <v>0</v>
      </c>
      <c r="I280" s="14">
        <f t="shared" si="17"/>
        <v>0</v>
      </c>
      <c r="J280" s="14">
        <f t="shared" si="18"/>
        <v>0</v>
      </c>
      <c r="K280" s="152">
        <f t="shared" si="19"/>
        <v>1003303.8229376257</v>
      </c>
    </row>
    <row r="281" spans="1:11" x14ac:dyDescent="0.25">
      <c r="A281" s="61">
        <f>'A) Base RI'!A280</f>
        <v>5885</v>
      </c>
      <c r="B281" s="13" t="str">
        <f>'A) Base RI'!B280</f>
        <v>Jongny</v>
      </c>
      <c r="C281" s="52">
        <f>'A) Base RI'!AN280</f>
        <v>1493</v>
      </c>
      <c r="D281" s="14">
        <f t="shared" si="16"/>
        <v>1000</v>
      </c>
      <c r="E281" s="19">
        <f t="shared" si="17"/>
        <v>493</v>
      </c>
      <c r="F281" s="14">
        <f t="shared" si="17"/>
        <v>0</v>
      </c>
      <c r="G281" s="19">
        <f t="shared" si="17"/>
        <v>0</v>
      </c>
      <c r="H281" s="52">
        <f t="shared" si="17"/>
        <v>0</v>
      </c>
      <c r="I281" s="14">
        <f t="shared" si="17"/>
        <v>0</v>
      </c>
      <c r="J281" s="14">
        <f t="shared" si="18"/>
        <v>0</v>
      </c>
      <c r="K281" s="152">
        <f t="shared" si="19"/>
        <v>269808.04828973842</v>
      </c>
    </row>
    <row r="282" spans="1:11" x14ac:dyDescent="0.25">
      <c r="A282" s="61">
        <f>'A) Base RI'!A281</f>
        <v>5886</v>
      </c>
      <c r="B282" s="13" t="str">
        <f>'A) Base RI'!B281</f>
        <v>Montreux</v>
      </c>
      <c r="C282" s="52">
        <f>'A) Base RI'!AN281</f>
        <v>26283</v>
      </c>
      <c r="D282" s="14">
        <f t="shared" si="16"/>
        <v>1000</v>
      </c>
      <c r="E282" s="19">
        <f t="shared" si="17"/>
        <v>2000</v>
      </c>
      <c r="F282" s="14">
        <f t="shared" si="17"/>
        <v>2000</v>
      </c>
      <c r="G282" s="19">
        <f t="shared" si="17"/>
        <v>4000</v>
      </c>
      <c r="H282" s="52">
        <f t="shared" si="17"/>
        <v>3000</v>
      </c>
      <c r="I282" s="14">
        <f t="shared" si="17"/>
        <v>3000</v>
      </c>
      <c r="J282" s="14">
        <f t="shared" si="18"/>
        <v>11283</v>
      </c>
      <c r="K282" s="152">
        <f t="shared" si="19"/>
        <v>21379874.84909457</v>
      </c>
    </row>
    <row r="283" spans="1:11" x14ac:dyDescent="0.25">
      <c r="A283" s="61">
        <f>'A) Base RI'!A282</f>
        <v>5888</v>
      </c>
      <c r="B283" s="13" t="str">
        <f>'A) Base RI'!B282</f>
        <v>Saint-Légier-La Chiésaz</v>
      </c>
      <c r="C283" s="52">
        <f>'A) Base RI'!AN282</f>
        <v>5071</v>
      </c>
      <c r="D283" s="14">
        <f t="shared" si="16"/>
        <v>1000</v>
      </c>
      <c r="E283" s="19">
        <f t="shared" si="17"/>
        <v>2000</v>
      </c>
      <c r="F283" s="14">
        <f t="shared" si="17"/>
        <v>2000</v>
      </c>
      <c r="G283" s="19">
        <f t="shared" si="17"/>
        <v>71</v>
      </c>
      <c r="H283" s="52">
        <f t="shared" si="17"/>
        <v>0</v>
      </c>
      <c r="I283" s="14">
        <f t="shared" si="17"/>
        <v>0</v>
      </c>
      <c r="J283" s="14">
        <f t="shared" si="18"/>
        <v>0</v>
      </c>
      <c r="K283" s="152">
        <f t="shared" si="19"/>
        <v>1824062.7766599599</v>
      </c>
    </row>
    <row r="284" spans="1:11" x14ac:dyDescent="0.25">
      <c r="A284" s="61">
        <f>'A) Base RI'!A283</f>
        <v>5889</v>
      </c>
      <c r="B284" s="13" t="str">
        <f>'A) Base RI'!B283</f>
        <v>La Tour-de-Peilz</v>
      </c>
      <c r="C284" s="52">
        <f>'A) Base RI'!AN283</f>
        <v>11421</v>
      </c>
      <c r="D284" s="14">
        <f t="shared" si="16"/>
        <v>1000</v>
      </c>
      <c r="E284" s="19">
        <f t="shared" si="17"/>
        <v>2000</v>
      </c>
      <c r="F284" s="14">
        <f t="shared" si="17"/>
        <v>2000</v>
      </c>
      <c r="G284" s="19">
        <f t="shared" si="17"/>
        <v>4000</v>
      </c>
      <c r="H284" s="52">
        <f t="shared" si="17"/>
        <v>2421</v>
      </c>
      <c r="I284" s="14">
        <f t="shared" si="17"/>
        <v>0</v>
      </c>
      <c r="J284" s="14">
        <f t="shared" si="18"/>
        <v>0</v>
      </c>
      <c r="K284" s="152">
        <f t="shared" si="19"/>
        <v>6194893.7625754531</v>
      </c>
    </row>
    <row r="285" spans="1:11" x14ac:dyDescent="0.25">
      <c r="A285" s="61">
        <f>'A) Base RI'!A284</f>
        <v>5890</v>
      </c>
      <c r="B285" s="13" t="str">
        <f>'A) Base RI'!B284</f>
        <v>Vevey</v>
      </c>
      <c r="C285" s="52">
        <f>'A) Base RI'!AN284</f>
        <v>19217</v>
      </c>
      <c r="D285" s="14">
        <f t="shared" si="16"/>
        <v>1000</v>
      </c>
      <c r="E285" s="19">
        <f t="shared" si="17"/>
        <v>2000</v>
      </c>
      <c r="F285" s="14">
        <f t="shared" si="17"/>
        <v>2000</v>
      </c>
      <c r="G285" s="19">
        <f t="shared" si="17"/>
        <v>4000</v>
      </c>
      <c r="H285" s="52">
        <f t="shared" si="17"/>
        <v>3000</v>
      </c>
      <c r="I285" s="14">
        <f t="shared" si="17"/>
        <v>3000</v>
      </c>
      <c r="J285" s="14">
        <f t="shared" si="18"/>
        <v>4217</v>
      </c>
      <c r="K285" s="152">
        <f t="shared" si="19"/>
        <v>14035215.694164991</v>
      </c>
    </row>
    <row r="286" spans="1:11" x14ac:dyDescent="0.25">
      <c r="A286" s="61">
        <f>'A) Base RI'!A285</f>
        <v>5891</v>
      </c>
      <c r="B286" s="13" t="str">
        <f>'A) Base RI'!B285</f>
        <v>Veytaux</v>
      </c>
      <c r="C286" s="52">
        <f>'A) Base RI'!AN285</f>
        <v>854</v>
      </c>
      <c r="D286" s="14">
        <f t="shared" si="16"/>
        <v>854</v>
      </c>
      <c r="E286" s="19">
        <f t="shared" si="17"/>
        <v>0</v>
      </c>
      <c r="F286" s="14">
        <f t="shared" si="17"/>
        <v>0</v>
      </c>
      <c r="G286" s="19">
        <f t="shared" si="17"/>
        <v>0</v>
      </c>
      <c r="H286" s="52">
        <f t="shared" si="17"/>
        <v>0</v>
      </c>
      <c r="I286" s="14">
        <f t="shared" si="17"/>
        <v>0</v>
      </c>
      <c r="J286" s="14">
        <f t="shared" si="18"/>
        <v>0</v>
      </c>
      <c r="K286" s="152">
        <f t="shared" si="19"/>
        <v>84540.845070422525</v>
      </c>
    </row>
    <row r="287" spans="1:11" x14ac:dyDescent="0.25">
      <c r="A287" s="61">
        <f>'A) Base RI'!A286</f>
        <v>5902</v>
      </c>
      <c r="B287" s="13" t="str">
        <f>'A) Base RI'!B286</f>
        <v>Belmont-sur-Yverdon</v>
      </c>
      <c r="C287" s="52">
        <f>'A) Base RI'!AN286</f>
        <v>369</v>
      </c>
      <c r="D287" s="14">
        <f t="shared" si="16"/>
        <v>369</v>
      </c>
      <c r="E287" s="19">
        <f t="shared" si="17"/>
        <v>0</v>
      </c>
      <c r="F287" s="14">
        <f t="shared" si="17"/>
        <v>0</v>
      </c>
      <c r="G287" s="19">
        <f t="shared" si="17"/>
        <v>0</v>
      </c>
      <c r="H287" s="52">
        <f t="shared" si="17"/>
        <v>0</v>
      </c>
      <c r="I287" s="14">
        <f t="shared" si="17"/>
        <v>0</v>
      </c>
      <c r="J287" s="14">
        <f t="shared" si="18"/>
        <v>0</v>
      </c>
      <c r="K287" s="152">
        <f t="shared" si="19"/>
        <v>36528.772635814887</v>
      </c>
    </row>
    <row r="288" spans="1:11" x14ac:dyDescent="0.25">
      <c r="A288" s="61">
        <f>'A) Base RI'!A287</f>
        <v>5903</v>
      </c>
      <c r="B288" s="13" t="str">
        <f>'A) Base RI'!B287</f>
        <v>Bioley-Magnoux</v>
      </c>
      <c r="C288" s="52">
        <f>'A) Base RI'!AN287</f>
        <v>201</v>
      </c>
      <c r="D288" s="14">
        <f t="shared" si="16"/>
        <v>201</v>
      </c>
      <c r="E288" s="19">
        <f t="shared" si="17"/>
        <v>0</v>
      </c>
      <c r="F288" s="14">
        <f t="shared" si="17"/>
        <v>0</v>
      </c>
      <c r="G288" s="19">
        <f t="shared" si="17"/>
        <v>0</v>
      </c>
      <c r="H288" s="52">
        <f t="shared" si="17"/>
        <v>0</v>
      </c>
      <c r="I288" s="14">
        <f t="shared" si="17"/>
        <v>0</v>
      </c>
      <c r="J288" s="14">
        <f t="shared" si="18"/>
        <v>0</v>
      </c>
      <c r="K288" s="152">
        <f t="shared" si="19"/>
        <v>19897.786720321928</v>
      </c>
    </row>
    <row r="289" spans="1:11" x14ac:dyDescent="0.25">
      <c r="A289" s="61">
        <f>'A) Base RI'!A288</f>
        <v>5904</v>
      </c>
      <c r="B289" s="13" t="str">
        <f>'A) Base RI'!B288</f>
        <v>Chamblon</v>
      </c>
      <c r="C289" s="52">
        <f>'A) Base RI'!AN288</f>
        <v>568</v>
      </c>
      <c r="D289" s="14">
        <f t="shared" si="16"/>
        <v>568</v>
      </c>
      <c r="E289" s="19">
        <f t="shared" si="17"/>
        <v>0</v>
      </c>
      <c r="F289" s="14">
        <f t="shared" si="17"/>
        <v>0</v>
      </c>
      <c r="G289" s="19">
        <f t="shared" si="17"/>
        <v>0</v>
      </c>
      <c r="H289" s="52">
        <f t="shared" si="17"/>
        <v>0</v>
      </c>
      <c r="I289" s="14">
        <f t="shared" si="17"/>
        <v>0</v>
      </c>
      <c r="J289" s="14">
        <f t="shared" si="18"/>
        <v>0</v>
      </c>
      <c r="K289" s="152">
        <f t="shared" si="19"/>
        <v>56228.571428571428</v>
      </c>
    </row>
    <row r="290" spans="1:11" x14ac:dyDescent="0.25">
      <c r="A290" s="61">
        <f>'A) Base RI'!A289</f>
        <v>5905</v>
      </c>
      <c r="B290" s="13" t="str">
        <f>'A) Base RI'!B289</f>
        <v>Champvent</v>
      </c>
      <c r="C290" s="52">
        <f>'A) Base RI'!AN289</f>
        <v>617</v>
      </c>
      <c r="D290" s="14">
        <f t="shared" si="16"/>
        <v>617</v>
      </c>
      <c r="E290" s="19">
        <f t="shared" si="17"/>
        <v>0</v>
      </c>
      <c r="F290" s="14">
        <f t="shared" si="17"/>
        <v>0</v>
      </c>
      <c r="G290" s="19">
        <f t="shared" si="17"/>
        <v>0</v>
      </c>
      <c r="H290" s="52">
        <f t="shared" si="17"/>
        <v>0</v>
      </c>
      <c r="I290" s="14">
        <f t="shared" si="17"/>
        <v>0</v>
      </c>
      <c r="J290" s="14">
        <f t="shared" si="18"/>
        <v>0</v>
      </c>
      <c r="K290" s="152">
        <f t="shared" si="19"/>
        <v>61079.275653923534</v>
      </c>
    </row>
    <row r="291" spans="1:11" x14ac:dyDescent="0.25">
      <c r="A291" s="61">
        <f>'A) Base RI'!A290</f>
        <v>5907</v>
      </c>
      <c r="B291" s="13" t="str">
        <f>'A) Base RI'!B290</f>
        <v>Chavannes-le-Chêne</v>
      </c>
      <c r="C291" s="52">
        <f>'A) Base RI'!AN290</f>
        <v>278</v>
      </c>
      <c r="D291" s="14">
        <f t="shared" si="16"/>
        <v>278</v>
      </c>
      <c r="E291" s="19">
        <f t="shared" si="17"/>
        <v>0</v>
      </c>
      <c r="F291" s="14">
        <f t="shared" si="17"/>
        <v>0</v>
      </c>
      <c r="G291" s="19">
        <f t="shared" si="17"/>
        <v>0</v>
      </c>
      <c r="H291" s="52">
        <f t="shared" si="17"/>
        <v>0</v>
      </c>
      <c r="I291" s="14">
        <f t="shared" si="17"/>
        <v>0</v>
      </c>
      <c r="J291" s="14">
        <f t="shared" si="18"/>
        <v>0</v>
      </c>
      <c r="K291" s="152">
        <f t="shared" si="19"/>
        <v>27520.321931589537</v>
      </c>
    </row>
    <row r="292" spans="1:11" x14ac:dyDescent="0.25">
      <c r="A292" s="61">
        <f>'A) Base RI'!A291</f>
        <v>5908</v>
      </c>
      <c r="B292" s="13" t="str">
        <f>'A) Base RI'!B291</f>
        <v>Chêne-Pâquier</v>
      </c>
      <c r="C292" s="52">
        <f>'A) Base RI'!AN291</f>
        <v>125</v>
      </c>
      <c r="D292" s="14">
        <f t="shared" si="16"/>
        <v>125</v>
      </c>
      <c r="E292" s="19">
        <f t="shared" si="17"/>
        <v>0</v>
      </c>
      <c r="F292" s="14">
        <f t="shared" si="17"/>
        <v>0</v>
      </c>
      <c r="G292" s="19">
        <f t="shared" si="17"/>
        <v>0</v>
      </c>
      <c r="H292" s="52">
        <f t="shared" si="17"/>
        <v>0</v>
      </c>
      <c r="I292" s="14">
        <f t="shared" si="17"/>
        <v>0</v>
      </c>
      <c r="J292" s="14">
        <f t="shared" si="18"/>
        <v>0</v>
      </c>
      <c r="K292" s="152">
        <f t="shared" si="19"/>
        <v>12374.245472837021</v>
      </c>
    </row>
    <row r="293" spans="1:11" x14ac:dyDescent="0.25">
      <c r="A293" s="61">
        <f>'A) Base RI'!A292</f>
        <v>5909</v>
      </c>
      <c r="B293" s="13" t="str">
        <f>'A) Base RI'!B292</f>
        <v>Cheseaux-Noréaz</v>
      </c>
      <c r="C293" s="52">
        <f>'A) Base RI'!AN292</f>
        <v>664</v>
      </c>
      <c r="D293" s="14">
        <f t="shared" si="16"/>
        <v>664</v>
      </c>
      <c r="E293" s="19">
        <f t="shared" si="17"/>
        <v>0</v>
      </c>
      <c r="F293" s="14">
        <f t="shared" si="17"/>
        <v>0</v>
      </c>
      <c r="G293" s="19">
        <f t="shared" si="17"/>
        <v>0</v>
      </c>
      <c r="H293" s="52">
        <f t="shared" si="17"/>
        <v>0</v>
      </c>
      <c r="I293" s="14">
        <f t="shared" si="17"/>
        <v>0</v>
      </c>
      <c r="J293" s="14">
        <f t="shared" si="18"/>
        <v>0</v>
      </c>
      <c r="K293" s="152">
        <f t="shared" si="19"/>
        <v>65731.991951710253</v>
      </c>
    </row>
    <row r="294" spans="1:11" x14ac:dyDescent="0.25">
      <c r="A294" s="61">
        <f>'A) Base RI'!A293</f>
        <v>5910</v>
      </c>
      <c r="B294" s="13" t="str">
        <f>'A) Base RI'!B293</f>
        <v>Cronay</v>
      </c>
      <c r="C294" s="52">
        <f>'A) Base RI'!AN293</f>
        <v>364</v>
      </c>
      <c r="D294" s="14">
        <f t="shared" si="16"/>
        <v>364</v>
      </c>
      <c r="E294" s="19">
        <f t="shared" si="17"/>
        <v>0</v>
      </c>
      <c r="F294" s="14">
        <f t="shared" si="17"/>
        <v>0</v>
      </c>
      <c r="G294" s="19">
        <f t="shared" si="17"/>
        <v>0</v>
      </c>
      <c r="H294" s="52">
        <f t="shared" si="17"/>
        <v>0</v>
      </c>
      <c r="I294" s="14">
        <f t="shared" si="17"/>
        <v>0</v>
      </c>
      <c r="J294" s="14">
        <f t="shared" si="18"/>
        <v>0</v>
      </c>
      <c r="K294" s="152">
        <f t="shared" si="19"/>
        <v>36033.802816901407</v>
      </c>
    </row>
    <row r="295" spans="1:11" x14ac:dyDescent="0.25">
      <c r="A295" s="61">
        <f>'A) Base RI'!A294</f>
        <v>5911</v>
      </c>
      <c r="B295" s="13" t="str">
        <f>'A) Base RI'!B294</f>
        <v>Cuarny</v>
      </c>
      <c r="C295" s="52">
        <f>'A) Base RI'!AN294</f>
        <v>216</v>
      </c>
      <c r="D295" s="14">
        <f t="shared" si="16"/>
        <v>216</v>
      </c>
      <c r="E295" s="19">
        <f t="shared" si="17"/>
        <v>0</v>
      </c>
      <c r="F295" s="14">
        <f t="shared" si="17"/>
        <v>0</v>
      </c>
      <c r="G295" s="19">
        <f t="shared" si="17"/>
        <v>0</v>
      </c>
      <c r="H295" s="52">
        <f t="shared" si="17"/>
        <v>0</v>
      </c>
      <c r="I295" s="14">
        <f t="shared" si="17"/>
        <v>0</v>
      </c>
      <c r="J295" s="14">
        <f t="shared" si="18"/>
        <v>0</v>
      </c>
      <c r="K295" s="152">
        <f t="shared" si="19"/>
        <v>21382.696177062371</v>
      </c>
    </row>
    <row r="296" spans="1:11" x14ac:dyDescent="0.25">
      <c r="A296" s="61">
        <f>'A) Base RI'!A295</f>
        <v>5912</v>
      </c>
      <c r="B296" s="13" t="str">
        <f>'A) Base RI'!B295</f>
        <v>Démoret</v>
      </c>
      <c r="C296" s="52">
        <f>'A) Base RI'!AN295</f>
        <v>123</v>
      </c>
      <c r="D296" s="14">
        <f t="shared" si="16"/>
        <v>123</v>
      </c>
      <c r="E296" s="19">
        <f t="shared" si="17"/>
        <v>0</v>
      </c>
      <c r="F296" s="14">
        <f t="shared" si="17"/>
        <v>0</v>
      </c>
      <c r="G296" s="19">
        <f t="shared" si="17"/>
        <v>0</v>
      </c>
      <c r="H296" s="52">
        <f t="shared" si="17"/>
        <v>0</v>
      </c>
      <c r="I296" s="14">
        <f t="shared" si="17"/>
        <v>0</v>
      </c>
      <c r="J296" s="14">
        <f t="shared" si="18"/>
        <v>0</v>
      </c>
      <c r="K296" s="152">
        <f t="shared" si="19"/>
        <v>12176.257545271628</v>
      </c>
    </row>
    <row r="297" spans="1:11" x14ac:dyDescent="0.25">
      <c r="A297" s="61">
        <f>'A) Base RI'!A296</f>
        <v>5913</v>
      </c>
      <c r="B297" s="13" t="str">
        <f>'A) Base RI'!B296</f>
        <v>Donneloye</v>
      </c>
      <c r="C297" s="52">
        <f>'A) Base RI'!AN296</f>
        <v>765</v>
      </c>
      <c r="D297" s="14">
        <f t="shared" si="16"/>
        <v>765</v>
      </c>
      <c r="E297" s="19">
        <f t="shared" si="17"/>
        <v>0</v>
      </c>
      <c r="F297" s="14">
        <f t="shared" si="17"/>
        <v>0</v>
      </c>
      <c r="G297" s="19">
        <f t="shared" si="17"/>
        <v>0</v>
      </c>
      <c r="H297" s="52">
        <f t="shared" si="17"/>
        <v>0</v>
      </c>
      <c r="I297" s="14">
        <f t="shared" si="17"/>
        <v>0</v>
      </c>
      <c r="J297" s="14">
        <f t="shared" si="18"/>
        <v>0</v>
      </c>
      <c r="K297" s="152">
        <f t="shared" si="19"/>
        <v>75730.382293762566</v>
      </c>
    </row>
    <row r="298" spans="1:11" x14ac:dyDescent="0.25">
      <c r="A298" s="61">
        <f>'A) Base RI'!A297</f>
        <v>5914</v>
      </c>
      <c r="B298" s="13" t="str">
        <f>'A) Base RI'!B297</f>
        <v>Ependes</v>
      </c>
      <c r="C298" s="52">
        <f>'A) Base RI'!AN297</f>
        <v>345</v>
      </c>
      <c r="D298" s="14">
        <f t="shared" si="16"/>
        <v>345</v>
      </c>
      <c r="E298" s="19">
        <f t="shared" si="17"/>
        <v>0</v>
      </c>
      <c r="F298" s="14">
        <f t="shared" si="17"/>
        <v>0</v>
      </c>
      <c r="G298" s="19">
        <f t="shared" si="17"/>
        <v>0</v>
      </c>
      <c r="H298" s="52">
        <f t="shared" si="17"/>
        <v>0</v>
      </c>
      <c r="I298" s="14">
        <f t="shared" si="17"/>
        <v>0</v>
      </c>
      <c r="J298" s="14">
        <f t="shared" si="18"/>
        <v>0</v>
      </c>
      <c r="K298" s="152">
        <f t="shared" si="19"/>
        <v>34152.917505030178</v>
      </c>
    </row>
    <row r="299" spans="1:11" x14ac:dyDescent="0.25">
      <c r="A299" s="61">
        <f>'A) Base RI'!A298</f>
        <v>5919</v>
      </c>
      <c r="B299" s="13" t="str">
        <f>'A) Base RI'!B298</f>
        <v>Mathod</v>
      </c>
      <c r="C299" s="52">
        <f>'A) Base RI'!AN298</f>
        <v>581</v>
      </c>
      <c r="D299" s="14">
        <f t="shared" ref="D299:D316" si="20">IF($C299&gt;D$4,IF($C299&lt;D$5,$C299-D$4,D$5-D$4),0)</f>
        <v>581</v>
      </c>
      <c r="E299" s="19">
        <f t="shared" si="17"/>
        <v>0</v>
      </c>
      <c r="F299" s="14">
        <f t="shared" si="17"/>
        <v>0</v>
      </c>
      <c r="G299" s="19">
        <f t="shared" si="17"/>
        <v>0</v>
      </c>
      <c r="H299" s="52">
        <f t="shared" si="17"/>
        <v>0</v>
      </c>
      <c r="I299" s="14">
        <f t="shared" si="17"/>
        <v>0</v>
      </c>
      <c r="J299" s="14">
        <f t="shared" si="18"/>
        <v>0</v>
      </c>
      <c r="K299" s="152">
        <f t="shared" si="19"/>
        <v>57515.492957746472</v>
      </c>
    </row>
    <row r="300" spans="1:11" x14ac:dyDescent="0.25">
      <c r="A300" s="61">
        <f>'A) Base RI'!A299</f>
        <v>5921</v>
      </c>
      <c r="B300" s="13" t="str">
        <f>'A) Base RI'!B299</f>
        <v>Molondin</v>
      </c>
      <c r="C300" s="52">
        <f>'A) Base RI'!AN299</f>
        <v>224</v>
      </c>
      <c r="D300" s="14">
        <f t="shared" si="20"/>
        <v>224</v>
      </c>
      <c r="E300" s="19">
        <f t="shared" si="17"/>
        <v>0</v>
      </c>
      <c r="F300" s="14">
        <f t="shared" si="17"/>
        <v>0</v>
      </c>
      <c r="G300" s="19">
        <f t="shared" si="17"/>
        <v>0</v>
      </c>
      <c r="H300" s="52">
        <f t="shared" si="17"/>
        <v>0</v>
      </c>
      <c r="I300" s="14">
        <f t="shared" si="17"/>
        <v>0</v>
      </c>
      <c r="J300" s="14">
        <f t="shared" si="18"/>
        <v>0</v>
      </c>
      <c r="K300" s="152">
        <f t="shared" si="19"/>
        <v>22174.647887323943</v>
      </c>
    </row>
    <row r="301" spans="1:11" x14ac:dyDescent="0.25">
      <c r="A301" s="61">
        <f>'A) Base RI'!A300</f>
        <v>5922</v>
      </c>
      <c r="B301" s="13" t="str">
        <f>'A) Base RI'!B300</f>
        <v>Montagny-près-Yverdon</v>
      </c>
      <c r="C301" s="52">
        <f>'A) Base RI'!AN300</f>
        <v>713</v>
      </c>
      <c r="D301" s="14">
        <f t="shared" si="20"/>
        <v>713</v>
      </c>
      <c r="E301" s="19">
        <f t="shared" si="17"/>
        <v>0</v>
      </c>
      <c r="F301" s="14">
        <f t="shared" si="17"/>
        <v>0</v>
      </c>
      <c r="G301" s="19">
        <f t="shared" si="17"/>
        <v>0</v>
      </c>
      <c r="H301" s="52">
        <f t="shared" si="17"/>
        <v>0</v>
      </c>
      <c r="I301" s="14">
        <f t="shared" si="17"/>
        <v>0</v>
      </c>
      <c r="J301" s="14">
        <f t="shared" si="18"/>
        <v>0</v>
      </c>
      <c r="K301" s="152">
        <f t="shared" si="19"/>
        <v>70582.696177062375</v>
      </c>
    </row>
    <row r="302" spans="1:11" x14ac:dyDescent="0.25">
      <c r="A302" s="61">
        <f>'A) Base RI'!A301</f>
        <v>5923</v>
      </c>
      <c r="B302" s="13" t="str">
        <f>'A) Base RI'!B301</f>
        <v>Oppens</v>
      </c>
      <c r="C302" s="52">
        <f>'A) Base RI'!AN301</f>
        <v>182</v>
      </c>
      <c r="D302" s="14">
        <f t="shared" si="20"/>
        <v>182</v>
      </c>
      <c r="E302" s="19">
        <f t="shared" si="17"/>
        <v>0</v>
      </c>
      <c r="F302" s="14">
        <f t="shared" si="17"/>
        <v>0</v>
      </c>
      <c r="G302" s="19">
        <f t="shared" si="17"/>
        <v>0</v>
      </c>
      <c r="H302" s="52">
        <f t="shared" si="17"/>
        <v>0</v>
      </c>
      <c r="I302" s="14">
        <f t="shared" si="17"/>
        <v>0</v>
      </c>
      <c r="J302" s="14">
        <f t="shared" si="18"/>
        <v>0</v>
      </c>
      <c r="K302" s="152">
        <f t="shared" si="19"/>
        <v>18016.901408450703</v>
      </c>
    </row>
    <row r="303" spans="1:11" x14ac:dyDescent="0.25">
      <c r="A303" s="61">
        <f>'A) Base RI'!A302</f>
        <v>5924</v>
      </c>
      <c r="B303" s="13" t="str">
        <f>'A) Base RI'!B302</f>
        <v>Orges</v>
      </c>
      <c r="C303" s="52">
        <f>'A) Base RI'!AN302</f>
        <v>275</v>
      </c>
      <c r="D303" s="14">
        <f t="shared" si="20"/>
        <v>275</v>
      </c>
      <c r="E303" s="19">
        <f t="shared" si="17"/>
        <v>0</v>
      </c>
      <c r="F303" s="14">
        <f t="shared" si="17"/>
        <v>0</v>
      </c>
      <c r="G303" s="19">
        <f t="shared" si="17"/>
        <v>0</v>
      </c>
      <c r="H303" s="52">
        <f t="shared" si="17"/>
        <v>0</v>
      </c>
      <c r="I303" s="14">
        <f t="shared" si="17"/>
        <v>0</v>
      </c>
      <c r="J303" s="14">
        <f t="shared" si="18"/>
        <v>0</v>
      </c>
      <c r="K303" s="152">
        <f t="shared" si="19"/>
        <v>27223.340040241448</v>
      </c>
    </row>
    <row r="304" spans="1:11" x14ac:dyDescent="0.25">
      <c r="A304" s="61">
        <f>'A) Base RI'!A303</f>
        <v>5925</v>
      </c>
      <c r="B304" s="13" t="str">
        <f>'A) Base RI'!B303</f>
        <v>Orzens</v>
      </c>
      <c r="C304" s="52">
        <f>'A) Base RI'!AN303</f>
        <v>211</v>
      </c>
      <c r="D304" s="14">
        <f t="shared" si="20"/>
        <v>211</v>
      </c>
      <c r="E304" s="19">
        <f t="shared" si="17"/>
        <v>0</v>
      </c>
      <c r="F304" s="14">
        <f t="shared" si="17"/>
        <v>0</v>
      </c>
      <c r="G304" s="19">
        <f t="shared" si="17"/>
        <v>0</v>
      </c>
      <c r="H304" s="52">
        <f t="shared" si="17"/>
        <v>0</v>
      </c>
      <c r="I304" s="14">
        <f t="shared" si="17"/>
        <v>0</v>
      </c>
      <c r="J304" s="14">
        <f t="shared" si="18"/>
        <v>0</v>
      </c>
      <c r="K304" s="152">
        <f t="shared" si="19"/>
        <v>20887.726358148891</v>
      </c>
    </row>
    <row r="305" spans="1:11" x14ac:dyDescent="0.25">
      <c r="A305" s="61">
        <f>'A) Base RI'!A304</f>
        <v>5926</v>
      </c>
      <c r="B305" s="13" t="str">
        <f>'A) Base RI'!B304</f>
        <v>Pomy</v>
      </c>
      <c r="C305" s="52">
        <f>'A) Base RI'!AN304</f>
        <v>730</v>
      </c>
      <c r="D305" s="14">
        <f t="shared" si="20"/>
        <v>730</v>
      </c>
      <c r="E305" s="19">
        <f t="shared" si="17"/>
        <v>0</v>
      </c>
      <c r="F305" s="14">
        <f t="shared" si="17"/>
        <v>0</v>
      </c>
      <c r="G305" s="19">
        <f t="shared" si="17"/>
        <v>0</v>
      </c>
      <c r="H305" s="52">
        <f t="shared" si="17"/>
        <v>0</v>
      </c>
      <c r="I305" s="14">
        <f t="shared" si="17"/>
        <v>0</v>
      </c>
      <c r="J305" s="14">
        <f t="shared" si="18"/>
        <v>0</v>
      </c>
      <c r="K305" s="152">
        <f t="shared" si="19"/>
        <v>72265.593561368209</v>
      </c>
    </row>
    <row r="306" spans="1:11" x14ac:dyDescent="0.25">
      <c r="A306" s="61">
        <f>'A) Base RI'!A305</f>
        <v>5928</v>
      </c>
      <c r="B306" s="13" t="str">
        <f>'A) Base RI'!B305</f>
        <v>Rovray</v>
      </c>
      <c r="C306" s="52">
        <f>'A) Base RI'!AN305</f>
        <v>176</v>
      </c>
      <c r="D306" s="14">
        <f t="shared" si="20"/>
        <v>176</v>
      </c>
      <c r="E306" s="19">
        <f t="shared" si="17"/>
        <v>0</v>
      </c>
      <c r="F306" s="14">
        <f t="shared" si="17"/>
        <v>0</v>
      </c>
      <c r="G306" s="19">
        <f t="shared" si="17"/>
        <v>0</v>
      </c>
      <c r="H306" s="52">
        <f t="shared" si="17"/>
        <v>0</v>
      </c>
      <c r="I306" s="14">
        <f t="shared" si="17"/>
        <v>0</v>
      </c>
      <c r="J306" s="14">
        <f t="shared" si="18"/>
        <v>0</v>
      </c>
      <c r="K306" s="152">
        <f t="shared" si="19"/>
        <v>17422.937625754526</v>
      </c>
    </row>
    <row r="307" spans="1:11" x14ac:dyDescent="0.25">
      <c r="A307" s="61">
        <f>'A) Base RI'!A306</f>
        <v>5929</v>
      </c>
      <c r="B307" s="13" t="str">
        <f>'A) Base RI'!B306</f>
        <v>Suchy</v>
      </c>
      <c r="C307" s="52">
        <f>'A) Base RI'!AN306</f>
        <v>542</v>
      </c>
      <c r="D307" s="14">
        <f t="shared" si="20"/>
        <v>542</v>
      </c>
      <c r="E307" s="19">
        <f t="shared" si="17"/>
        <v>0</v>
      </c>
      <c r="F307" s="14">
        <f t="shared" si="17"/>
        <v>0</v>
      </c>
      <c r="G307" s="19">
        <f t="shared" si="17"/>
        <v>0</v>
      </c>
      <c r="H307" s="52">
        <f t="shared" si="17"/>
        <v>0</v>
      </c>
      <c r="I307" s="14">
        <f t="shared" si="17"/>
        <v>0</v>
      </c>
      <c r="J307" s="14">
        <f t="shared" si="18"/>
        <v>0</v>
      </c>
      <c r="K307" s="152">
        <f t="shared" si="19"/>
        <v>53654.728370221324</v>
      </c>
    </row>
    <row r="308" spans="1:11" x14ac:dyDescent="0.25">
      <c r="A308" s="61">
        <f>'A) Base RI'!A307</f>
        <v>5930</v>
      </c>
      <c r="B308" s="13" t="str">
        <f>'A) Base RI'!B307</f>
        <v>Suscévaz</v>
      </c>
      <c r="C308" s="52">
        <f>'A) Base RI'!AN307</f>
        <v>199</v>
      </c>
      <c r="D308" s="14">
        <f t="shared" si="20"/>
        <v>199</v>
      </c>
      <c r="E308" s="19">
        <f t="shared" si="17"/>
        <v>0</v>
      </c>
      <c r="F308" s="14">
        <f t="shared" si="17"/>
        <v>0</v>
      </c>
      <c r="G308" s="19">
        <f t="shared" si="17"/>
        <v>0</v>
      </c>
      <c r="H308" s="52">
        <f t="shared" si="17"/>
        <v>0</v>
      </c>
      <c r="I308" s="14">
        <f t="shared" si="17"/>
        <v>0</v>
      </c>
      <c r="J308" s="14">
        <f t="shared" si="18"/>
        <v>0</v>
      </c>
      <c r="K308" s="152">
        <f t="shared" si="19"/>
        <v>19699.798792756537</v>
      </c>
    </row>
    <row r="309" spans="1:11" x14ac:dyDescent="0.25">
      <c r="A309" s="61">
        <f>'A) Base RI'!A308</f>
        <v>5931</v>
      </c>
      <c r="B309" s="13" t="str">
        <f>'A) Base RI'!B308</f>
        <v>Treycovagnes</v>
      </c>
      <c r="C309" s="52">
        <f>'A) Base RI'!AN308</f>
        <v>462</v>
      </c>
      <c r="D309" s="14">
        <f t="shared" si="20"/>
        <v>462</v>
      </c>
      <c r="E309" s="19">
        <f t="shared" si="17"/>
        <v>0</v>
      </c>
      <c r="F309" s="14">
        <f t="shared" si="17"/>
        <v>0</v>
      </c>
      <c r="G309" s="19">
        <f t="shared" si="17"/>
        <v>0</v>
      </c>
      <c r="H309" s="52">
        <f t="shared" si="17"/>
        <v>0</v>
      </c>
      <c r="I309" s="14">
        <f t="shared" si="17"/>
        <v>0</v>
      </c>
      <c r="J309" s="14">
        <f t="shared" si="18"/>
        <v>0</v>
      </c>
      <c r="K309" s="152">
        <f t="shared" si="19"/>
        <v>45735.211267605628</v>
      </c>
    </row>
    <row r="310" spans="1:11" x14ac:dyDescent="0.25">
      <c r="A310" s="61">
        <f>'A) Base RI'!A309</f>
        <v>5932</v>
      </c>
      <c r="B310" s="13" t="str">
        <f>'A) Base RI'!B309</f>
        <v>Ursins</v>
      </c>
      <c r="C310" s="52">
        <f>'A) Base RI'!AN309</f>
        <v>207</v>
      </c>
      <c r="D310" s="14">
        <f t="shared" si="20"/>
        <v>207</v>
      </c>
      <c r="E310" s="19">
        <f t="shared" si="17"/>
        <v>0</v>
      </c>
      <c r="F310" s="14">
        <f t="shared" si="17"/>
        <v>0</v>
      </c>
      <c r="G310" s="19">
        <f t="shared" ref="E310:I316" si="21">IF($C310&gt;G$4,IF($C310&lt;G$5,$C310-G$4,G$5-G$4),0)</f>
        <v>0</v>
      </c>
      <c r="H310" s="52">
        <f t="shared" si="21"/>
        <v>0</v>
      </c>
      <c r="I310" s="14">
        <f t="shared" si="21"/>
        <v>0</v>
      </c>
      <c r="J310" s="14">
        <f t="shared" si="18"/>
        <v>0</v>
      </c>
      <c r="K310" s="152">
        <f t="shared" si="19"/>
        <v>20491.750503018106</v>
      </c>
    </row>
    <row r="311" spans="1:11" x14ac:dyDescent="0.25">
      <c r="A311" s="61">
        <f>'A) Base RI'!A310</f>
        <v>5933</v>
      </c>
      <c r="B311" s="13" t="str">
        <f>'A) Base RI'!B310</f>
        <v>Valeyres-sous-Montagny</v>
      </c>
      <c r="C311" s="52">
        <f>'A) Base RI'!AN310</f>
        <v>661</v>
      </c>
      <c r="D311" s="14">
        <f t="shared" si="20"/>
        <v>661</v>
      </c>
      <c r="E311" s="19">
        <f t="shared" si="21"/>
        <v>0</v>
      </c>
      <c r="F311" s="14">
        <f t="shared" si="21"/>
        <v>0</v>
      </c>
      <c r="G311" s="19">
        <f t="shared" si="21"/>
        <v>0</v>
      </c>
      <c r="H311" s="52">
        <f t="shared" si="21"/>
        <v>0</v>
      </c>
      <c r="I311" s="14">
        <f t="shared" si="21"/>
        <v>0</v>
      </c>
      <c r="J311" s="14">
        <f t="shared" si="18"/>
        <v>0</v>
      </c>
      <c r="K311" s="152">
        <f t="shared" si="19"/>
        <v>65435.010060362169</v>
      </c>
    </row>
    <row r="312" spans="1:11" x14ac:dyDescent="0.25">
      <c r="A312" s="61">
        <f>'A) Base RI'!A311</f>
        <v>5934</v>
      </c>
      <c r="B312" s="13" t="str">
        <f>'A) Base RI'!B311</f>
        <v>Valeyres-sous-Ursins</v>
      </c>
      <c r="C312" s="52">
        <f>'A) Base RI'!AN311</f>
        <v>245</v>
      </c>
      <c r="D312" s="14">
        <f t="shared" si="20"/>
        <v>245</v>
      </c>
      <c r="E312" s="19">
        <f t="shared" si="21"/>
        <v>0</v>
      </c>
      <c r="F312" s="14">
        <f t="shared" si="21"/>
        <v>0</v>
      </c>
      <c r="G312" s="19">
        <f t="shared" si="21"/>
        <v>0</v>
      </c>
      <c r="H312" s="52">
        <f t="shared" si="21"/>
        <v>0</v>
      </c>
      <c r="I312" s="14">
        <f t="shared" si="21"/>
        <v>0</v>
      </c>
      <c r="J312" s="14">
        <f t="shared" si="18"/>
        <v>0</v>
      </c>
      <c r="K312" s="152">
        <f t="shared" si="19"/>
        <v>24253.521126760563</v>
      </c>
    </row>
    <row r="313" spans="1:11" x14ac:dyDescent="0.25">
      <c r="A313" s="61">
        <f>'A) Base RI'!A312</f>
        <v>5935</v>
      </c>
      <c r="B313" s="13" t="str">
        <f>'A) Base RI'!B312</f>
        <v>Villars-Epeney</v>
      </c>
      <c r="C313" s="52">
        <f>'A) Base RI'!AN312</f>
        <v>90</v>
      </c>
      <c r="D313" s="14">
        <f t="shared" si="20"/>
        <v>90</v>
      </c>
      <c r="E313" s="19">
        <f t="shared" si="21"/>
        <v>0</v>
      </c>
      <c r="F313" s="14">
        <f t="shared" si="21"/>
        <v>0</v>
      </c>
      <c r="G313" s="19">
        <f t="shared" si="21"/>
        <v>0</v>
      </c>
      <c r="H313" s="52">
        <f t="shared" si="21"/>
        <v>0</v>
      </c>
      <c r="I313" s="14">
        <f t="shared" si="21"/>
        <v>0</v>
      </c>
      <c r="J313" s="14">
        <f t="shared" si="18"/>
        <v>0</v>
      </c>
      <c r="K313" s="152">
        <f t="shared" si="19"/>
        <v>8909.4567404426562</v>
      </c>
    </row>
    <row r="314" spans="1:11" x14ac:dyDescent="0.25">
      <c r="A314" s="61">
        <f>'A) Base RI'!A313</f>
        <v>5937</v>
      </c>
      <c r="B314" s="13" t="str">
        <f>'A) Base RI'!B313</f>
        <v>Vugelles-La Mothe</v>
      </c>
      <c r="C314" s="52">
        <f>'A) Base RI'!AN313</f>
        <v>135</v>
      </c>
      <c r="D314" s="14">
        <f t="shared" si="20"/>
        <v>135</v>
      </c>
      <c r="E314" s="19">
        <f t="shared" si="21"/>
        <v>0</v>
      </c>
      <c r="F314" s="14">
        <f t="shared" si="21"/>
        <v>0</v>
      </c>
      <c r="G314" s="19">
        <f t="shared" si="21"/>
        <v>0</v>
      </c>
      <c r="H314" s="52">
        <f t="shared" si="21"/>
        <v>0</v>
      </c>
      <c r="I314" s="14">
        <f t="shared" si="21"/>
        <v>0</v>
      </c>
      <c r="J314" s="14">
        <f t="shared" si="18"/>
        <v>0</v>
      </c>
      <c r="K314" s="152">
        <f t="shared" si="19"/>
        <v>13364.185110663982</v>
      </c>
    </row>
    <row r="315" spans="1:11" x14ac:dyDescent="0.25">
      <c r="A315" s="61">
        <f>'A) Base RI'!A314</f>
        <v>5938</v>
      </c>
      <c r="B315" s="13" t="str">
        <f>'A) Base RI'!B314</f>
        <v>Yverdon-les-Bains</v>
      </c>
      <c r="C315" s="52">
        <f>'A) Base RI'!AN314</f>
        <v>29308</v>
      </c>
      <c r="D315" s="14">
        <f t="shared" si="20"/>
        <v>1000</v>
      </c>
      <c r="E315" s="19">
        <f t="shared" si="21"/>
        <v>2000</v>
      </c>
      <c r="F315" s="14">
        <f t="shared" si="21"/>
        <v>2000</v>
      </c>
      <c r="G315" s="19">
        <f t="shared" si="21"/>
        <v>4000</v>
      </c>
      <c r="H315" s="52">
        <f t="shared" si="21"/>
        <v>3000</v>
      </c>
      <c r="I315" s="14">
        <f t="shared" si="21"/>
        <v>3000</v>
      </c>
      <c r="J315" s="14">
        <f t="shared" si="18"/>
        <v>14308</v>
      </c>
      <c r="K315" s="152">
        <f t="shared" si="19"/>
        <v>24524170.623742454</v>
      </c>
    </row>
    <row r="316" spans="1:11" x14ac:dyDescent="0.25">
      <c r="A316" s="63">
        <f>'A) Base RI'!A315</f>
        <v>5939</v>
      </c>
      <c r="B316" s="120" t="str">
        <f>'A) Base RI'!B315</f>
        <v>Yvonand</v>
      </c>
      <c r="C316" s="52">
        <f>'A) Base RI'!AN315</f>
        <v>3152</v>
      </c>
      <c r="D316" s="25">
        <f t="shared" si="20"/>
        <v>1000</v>
      </c>
      <c r="E316" s="19">
        <f t="shared" si="21"/>
        <v>2000</v>
      </c>
      <c r="F316" s="25">
        <f t="shared" si="21"/>
        <v>152</v>
      </c>
      <c r="G316" s="19">
        <f t="shared" si="21"/>
        <v>0</v>
      </c>
      <c r="H316" s="95">
        <f t="shared" si="21"/>
        <v>0</v>
      </c>
      <c r="I316" s="25">
        <f t="shared" si="21"/>
        <v>0</v>
      </c>
      <c r="J316" s="25">
        <f t="shared" si="18"/>
        <v>0</v>
      </c>
      <c r="K316" s="152">
        <f t="shared" si="19"/>
        <v>867187.12273641839</v>
      </c>
    </row>
    <row r="317" spans="1:11" x14ac:dyDescent="0.25">
      <c r="B317" s="75">
        <f>COUNTA(B8:B316)</f>
        <v>309</v>
      </c>
      <c r="C317" s="15">
        <f>SUM(C8:C316)</f>
        <v>767496</v>
      </c>
      <c r="D317" s="15">
        <f t="shared" ref="D317:J317" si="22">SUM(D8:D316)</f>
        <v>212495</v>
      </c>
      <c r="E317" s="15">
        <f t="shared" si="22"/>
        <v>161146</v>
      </c>
      <c r="F317" s="15">
        <f t="shared" si="22"/>
        <v>82027</v>
      </c>
      <c r="G317" s="15">
        <f t="shared" si="22"/>
        <v>86289</v>
      </c>
      <c r="H317" s="15">
        <f t="shared" si="22"/>
        <v>37186</v>
      </c>
      <c r="I317" s="15">
        <f t="shared" si="22"/>
        <v>24951</v>
      </c>
      <c r="J317" s="15">
        <f t="shared" si="22"/>
        <v>163402</v>
      </c>
      <c r="K317" s="47">
        <f>SUM(K8:K316)</f>
        <v>394558954.52716333</v>
      </c>
    </row>
    <row r="318" spans="1:11" x14ac:dyDescent="0.25">
      <c r="C318" s="98"/>
    </row>
    <row r="328" spans="3:3" x14ac:dyDescent="0.25">
      <c r="C328" s="79"/>
    </row>
  </sheetData>
  <sheetProtection password="CBF3" sheet="1" objects="1" scenarios="1"/>
  <mergeCells count="6">
    <mergeCell ref="K6:K7"/>
    <mergeCell ref="C3:J3"/>
    <mergeCell ref="A6:A7"/>
    <mergeCell ref="B6:B7"/>
    <mergeCell ref="C6:C7"/>
    <mergeCell ref="D6:J6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00B050"/>
  </sheetPr>
  <dimension ref="A1:M314"/>
  <sheetViews>
    <sheetView workbookViewId="0"/>
  </sheetViews>
  <sheetFormatPr baseColWidth="10" defaultColWidth="11" defaultRowHeight="15" x14ac:dyDescent="0.25"/>
  <cols>
    <col min="1" max="1" width="7.25" style="18" customWidth="1"/>
    <col min="2" max="2" width="25.375" style="18" customWidth="1"/>
    <col min="3" max="3" width="9.25" style="18" customWidth="1"/>
    <col min="4" max="4" width="13.625" style="18" customWidth="1"/>
    <col min="5" max="5" width="9" style="18" bestFit="1" customWidth="1"/>
    <col min="6" max="6" width="10.875" style="19" bestFit="1" customWidth="1"/>
    <col min="7" max="7" width="11" style="20"/>
    <col min="8" max="8" width="11" style="18"/>
    <col min="9" max="9" width="13.375" style="8" customWidth="1"/>
    <col min="10" max="12" width="11" style="18"/>
    <col min="13" max="13" width="11.625" style="20" bestFit="1" customWidth="1"/>
    <col min="14" max="16384" width="11" style="18"/>
  </cols>
  <sheetData>
    <row r="1" spans="1:12" ht="21" x14ac:dyDescent="0.25">
      <c r="A1" s="65" t="s">
        <v>506</v>
      </c>
      <c r="B1" s="53"/>
      <c r="C1" s="123"/>
      <c r="D1" s="123"/>
    </row>
    <row r="3" spans="1:12" ht="60" x14ac:dyDescent="0.25">
      <c r="A3" s="424" t="s">
        <v>50</v>
      </c>
      <c r="B3" s="424" t="s">
        <v>119</v>
      </c>
      <c r="C3" s="424" t="s">
        <v>338</v>
      </c>
      <c r="D3" s="424" t="s">
        <v>3</v>
      </c>
      <c r="E3" s="149" t="s">
        <v>388</v>
      </c>
      <c r="F3" s="421" t="s">
        <v>345</v>
      </c>
      <c r="G3" s="443" t="s">
        <v>90</v>
      </c>
      <c r="H3" s="424" t="s">
        <v>386</v>
      </c>
      <c r="I3" s="421" t="s">
        <v>387</v>
      </c>
    </row>
    <row r="4" spans="1:12" x14ac:dyDescent="0.25">
      <c r="A4" s="425"/>
      <c r="B4" s="425"/>
      <c r="C4" s="425"/>
      <c r="D4" s="425"/>
      <c r="E4" s="150">
        <f>+Paramètres!B32</f>
        <v>0.27</v>
      </c>
      <c r="F4" s="422"/>
      <c r="G4" s="444"/>
      <c r="H4" s="425"/>
      <c r="I4" s="422"/>
    </row>
    <row r="5" spans="1:12" x14ac:dyDescent="0.25">
      <c r="A5" s="57">
        <f>'A) Base RI'!A7</f>
        <v>5401</v>
      </c>
      <c r="B5" s="119" t="str">
        <f>'A) Base RI'!B7</f>
        <v>Aigle</v>
      </c>
      <c r="C5" s="125">
        <f>'A) Base RI'!AN7</f>
        <v>9757</v>
      </c>
      <c r="D5" s="147">
        <f>'D) Ecrêtage'!N5</f>
        <v>26.734185325635153</v>
      </c>
      <c r="E5" s="44">
        <f t="shared" ref="E5:E68" si="0">IF($D$314-D5&lt;0,0,$D$314-D5)</f>
        <v>17.357828165334446</v>
      </c>
      <c r="F5" s="369">
        <f t="shared" ref="F5" si="1">(C5*E5*G5)*$E$4</f>
        <v>3086592.0034820903</v>
      </c>
      <c r="G5" s="43">
        <f>'A) Base RI'!AM7</f>
        <v>67.5</v>
      </c>
      <c r="H5" s="370">
        <f t="shared" ref="H5:H68" si="2">G5/$G$314</f>
        <v>0.99411904921918937</v>
      </c>
      <c r="I5" s="74">
        <f>F5*H5</f>
        <v>3068439.9078291683</v>
      </c>
      <c r="J5" s="60"/>
      <c r="K5" s="142"/>
      <c r="L5" s="20"/>
    </row>
    <row r="6" spans="1:12" x14ac:dyDescent="0.25">
      <c r="A6" s="61">
        <f>'A) Base RI'!A8</f>
        <v>5402</v>
      </c>
      <c r="B6" s="13" t="str">
        <f>'A) Base RI'!B8</f>
        <v>Bex</v>
      </c>
      <c r="C6" s="125">
        <f>'A) Base RI'!AN8</f>
        <v>7236</v>
      </c>
      <c r="D6" s="147">
        <f>'D) Ecrêtage'!N6</f>
        <v>24.307753233052264</v>
      </c>
      <c r="E6" s="44">
        <f t="shared" si="0"/>
        <v>19.784260257917335</v>
      </c>
      <c r="F6" s="369">
        <f t="shared" ref="F6:F69" si="3">(C6*E6*G6)*$E$4</f>
        <v>2744356.2515279762</v>
      </c>
      <c r="G6" s="43">
        <f>'A) Base RI'!AM8</f>
        <v>71</v>
      </c>
      <c r="H6" s="370">
        <f t="shared" si="2"/>
        <v>1.0456659628824065</v>
      </c>
      <c r="I6" s="74">
        <f t="shared" ref="I6:I69" si="4">F6*H6</f>
        <v>2869679.9222463532</v>
      </c>
      <c r="J6" s="60"/>
      <c r="L6" s="144"/>
    </row>
    <row r="7" spans="1:12" x14ac:dyDescent="0.25">
      <c r="A7" s="61">
        <f>'A) Base RI'!A9</f>
        <v>5403</v>
      </c>
      <c r="B7" s="13" t="str">
        <f>'A) Base RI'!B9</f>
        <v>Chessel</v>
      </c>
      <c r="C7" s="125">
        <f>'A) Base RI'!AN9</f>
        <v>396</v>
      </c>
      <c r="D7" s="147">
        <f>'D) Ecrêtage'!N7</f>
        <v>20.920652578415741</v>
      </c>
      <c r="E7" s="44">
        <f t="shared" si="0"/>
        <v>23.171360912553858</v>
      </c>
      <c r="F7" s="369">
        <f t="shared" si="3"/>
        <v>188288.62506653965</v>
      </c>
      <c r="G7" s="43">
        <f>'A) Base RI'!AM9</f>
        <v>76</v>
      </c>
      <c r="H7" s="370">
        <f t="shared" si="2"/>
        <v>1.119304410972717</v>
      </c>
      <c r="I7" s="74">
        <f t="shared" si="4"/>
        <v>210752.28857296592</v>
      </c>
      <c r="J7" s="60"/>
      <c r="L7" s="144"/>
    </row>
    <row r="8" spans="1:12" x14ac:dyDescent="0.25">
      <c r="A8" s="61">
        <f>'A) Base RI'!A10</f>
        <v>5404</v>
      </c>
      <c r="B8" s="13" t="str">
        <f>'A) Base RI'!B10</f>
        <v>Corbeyrier</v>
      </c>
      <c r="C8" s="125">
        <f>'A) Base RI'!AN10</f>
        <v>433</v>
      </c>
      <c r="D8" s="147">
        <f>'D) Ecrêtage'!N8</f>
        <v>23.016601781590232</v>
      </c>
      <c r="E8" s="44">
        <f t="shared" si="0"/>
        <v>21.075411709379367</v>
      </c>
      <c r="F8" s="369">
        <f t="shared" si="3"/>
        <v>172474.84680604792</v>
      </c>
      <c r="G8" s="43">
        <f>'A) Base RI'!AM10</f>
        <v>70</v>
      </c>
      <c r="H8" s="370">
        <f t="shared" si="2"/>
        <v>1.0309382732643446</v>
      </c>
      <c r="I8" s="74">
        <f t="shared" si="4"/>
        <v>177810.9207477594</v>
      </c>
    </row>
    <row r="9" spans="1:12" x14ac:dyDescent="0.25">
      <c r="A9" s="61">
        <f>'A) Base RI'!A11</f>
        <v>5405</v>
      </c>
      <c r="B9" s="13" t="str">
        <f>'A) Base RI'!B11</f>
        <v>Gryon</v>
      </c>
      <c r="C9" s="125">
        <f>'A) Base RI'!AN11</f>
        <v>1265</v>
      </c>
      <c r="D9" s="147">
        <f>'D) Ecrêtage'!N9</f>
        <v>56.472111191736658</v>
      </c>
      <c r="E9" s="44">
        <f t="shared" si="0"/>
        <v>0</v>
      </c>
      <c r="F9" s="369">
        <f t="shared" si="3"/>
        <v>0</v>
      </c>
      <c r="G9" s="43">
        <f>'A) Base RI'!AM11</f>
        <v>75</v>
      </c>
      <c r="H9" s="370">
        <f t="shared" si="2"/>
        <v>1.1045767213546549</v>
      </c>
      <c r="I9" s="74">
        <f t="shared" si="4"/>
        <v>0</v>
      </c>
    </row>
    <row r="10" spans="1:12" x14ac:dyDescent="0.25">
      <c r="A10" s="61">
        <f>'A) Base RI'!A12</f>
        <v>5406</v>
      </c>
      <c r="B10" s="13" t="str">
        <f>'A) Base RI'!B12</f>
        <v>Lavey-Morcles</v>
      </c>
      <c r="C10" s="125">
        <f>'A) Base RI'!AN12</f>
        <v>907</v>
      </c>
      <c r="D10" s="147">
        <f>'D) Ecrêtage'!N10</f>
        <v>21.864882967553434</v>
      </c>
      <c r="E10" s="44">
        <f t="shared" si="0"/>
        <v>22.227130523416164</v>
      </c>
      <c r="F10" s="369">
        <f t="shared" si="3"/>
        <v>386467.34156543633</v>
      </c>
      <c r="G10" s="43">
        <f>'A) Base RI'!AM12</f>
        <v>71</v>
      </c>
      <c r="H10" s="370">
        <f t="shared" si="2"/>
        <v>1.0456659628824065</v>
      </c>
      <c r="I10" s="74">
        <f t="shared" si="4"/>
        <v>404115.74484062591</v>
      </c>
    </row>
    <row r="11" spans="1:12" x14ac:dyDescent="0.25">
      <c r="A11" s="61">
        <f>'A) Base RI'!A13</f>
        <v>5407</v>
      </c>
      <c r="B11" s="13" t="str">
        <f>'A) Base RI'!B13</f>
        <v>Leysin</v>
      </c>
      <c r="C11" s="125">
        <f>'A) Base RI'!AN13</f>
        <v>4148</v>
      </c>
      <c r="D11" s="147">
        <f>'D) Ecrêtage'!N11</f>
        <v>24.782808798803252</v>
      </c>
      <c r="E11" s="44">
        <f t="shared" si="0"/>
        <v>19.309204692166347</v>
      </c>
      <c r="F11" s="369">
        <f t="shared" si="3"/>
        <v>1686791.8771890125</v>
      </c>
      <c r="G11" s="43">
        <f>'A) Base RI'!AM13</f>
        <v>78</v>
      </c>
      <c r="H11" s="370">
        <f t="shared" si="2"/>
        <v>1.1487597902088411</v>
      </c>
      <c r="I11" s="74">
        <f t="shared" si="4"/>
        <v>1937718.6829656272</v>
      </c>
    </row>
    <row r="12" spans="1:12" x14ac:dyDescent="0.25">
      <c r="A12" s="61">
        <f>'A) Base RI'!A14</f>
        <v>5408</v>
      </c>
      <c r="B12" s="13" t="str">
        <f>'A) Base RI'!B14</f>
        <v>Noville</v>
      </c>
      <c r="C12" s="125">
        <f>'A) Base RI'!AN14</f>
        <v>1029</v>
      </c>
      <c r="D12" s="147">
        <f>'D) Ecrêtage'!N12</f>
        <v>33.766014826919552</v>
      </c>
      <c r="E12" s="44">
        <f t="shared" si="0"/>
        <v>10.325998664050047</v>
      </c>
      <c r="F12" s="369">
        <f t="shared" si="3"/>
        <v>225206.46839339242</v>
      </c>
      <c r="G12" s="43">
        <f>'A) Base RI'!AM14</f>
        <v>78.5</v>
      </c>
      <c r="H12" s="370">
        <f t="shared" si="2"/>
        <v>1.1561236350178721</v>
      </c>
      <c r="I12" s="74">
        <f t="shared" si="4"/>
        <v>260366.52086850637</v>
      </c>
    </row>
    <row r="13" spans="1:12" x14ac:dyDescent="0.25">
      <c r="A13" s="61">
        <f>'A) Base RI'!A15</f>
        <v>5409</v>
      </c>
      <c r="B13" s="13" t="str">
        <f>'A) Base RI'!B15</f>
        <v>Ollon</v>
      </c>
      <c r="C13" s="125">
        <f>'A) Base RI'!AN15</f>
        <v>7419</v>
      </c>
      <c r="D13" s="147">
        <f>'D) Ecrêtage'!N13</f>
        <v>62.872339649402882</v>
      </c>
      <c r="E13" s="44">
        <f t="shared" si="0"/>
        <v>0</v>
      </c>
      <c r="F13" s="369">
        <f t="shared" si="3"/>
        <v>0</v>
      </c>
      <c r="G13" s="43">
        <f>'A) Base RI'!AM15</f>
        <v>68</v>
      </c>
      <c r="H13" s="370">
        <f t="shared" si="2"/>
        <v>1.0014828940282205</v>
      </c>
      <c r="I13" s="74">
        <f t="shared" si="4"/>
        <v>0</v>
      </c>
    </row>
    <row r="14" spans="1:12" x14ac:dyDescent="0.25">
      <c r="A14" s="61">
        <f>'A) Base RI'!A16</f>
        <v>5410</v>
      </c>
      <c r="B14" s="13" t="str">
        <f>'A) Base RI'!B16</f>
        <v>Ormont-Dessous</v>
      </c>
      <c r="C14" s="125">
        <f>'A) Base RI'!AN16</f>
        <v>1119</v>
      </c>
      <c r="D14" s="147">
        <f>'D) Ecrêtage'!N14</f>
        <v>31.487219101070291</v>
      </c>
      <c r="E14" s="44">
        <f t="shared" si="0"/>
        <v>12.604794389899308</v>
      </c>
      <c r="F14" s="369">
        <f t="shared" si="3"/>
        <v>298950.49252809183</v>
      </c>
      <c r="G14" s="43">
        <f>'A) Base RI'!AM16</f>
        <v>78.5</v>
      </c>
      <c r="H14" s="370">
        <f t="shared" si="2"/>
        <v>1.1561236350178721</v>
      </c>
      <c r="I14" s="74">
        <f t="shared" si="4"/>
        <v>345623.73011196073</v>
      </c>
    </row>
    <row r="15" spans="1:12" x14ac:dyDescent="0.25">
      <c r="A15" s="61">
        <f>'A) Base RI'!A17</f>
        <v>5411</v>
      </c>
      <c r="B15" s="13" t="str">
        <f>'A) Base RI'!B17</f>
        <v>Ormont-Dessus</v>
      </c>
      <c r="C15" s="125">
        <f>'A) Base RI'!AN17</f>
        <v>1481</v>
      </c>
      <c r="D15" s="147">
        <f>'D) Ecrêtage'!N15</f>
        <v>48.474148453510551</v>
      </c>
      <c r="E15" s="44">
        <f t="shared" si="0"/>
        <v>0</v>
      </c>
      <c r="F15" s="369">
        <f t="shared" si="3"/>
        <v>0</v>
      </c>
      <c r="G15" s="43">
        <f>'A) Base RI'!AM17</f>
        <v>76</v>
      </c>
      <c r="H15" s="370">
        <f t="shared" si="2"/>
        <v>1.119304410972717</v>
      </c>
      <c r="I15" s="74">
        <f t="shared" si="4"/>
        <v>0</v>
      </c>
    </row>
    <row r="16" spans="1:12" x14ac:dyDescent="0.25">
      <c r="A16" s="61">
        <f>'A) Base RI'!A18</f>
        <v>5412</v>
      </c>
      <c r="B16" s="13" t="str">
        <f>'A) Base RI'!B18</f>
        <v>Rennaz</v>
      </c>
      <c r="C16" s="125">
        <f>'A) Base RI'!AN18</f>
        <v>843</v>
      </c>
      <c r="D16" s="147">
        <f>'D) Ecrêtage'!N16</f>
        <v>31.43741364614911</v>
      </c>
      <c r="E16" s="44">
        <f t="shared" si="0"/>
        <v>12.654599844820488</v>
      </c>
      <c r="F16" s="369">
        <f t="shared" si="3"/>
        <v>194421.15927087239</v>
      </c>
      <c r="G16" s="43">
        <f>'A) Base RI'!AM18</f>
        <v>67.5</v>
      </c>
      <c r="H16" s="370">
        <f t="shared" si="2"/>
        <v>0.99411904921918937</v>
      </c>
      <c r="I16" s="74">
        <f t="shared" si="4"/>
        <v>193277.77800245225</v>
      </c>
    </row>
    <row r="17" spans="1:9" x14ac:dyDescent="0.25">
      <c r="A17" s="61">
        <f>'A) Base RI'!A19</f>
        <v>5413</v>
      </c>
      <c r="B17" s="13" t="str">
        <f>'A) Base RI'!B19</f>
        <v>Roche</v>
      </c>
      <c r="C17" s="125">
        <f>'A) Base RI'!AN19</f>
        <v>1507</v>
      </c>
      <c r="D17" s="147">
        <f>'D) Ecrêtage'!N17</f>
        <v>23.132861060150667</v>
      </c>
      <c r="E17" s="44">
        <f t="shared" si="0"/>
        <v>20.959152430818932</v>
      </c>
      <c r="F17" s="369">
        <f t="shared" si="3"/>
        <v>579908.72821516229</v>
      </c>
      <c r="G17" s="43">
        <f>'A) Base RI'!AM19</f>
        <v>68</v>
      </c>
      <c r="H17" s="370">
        <f t="shared" si="2"/>
        <v>1.0014828940282205</v>
      </c>
      <c r="I17" s="74">
        <f t="shared" si="4"/>
        <v>580768.67140514555</v>
      </c>
    </row>
    <row r="18" spans="1:9" x14ac:dyDescent="0.25">
      <c r="A18" s="61">
        <f>'A) Base RI'!A20</f>
        <v>5414</v>
      </c>
      <c r="B18" s="13" t="str">
        <f>'A) Base RI'!B20</f>
        <v>Villeneuve</v>
      </c>
      <c r="C18" s="125">
        <f>'A) Base RI'!AN20</f>
        <v>5428</v>
      </c>
      <c r="D18" s="147">
        <f>'D) Ecrêtage'!N18</f>
        <v>30.952343511368852</v>
      </c>
      <c r="E18" s="44">
        <f t="shared" si="0"/>
        <v>13.139669979600747</v>
      </c>
      <c r="F18" s="369">
        <f t="shared" si="3"/>
        <v>1328731.2567359533</v>
      </c>
      <c r="G18" s="43">
        <f>'A) Base RI'!AM20</f>
        <v>69</v>
      </c>
      <c r="H18" s="370">
        <f t="shared" si="2"/>
        <v>1.0162105836462825</v>
      </c>
      <c r="I18" s="74">
        <f t="shared" si="4"/>
        <v>1350270.7659167014</v>
      </c>
    </row>
    <row r="19" spans="1:9" x14ac:dyDescent="0.25">
      <c r="A19" s="61">
        <f>'A) Base RI'!A21</f>
        <v>5415</v>
      </c>
      <c r="B19" s="13" t="str">
        <f>'A) Base RI'!B21</f>
        <v>Yvorne</v>
      </c>
      <c r="C19" s="125">
        <f>'A) Base RI'!AN21</f>
        <v>1032</v>
      </c>
      <c r="D19" s="147">
        <f>'D) Ecrêtage'!N19</f>
        <v>41.720904769988117</v>
      </c>
      <c r="E19" s="44">
        <f t="shared" si="0"/>
        <v>2.3711087209814821</v>
      </c>
      <c r="F19" s="369">
        <f t="shared" si="3"/>
        <v>45256.972779978198</v>
      </c>
      <c r="G19" s="43">
        <f>'A) Base RI'!AM21</f>
        <v>68.5</v>
      </c>
      <c r="H19" s="370">
        <f t="shared" si="2"/>
        <v>1.0088467388372515</v>
      </c>
      <c r="I19" s="74">
        <f t="shared" si="4"/>
        <v>45657.349398727267</v>
      </c>
    </row>
    <row r="20" spans="1:9" x14ac:dyDescent="0.25">
      <c r="A20" s="61">
        <f>'A) Base RI'!A22</f>
        <v>5421</v>
      </c>
      <c r="B20" s="13" t="str">
        <f>'A) Base RI'!B22</f>
        <v>Apples</v>
      </c>
      <c r="C20" s="125">
        <f>'A) Base RI'!AN22</f>
        <v>1363</v>
      </c>
      <c r="D20" s="147">
        <f>'D) Ecrêtage'!N20</f>
        <v>42.106890248313057</v>
      </c>
      <c r="E20" s="44">
        <f t="shared" si="0"/>
        <v>1.9851232426565417</v>
      </c>
      <c r="F20" s="369">
        <f t="shared" si="3"/>
        <v>51868.709521632416</v>
      </c>
      <c r="G20" s="43">
        <f>'A) Base RI'!AM22</f>
        <v>71</v>
      </c>
      <c r="H20" s="370">
        <f t="shared" si="2"/>
        <v>1.0456659628824065</v>
      </c>
      <c r="I20" s="74">
        <f t="shared" si="4"/>
        <v>54237.34408540561</v>
      </c>
    </row>
    <row r="21" spans="1:9" x14ac:dyDescent="0.25">
      <c r="A21" s="61">
        <f>'A) Base RI'!A23</f>
        <v>5422</v>
      </c>
      <c r="B21" s="13" t="str">
        <f>'A) Base RI'!B23</f>
        <v>Aubonne</v>
      </c>
      <c r="C21" s="125">
        <f>'A) Base RI'!AN23</f>
        <v>3227</v>
      </c>
      <c r="D21" s="147">
        <f>'D) Ecrêtage'!N21</f>
        <v>67.489141489668285</v>
      </c>
      <c r="E21" s="44">
        <f t="shared" si="0"/>
        <v>0</v>
      </c>
      <c r="F21" s="369">
        <f t="shared" si="3"/>
        <v>0</v>
      </c>
      <c r="G21" s="43">
        <f>'A) Base RI'!AM23</f>
        <v>68</v>
      </c>
      <c r="H21" s="370">
        <f t="shared" si="2"/>
        <v>1.0014828940282205</v>
      </c>
      <c r="I21" s="74">
        <f t="shared" si="4"/>
        <v>0</v>
      </c>
    </row>
    <row r="22" spans="1:9" x14ac:dyDescent="0.25">
      <c r="A22" s="61">
        <f>'A) Base RI'!A24</f>
        <v>5423</v>
      </c>
      <c r="B22" s="13" t="str">
        <f>'A) Base RI'!B24</f>
        <v>Ballens</v>
      </c>
      <c r="C22" s="125">
        <f>'A) Base RI'!AN24</f>
        <v>509</v>
      </c>
      <c r="D22" s="147">
        <f>'D) Ecrêtage'!N22</f>
        <v>36.717894137410653</v>
      </c>
      <c r="E22" s="44">
        <f t="shared" si="0"/>
        <v>7.374119353558946</v>
      </c>
      <c r="F22" s="369">
        <f t="shared" si="3"/>
        <v>69926.340370412814</v>
      </c>
      <c r="G22" s="43">
        <f>'A) Base RI'!AM24</f>
        <v>69</v>
      </c>
      <c r="H22" s="370">
        <f t="shared" si="2"/>
        <v>1.0162105836462825</v>
      </c>
      <c r="I22" s="74">
        <f t="shared" si="4"/>
        <v>71059.887160065817</v>
      </c>
    </row>
    <row r="23" spans="1:9" x14ac:dyDescent="0.25">
      <c r="A23" s="61">
        <f>'A) Base RI'!A25</f>
        <v>5424</v>
      </c>
      <c r="B23" s="13" t="str">
        <f>'A) Base RI'!B25</f>
        <v>Berolle</v>
      </c>
      <c r="C23" s="125">
        <f>'A) Base RI'!AN25</f>
        <v>292</v>
      </c>
      <c r="D23" s="147">
        <f>'D) Ecrêtage'!N23</f>
        <v>32.055226827966557</v>
      </c>
      <c r="E23" s="44">
        <f t="shared" si="0"/>
        <v>12.036786663003042</v>
      </c>
      <c r="F23" s="369">
        <f t="shared" si="3"/>
        <v>73071.48005935931</v>
      </c>
      <c r="G23" s="43">
        <f>'A) Base RI'!AM25</f>
        <v>77</v>
      </c>
      <c r="H23" s="370">
        <f t="shared" si="2"/>
        <v>1.134032100590779</v>
      </c>
      <c r="I23" s="74">
        <f t="shared" si="4"/>
        <v>82865.404024992458</v>
      </c>
    </row>
    <row r="24" spans="1:9" x14ac:dyDescent="0.25">
      <c r="A24" s="61">
        <f>'A) Base RI'!A26</f>
        <v>5425</v>
      </c>
      <c r="B24" s="13" t="str">
        <f>'A) Base RI'!B26</f>
        <v>Bière</v>
      </c>
      <c r="C24" s="125">
        <f>'A) Base RI'!AN26</f>
        <v>1550</v>
      </c>
      <c r="D24" s="147">
        <f>'D) Ecrêtage'!N24</f>
        <v>26.314454174573054</v>
      </c>
      <c r="E24" s="44">
        <f t="shared" si="0"/>
        <v>17.777559316396545</v>
      </c>
      <c r="F24" s="369">
        <f t="shared" si="3"/>
        <v>505913.78302601288</v>
      </c>
      <c r="G24" s="43">
        <f>'A) Base RI'!AM26</f>
        <v>68</v>
      </c>
      <c r="H24" s="370">
        <f t="shared" si="2"/>
        <v>1.0014828940282205</v>
      </c>
      <c r="I24" s="74">
        <f t="shared" si="4"/>
        <v>506663.99955365661</v>
      </c>
    </row>
    <row r="25" spans="1:9" x14ac:dyDescent="0.25">
      <c r="A25" s="61">
        <f>'A) Base RI'!A27</f>
        <v>5426</v>
      </c>
      <c r="B25" s="13" t="str">
        <f>'A) Base RI'!B27</f>
        <v>Bougy-Villars</v>
      </c>
      <c r="C25" s="125">
        <f>'A) Base RI'!AN27</f>
        <v>481</v>
      </c>
      <c r="D25" s="147">
        <f>'D) Ecrêtage'!N25</f>
        <v>78.564747916212909</v>
      </c>
      <c r="E25" s="44">
        <f t="shared" si="0"/>
        <v>0</v>
      </c>
      <c r="F25" s="369">
        <f t="shared" si="3"/>
        <v>0</v>
      </c>
      <c r="G25" s="43">
        <f>'A) Base RI'!AM27</f>
        <v>62</v>
      </c>
      <c r="H25" s="370">
        <f t="shared" si="2"/>
        <v>0.91311675631984801</v>
      </c>
      <c r="I25" s="74">
        <f t="shared" si="4"/>
        <v>0</v>
      </c>
    </row>
    <row r="26" spans="1:9" x14ac:dyDescent="0.25">
      <c r="A26" s="61">
        <f>'A) Base RI'!A28</f>
        <v>5427</v>
      </c>
      <c r="B26" s="13" t="str">
        <f>'A) Base RI'!B28</f>
        <v>Féchy</v>
      </c>
      <c r="C26" s="125">
        <f>'A) Base RI'!AN28</f>
        <v>860</v>
      </c>
      <c r="D26" s="147">
        <f>'D) Ecrêtage'!N26</f>
        <v>69.647928262955489</v>
      </c>
      <c r="E26" s="44">
        <f t="shared" si="0"/>
        <v>0</v>
      </c>
      <c r="F26" s="369">
        <f t="shared" si="3"/>
        <v>0</v>
      </c>
      <c r="G26" s="43">
        <f>'A) Base RI'!AM28</f>
        <v>64</v>
      </c>
      <c r="H26" s="370">
        <f t="shared" si="2"/>
        <v>0.94257213555597219</v>
      </c>
      <c r="I26" s="74">
        <f t="shared" si="4"/>
        <v>0</v>
      </c>
    </row>
    <row r="27" spans="1:9" x14ac:dyDescent="0.25">
      <c r="A27" s="61">
        <f>'A) Base RI'!A29</f>
        <v>5428</v>
      </c>
      <c r="B27" s="13" t="str">
        <f>'A) Base RI'!B29</f>
        <v>Gimel</v>
      </c>
      <c r="C27" s="125">
        <f>'A) Base RI'!AN29</f>
        <v>1907</v>
      </c>
      <c r="D27" s="147">
        <f>'D) Ecrêtage'!N27</f>
        <v>30.176221160416233</v>
      </c>
      <c r="E27" s="44">
        <f t="shared" si="0"/>
        <v>13.915792330553366</v>
      </c>
      <c r="F27" s="369">
        <f t="shared" si="3"/>
        <v>512304.8153851215</v>
      </c>
      <c r="G27" s="43">
        <f>'A) Base RI'!AM29</f>
        <v>71.5</v>
      </c>
      <c r="H27" s="370">
        <f t="shared" si="2"/>
        <v>1.0530298076914377</v>
      </c>
      <c r="I27" s="74">
        <f t="shared" si="4"/>
        <v>539472.24122439197</v>
      </c>
    </row>
    <row r="28" spans="1:9" x14ac:dyDescent="0.25">
      <c r="A28" s="61">
        <f>'A) Base RI'!A30</f>
        <v>5429</v>
      </c>
      <c r="B28" s="13" t="str">
        <f>'A) Base RI'!B30</f>
        <v>Longirod</v>
      </c>
      <c r="C28" s="125">
        <f>'A) Base RI'!AN30</f>
        <v>463</v>
      </c>
      <c r="D28" s="147">
        <f>'D) Ecrêtage'!N28</f>
        <v>29.471150574620701</v>
      </c>
      <c r="E28" s="44">
        <f t="shared" si="0"/>
        <v>14.620862916348898</v>
      </c>
      <c r="F28" s="369">
        <f t="shared" si="3"/>
        <v>148048.07992699486</v>
      </c>
      <c r="G28" s="43">
        <f>'A) Base RI'!AM30</f>
        <v>81</v>
      </c>
      <c r="H28" s="370">
        <f t="shared" si="2"/>
        <v>1.1929428590630273</v>
      </c>
      <c r="I28" s="74">
        <f t="shared" si="4"/>
        <v>176612.89974690083</v>
      </c>
    </row>
    <row r="29" spans="1:9" x14ac:dyDescent="0.25">
      <c r="A29" s="61">
        <f>'A) Base RI'!A31</f>
        <v>5430</v>
      </c>
      <c r="B29" s="13" t="str">
        <f>'A) Base RI'!B31</f>
        <v>Marchissy</v>
      </c>
      <c r="C29" s="125">
        <f>'A) Base RI'!AN31</f>
        <v>448</v>
      </c>
      <c r="D29" s="147">
        <f>'D) Ecrêtage'!N29</f>
        <v>28.798407462522047</v>
      </c>
      <c r="E29" s="44">
        <f t="shared" si="0"/>
        <v>15.293606028447552</v>
      </c>
      <c r="F29" s="369">
        <f t="shared" si="3"/>
        <v>149843.08140128228</v>
      </c>
      <c r="G29" s="43">
        <f>'A) Base RI'!AM31</f>
        <v>81</v>
      </c>
      <c r="H29" s="370">
        <f t="shared" si="2"/>
        <v>1.1929428590630273</v>
      </c>
      <c r="I29" s="74">
        <f t="shared" si="4"/>
        <v>178754.23393765962</v>
      </c>
    </row>
    <row r="30" spans="1:9" x14ac:dyDescent="0.25">
      <c r="A30" s="61">
        <f>'A) Base RI'!A32</f>
        <v>5431</v>
      </c>
      <c r="B30" s="13" t="str">
        <f>'A) Base RI'!B32</f>
        <v>Mollens</v>
      </c>
      <c r="C30" s="125">
        <f>'A) Base RI'!AN32</f>
        <v>294</v>
      </c>
      <c r="D30" s="147">
        <f>'D) Ecrêtage'!N30</f>
        <v>30.494270086412946</v>
      </c>
      <c r="E30" s="44">
        <f t="shared" si="0"/>
        <v>13.597743404556653</v>
      </c>
      <c r="F30" s="369">
        <f t="shared" si="3"/>
        <v>79874.776487574316</v>
      </c>
      <c r="G30" s="43">
        <f>'A) Base RI'!AM32</f>
        <v>74</v>
      </c>
      <c r="H30" s="370">
        <f t="shared" si="2"/>
        <v>1.0898490317365928</v>
      </c>
      <c r="I30" s="74">
        <f t="shared" si="4"/>
        <v>87051.447815159627</v>
      </c>
    </row>
    <row r="31" spans="1:9" x14ac:dyDescent="0.25">
      <c r="A31" s="61">
        <f>'A) Base RI'!A33</f>
        <v>5432</v>
      </c>
      <c r="B31" s="13" t="str">
        <f>'A) Base RI'!B33</f>
        <v>Montherod</v>
      </c>
      <c r="C31" s="125">
        <f>'A) Base RI'!AN33</f>
        <v>518</v>
      </c>
      <c r="D31" s="147">
        <f>'D) Ecrêtage'!N31</f>
        <v>36.561146822498173</v>
      </c>
      <c r="E31" s="44">
        <f t="shared" si="0"/>
        <v>7.5308666684714254</v>
      </c>
      <c r="F31" s="369">
        <f t="shared" si="3"/>
        <v>77941.758906678602</v>
      </c>
      <c r="G31" s="43">
        <f>'A) Base RI'!AM33</f>
        <v>74</v>
      </c>
      <c r="H31" s="370">
        <f t="shared" si="2"/>
        <v>1.0898490317365928</v>
      </c>
      <c r="I31" s="74">
        <f t="shared" si="4"/>
        <v>84944.750476290632</v>
      </c>
    </row>
    <row r="32" spans="1:9" x14ac:dyDescent="0.25">
      <c r="A32" s="61">
        <f>'A) Base RI'!A34</f>
        <v>5434</v>
      </c>
      <c r="B32" s="13" t="str">
        <f>'A) Base RI'!B34</f>
        <v>Saint-George</v>
      </c>
      <c r="C32" s="125">
        <f>'A) Base RI'!AN34</f>
        <v>949</v>
      </c>
      <c r="D32" s="147">
        <f>'D) Ecrêtage'!N32</f>
        <v>34.79006545499297</v>
      </c>
      <c r="E32" s="44">
        <f t="shared" si="0"/>
        <v>9.3019480359766291</v>
      </c>
      <c r="F32" s="369">
        <f t="shared" si="3"/>
        <v>163265.51295019299</v>
      </c>
      <c r="G32" s="43">
        <f>'A) Base RI'!AM34</f>
        <v>68.5</v>
      </c>
      <c r="H32" s="370">
        <f t="shared" si="2"/>
        <v>1.0088467388372515</v>
      </c>
      <c r="I32" s="74">
        <f t="shared" si="4"/>
        <v>164709.88030439324</v>
      </c>
    </row>
    <row r="33" spans="1:9" x14ac:dyDescent="0.25">
      <c r="A33" s="61">
        <f>'A) Base RI'!A35</f>
        <v>5435</v>
      </c>
      <c r="B33" s="13" t="str">
        <f>'A) Base RI'!B35</f>
        <v>Saint-Livres</v>
      </c>
      <c r="C33" s="125">
        <f>'A) Base RI'!AN35</f>
        <v>713</v>
      </c>
      <c r="D33" s="147">
        <f>'D) Ecrêtage'!N33</f>
        <v>34.130793137792956</v>
      </c>
      <c r="E33" s="44">
        <f t="shared" si="0"/>
        <v>9.9612203531766426</v>
      </c>
      <c r="F33" s="369">
        <f t="shared" si="3"/>
        <v>132316.78258311245</v>
      </c>
      <c r="G33" s="43">
        <f>'A) Base RI'!AM35</f>
        <v>69</v>
      </c>
      <c r="H33" s="370">
        <f t="shared" si="2"/>
        <v>1.0162105836462825</v>
      </c>
      <c r="I33" s="74">
        <f t="shared" si="4"/>
        <v>134461.71485498297</v>
      </c>
    </row>
    <row r="34" spans="1:9" x14ac:dyDescent="0.25">
      <c r="A34" s="61">
        <f>'A) Base RI'!A36</f>
        <v>5436</v>
      </c>
      <c r="B34" s="13" t="str">
        <f>'A) Base RI'!B36</f>
        <v>Saint-Oyens</v>
      </c>
      <c r="C34" s="125">
        <f>'A) Base RI'!AN36</f>
        <v>345</v>
      </c>
      <c r="D34" s="147">
        <f>'D) Ecrêtage'!N34</f>
        <v>28.805124172481658</v>
      </c>
      <c r="E34" s="44">
        <f t="shared" si="0"/>
        <v>15.28688931848794</v>
      </c>
      <c r="F34" s="369">
        <f t="shared" si="3"/>
        <v>115341.8729413893</v>
      </c>
      <c r="G34" s="43">
        <f>'A) Base RI'!AM36</f>
        <v>81</v>
      </c>
      <c r="H34" s="370">
        <f t="shared" si="2"/>
        <v>1.1929428590630273</v>
      </c>
      <c r="I34" s="74">
        <f t="shared" si="4"/>
        <v>137596.2636763854</v>
      </c>
    </row>
    <row r="35" spans="1:9" x14ac:dyDescent="0.25">
      <c r="A35" s="61">
        <f>'A) Base RI'!A37</f>
        <v>5437</v>
      </c>
      <c r="B35" s="13" t="str">
        <f>'A) Base RI'!B37</f>
        <v>Saubraz</v>
      </c>
      <c r="C35" s="125">
        <f>'A) Base RI'!AN37</f>
        <v>391</v>
      </c>
      <c r="D35" s="147">
        <f>'D) Ecrêtage'!N35</f>
        <v>23.387867377438134</v>
      </c>
      <c r="E35" s="44">
        <f t="shared" si="0"/>
        <v>20.704146113531465</v>
      </c>
      <c r="F35" s="369">
        <f t="shared" si="3"/>
        <v>181416.14653205793</v>
      </c>
      <c r="G35" s="43">
        <f>'A) Base RI'!AM37</f>
        <v>83</v>
      </c>
      <c r="H35" s="370">
        <f t="shared" si="2"/>
        <v>1.2223982382991514</v>
      </c>
      <c r="I35" s="74">
        <f t="shared" si="4"/>
        <v>221762.77791980832</v>
      </c>
    </row>
    <row r="36" spans="1:9" x14ac:dyDescent="0.25">
      <c r="A36" s="61">
        <f>'A) Base RI'!A38</f>
        <v>5451</v>
      </c>
      <c r="B36" s="13" t="str">
        <f>'A) Base RI'!B38</f>
        <v>Avenches</v>
      </c>
      <c r="C36" s="125">
        <f>'A) Base RI'!AN38</f>
        <v>4090</v>
      </c>
      <c r="D36" s="147">
        <f>'D) Ecrêtage'!N36</f>
        <v>24.945920909439572</v>
      </c>
      <c r="E36" s="44">
        <f t="shared" si="0"/>
        <v>19.146092581530027</v>
      </c>
      <c r="F36" s="369">
        <f t="shared" si="3"/>
        <v>1437726.0425692853</v>
      </c>
      <c r="G36" s="43">
        <f>'A) Base RI'!AM38</f>
        <v>68</v>
      </c>
      <c r="H36" s="370">
        <f t="shared" si="2"/>
        <v>1.0014828940282205</v>
      </c>
      <c r="I36" s="74">
        <f t="shared" si="4"/>
        <v>1439858.0379320285</v>
      </c>
    </row>
    <row r="37" spans="1:9" x14ac:dyDescent="0.25">
      <c r="A37" s="61">
        <f>'A) Base RI'!A39</f>
        <v>5456</v>
      </c>
      <c r="B37" s="13" t="str">
        <f>'A) Base RI'!B39</f>
        <v>Cudrefin</v>
      </c>
      <c r="C37" s="125">
        <f>'A) Base RI'!AN39</f>
        <v>1516</v>
      </c>
      <c r="D37" s="147">
        <f>'D) Ecrêtage'!N37</f>
        <v>29.863040114485042</v>
      </c>
      <c r="E37" s="44">
        <f t="shared" si="0"/>
        <v>14.228973376484557</v>
      </c>
      <c r="F37" s="369">
        <f t="shared" si="3"/>
        <v>343627.99956529692</v>
      </c>
      <c r="G37" s="43">
        <f>'A) Base RI'!AM39</f>
        <v>59</v>
      </c>
      <c r="H37" s="370">
        <f t="shared" si="2"/>
        <v>0.86893368746566191</v>
      </c>
      <c r="I37" s="74">
        <f t="shared" si="4"/>
        <v>298589.9447787223</v>
      </c>
    </row>
    <row r="38" spans="1:9" x14ac:dyDescent="0.25">
      <c r="A38" s="61">
        <f>'A) Base RI'!A40</f>
        <v>5458</v>
      </c>
      <c r="B38" s="13" t="str">
        <f>'A) Base RI'!B40</f>
        <v>Faoug</v>
      </c>
      <c r="C38" s="125">
        <f>'A) Base RI'!AN40</f>
        <v>853</v>
      </c>
      <c r="D38" s="147">
        <f>'D) Ecrêtage'!N38</f>
        <v>32.99412276824323</v>
      </c>
      <c r="E38" s="44">
        <f t="shared" si="0"/>
        <v>11.097890722726369</v>
      </c>
      <c r="F38" s="369">
        <f t="shared" si="3"/>
        <v>155913.26795341773</v>
      </c>
      <c r="G38" s="43">
        <f>'A) Base RI'!AM40</f>
        <v>61</v>
      </c>
      <c r="H38" s="370">
        <f t="shared" si="2"/>
        <v>0.89838906670178598</v>
      </c>
      <c r="I38" s="74">
        <f t="shared" si="4"/>
        <v>140070.77528309642</v>
      </c>
    </row>
    <row r="39" spans="1:9" x14ac:dyDescent="0.25">
      <c r="A39" s="61">
        <f>'A) Base RI'!A41</f>
        <v>5464</v>
      </c>
      <c r="B39" s="13" t="str">
        <f>'A) Base RI'!B41</f>
        <v>Vully-les-Lacs</v>
      </c>
      <c r="C39" s="125">
        <f>'A) Base RI'!AN41</f>
        <v>2825</v>
      </c>
      <c r="D39" s="147">
        <f>'D) Ecrêtage'!N39</f>
        <v>34.288838427332365</v>
      </c>
      <c r="E39" s="44">
        <f t="shared" si="0"/>
        <v>9.8031750636372337</v>
      </c>
      <c r="F39" s="369">
        <f t="shared" si="3"/>
        <v>500983.90924588306</v>
      </c>
      <c r="G39" s="43">
        <f>'A) Base RI'!AM41</f>
        <v>67</v>
      </c>
      <c r="H39" s="370">
        <f t="shared" si="2"/>
        <v>0.9867552044101584</v>
      </c>
      <c r="I39" s="74">
        <f t="shared" si="4"/>
        <v>494348.4797741216</v>
      </c>
    </row>
    <row r="40" spans="1:9" x14ac:dyDescent="0.25">
      <c r="A40" s="61">
        <f>'A) Base RI'!A42</f>
        <v>5471</v>
      </c>
      <c r="B40" s="13" t="str">
        <f>'A) Base RI'!B42</f>
        <v>Bettens</v>
      </c>
      <c r="C40" s="125">
        <f>'A) Base RI'!AN42</f>
        <v>557</v>
      </c>
      <c r="D40" s="147">
        <f>'D) Ecrêtage'!N40</f>
        <v>32.618055769285576</v>
      </c>
      <c r="E40" s="44">
        <f t="shared" si="0"/>
        <v>11.473957721684023</v>
      </c>
      <c r="F40" s="369">
        <f t="shared" si="3"/>
        <v>120789.79512348423</v>
      </c>
      <c r="G40" s="43">
        <f>'A) Base RI'!AM42</f>
        <v>70</v>
      </c>
      <c r="H40" s="370">
        <f t="shared" si="2"/>
        <v>1.0309382732643446</v>
      </c>
      <c r="I40" s="74">
        <f t="shared" si="4"/>
        <v>124526.82281255879</v>
      </c>
    </row>
    <row r="41" spans="1:9" x14ac:dyDescent="0.25">
      <c r="A41" s="61">
        <f>'A) Base RI'!A43</f>
        <v>5472</v>
      </c>
      <c r="B41" s="13" t="str">
        <f>'A) Base RI'!B43</f>
        <v>Bournens</v>
      </c>
      <c r="C41" s="125">
        <f>'A) Base RI'!AN43</f>
        <v>373</v>
      </c>
      <c r="D41" s="147">
        <f>'D) Ecrêtage'!N41</f>
        <v>35.425248994638068</v>
      </c>
      <c r="E41" s="44">
        <f t="shared" si="0"/>
        <v>8.6667644963315311</v>
      </c>
      <c r="F41" s="369">
        <f t="shared" si="3"/>
        <v>69826.388194043888</v>
      </c>
      <c r="G41" s="43">
        <f>'A) Base RI'!AM43</f>
        <v>80</v>
      </c>
      <c r="H41" s="370">
        <f t="shared" si="2"/>
        <v>1.1782151694449652</v>
      </c>
      <c r="I41" s="74">
        <f t="shared" si="4"/>
        <v>82270.509797775332</v>
      </c>
    </row>
    <row r="42" spans="1:9" x14ac:dyDescent="0.25">
      <c r="A42" s="61">
        <f>'A) Base RI'!A44</f>
        <v>5473</v>
      </c>
      <c r="B42" s="13" t="str">
        <f>'A) Base RI'!B44</f>
        <v>Boussens</v>
      </c>
      <c r="C42" s="125">
        <f>'A) Base RI'!AN44</f>
        <v>958</v>
      </c>
      <c r="D42" s="147">
        <f>'D) Ecrêtage'!N42</f>
        <v>34.454854467338365</v>
      </c>
      <c r="E42" s="44">
        <f t="shared" si="0"/>
        <v>9.6371590236312343</v>
      </c>
      <c r="F42" s="369">
        <f t="shared" si="3"/>
        <v>171999.58116061945</v>
      </c>
      <c r="G42" s="43">
        <f>'A) Base RI'!AM44</f>
        <v>69</v>
      </c>
      <c r="H42" s="370">
        <f t="shared" si="2"/>
        <v>1.0162105836462825</v>
      </c>
      <c r="I42" s="74">
        <f t="shared" si="4"/>
        <v>174787.79475814922</v>
      </c>
    </row>
    <row r="43" spans="1:9" x14ac:dyDescent="0.25">
      <c r="A43" s="61">
        <f>'A) Base RI'!A45</f>
        <v>5474</v>
      </c>
      <c r="B43" s="13" t="str">
        <f>'A) Base RI'!B45</f>
        <v>La Chaux (Cossonay)</v>
      </c>
      <c r="C43" s="125">
        <f>'A) Base RI'!AN45</f>
        <v>421</v>
      </c>
      <c r="D43" s="147">
        <f>'D) Ecrêtage'!N43</f>
        <v>30.1435826366824</v>
      </c>
      <c r="E43" s="44">
        <f t="shared" si="0"/>
        <v>13.948430854287199</v>
      </c>
      <c r="F43" s="369">
        <f t="shared" si="3"/>
        <v>122084.89641092562</v>
      </c>
      <c r="G43" s="43">
        <f>'A) Base RI'!AM45</f>
        <v>77</v>
      </c>
      <c r="H43" s="370">
        <f t="shared" si="2"/>
        <v>1.134032100590779</v>
      </c>
      <c r="I43" s="74">
        <f t="shared" si="4"/>
        <v>138448.19152728963</v>
      </c>
    </row>
    <row r="44" spans="1:9" x14ac:dyDescent="0.25">
      <c r="A44" s="61">
        <f>'A) Base RI'!A46</f>
        <v>5475</v>
      </c>
      <c r="B44" s="13" t="str">
        <f>'A) Base RI'!B46</f>
        <v>Chavannes-le-Veyron</v>
      </c>
      <c r="C44" s="125">
        <f>'A) Base RI'!AN46</f>
        <v>120</v>
      </c>
      <c r="D44" s="147">
        <f>'D) Ecrêtage'!N44</f>
        <v>22.917954545454542</v>
      </c>
      <c r="E44" s="44">
        <f t="shared" si="0"/>
        <v>21.174058945515057</v>
      </c>
      <c r="F44" s="369">
        <f t="shared" si="3"/>
        <v>52825.042257270965</v>
      </c>
      <c r="G44" s="43">
        <f>'A) Base RI'!AM46</f>
        <v>77</v>
      </c>
      <c r="H44" s="370">
        <f t="shared" si="2"/>
        <v>1.134032100590779</v>
      </c>
      <c r="I44" s="74">
        <f t="shared" si="4"/>
        <v>59905.293634809655</v>
      </c>
    </row>
    <row r="45" spans="1:9" x14ac:dyDescent="0.25">
      <c r="A45" s="61">
        <f>'A) Base RI'!A47</f>
        <v>5476</v>
      </c>
      <c r="B45" s="13" t="str">
        <f>'A) Base RI'!B47</f>
        <v>Chevilly</v>
      </c>
      <c r="C45" s="125">
        <f>'A) Base RI'!AN47</f>
        <v>286</v>
      </c>
      <c r="D45" s="147">
        <f>'D) Ecrêtage'!N45</f>
        <v>27.579083821583822</v>
      </c>
      <c r="E45" s="44">
        <f t="shared" si="0"/>
        <v>16.512929669385777</v>
      </c>
      <c r="F45" s="369">
        <f t="shared" si="3"/>
        <v>94359.503751177763</v>
      </c>
      <c r="G45" s="43">
        <f>'A) Base RI'!AM47</f>
        <v>74</v>
      </c>
      <c r="H45" s="370">
        <f t="shared" si="2"/>
        <v>1.0898490317365928</v>
      </c>
      <c r="I45" s="74">
        <f t="shared" si="4"/>
        <v>102837.61379836648</v>
      </c>
    </row>
    <row r="46" spans="1:9" x14ac:dyDescent="0.25">
      <c r="A46" s="61">
        <f>'A) Base RI'!A48</f>
        <v>5477</v>
      </c>
      <c r="B46" s="13" t="str">
        <f>'A) Base RI'!B48</f>
        <v>Cossonay</v>
      </c>
      <c r="C46" s="125">
        <f>'A) Base RI'!AN48</f>
        <v>3642</v>
      </c>
      <c r="D46" s="147">
        <f>'D) Ecrêtage'!N46</f>
        <v>33.110857377414213</v>
      </c>
      <c r="E46" s="44">
        <f t="shared" si="0"/>
        <v>10.981156113555386</v>
      </c>
      <c r="F46" s="369">
        <f t="shared" si="3"/>
        <v>748315.9566523562</v>
      </c>
      <c r="G46" s="43">
        <f>'A) Base RI'!AM48</f>
        <v>69.3</v>
      </c>
      <c r="H46" s="370">
        <f t="shared" si="2"/>
        <v>1.0206288905317011</v>
      </c>
      <c r="I46" s="74">
        <f t="shared" si="4"/>
        <v>763752.88460526289</v>
      </c>
    </row>
    <row r="47" spans="1:9" x14ac:dyDescent="0.25">
      <c r="A47" s="61">
        <f>'A) Base RI'!A49</f>
        <v>5478</v>
      </c>
      <c r="B47" s="13" t="str">
        <f>'A) Base RI'!B49</f>
        <v>Cottens</v>
      </c>
      <c r="C47" s="125">
        <f>'A) Base RI'!AN49</f>
        <v>473</v>
      </c>
      <c r="D47" s="147">
        <f>'D) Ecrêtage'!N47</f>
        <v>32.693939687573405</v>
      </c>
      <c r="E47" s="44">
        <f t="shared" si="0"/>
        <v>11.398073803396194</v>
      </c>
      <c r="F47" s="369">
        <f t="shared" si="3"/>
        <v>104806.65639108441</v>
      </c>
      <c r="G47" s="43">
        <f>'A) Base RI'!AM49</f>
        <v>72</v>
      </c>
      <c r="H47" s="370">
        <f t="shared" si="2"/>
        <v>1.0603936525004687</v>
      </c>
      <c r="I47" s="74">
        <f t="shared" si="4"/>
        <v>111136.3131769036</v>
      </c>
    </row>
    <row r="48" spans="1:9" x14ac:dyDescent="0.25">
      <c r="A48" s="61">
        <f>'A) Base RI'!A50</f>
        <v>5479</v>
      </c>
      <c r="B48" s="13" t="str">
        <f>'A) Base RI'!B50</f>
        <v>Cuarnens</v>
      </c>
      <c r="C48" s="125">
        <f>'A) Base RI'!AN50</f>
        <v>439</v>
      </c>
      <c r="D48" s="147">
        <f>'D) Ecrêtage'!N48</f>
        <v>26.891856639943196</v>
      </c>
      <c r="E48" s="44">
        <f t="shared" si="0"/>
        <v>17.200156851026403</v>
      </c>
      <c r="F48" s="369">
        <f t="shared" si="3"/>
        <v>156982.56354951629</v>
      </c>
      <c r="G48" s="43">
        <f>'A) Base RI'!AM50</f>
        <v>77</v>
      </c>
      <c r="H48" s="370">
        <f t="shared" si="2"/>
        <v>1.134032100590779</v>
      </c>
      <c r="I48" s="74">
        <f t="shared" si="4"/>
        <v>178023.26629818341</v>
      </c>
    </row>
    <row r="49" spans="1:9" x14ac:dyDescent="0.25">
      <c r="A49" s="61">
        <f>'A) Base RI'!A51</f>
        <v>5480</v>
      </c>
      <c r="B49" s="13" t="str">
        <f>'A) Base RI'!B51</f>
        <v>Daillens</v>
      </c>
      <c r="C49" s="125">
        <f>'A) Base RI'!AN51</f>
        <v>940</v>
      </c>
      <c r="D49" s="147">
        <f>'D) Ecrêtage'!N49</f>
        <v>44.801967785436013</v>
      </c>
      <c r="E49" s="44">
        <f t="shared" si="0"/>
        <v>0</v>
      </c>
      <c r="F49" s="369">
        <f t="shared" si="3"/>
        <v>0</v>
      </c>
      <c r="G49" s="43">
        <f>'A) Base RI'!AM51</f>
        <v>71</v>
      </c>
      <c r="H49" s="370">
        <f t="shared" si="2"/>
        <v>1.0456659628824065</v>
      </c>
      <c r="I49" s="74">
        <f t="shared" si="4"/>
        <v>0</v>
      </c>
    </row>
    <row r="50" spans="1:9" x14ac:dyDescent="0.25">
      <c r="A50" s="61">
        <f>'A) Base RI'!A52</f>
        <v>5481</v>
      </c>
      <c r="B50" s="13" t="str">
        <f>'A) Base RI'!B52</f>
        <v>Dizy</v>
      </c>
      <c r="C50" s="125">
        <f>'A) Base RI'!AN52</f>
        <v>221</v>
      </c>
      <c r="D50" s="147">
        <f>'D) Ecrêtage'!N50</f>
        <v>37.289571970160203</v>
      </c>
      <c r="E50" s="44">
        <f t="shared" si="0"/>
        <v>6.8024415208093956</v>
      </c>
      <c r="F50" s="369">
        <f t="shared" si="3"/>
        <v>30036.724730455553</v>
      </c>
      <c r="G50" s="43">
        <f>'A) Base RI'!AM52</f>
        <v>74</v>
      </c>
      <c r="H50" s="370">
        <f t="shared" si="2"/>
        <v>1.0898490317365928</v>
      </c>
      <c r="I50" s="74">
        <f t="shared" si="4"/>
        <v>32735.495364025555</v>
      </c>
    </row>
    <row r="51" spans="1:9" x14ac:dyDescent="0.25">
      <c r="A51" s="61">
        <f>'A) Base RI'!A53</f>
        <v>5482</v>
      </c>
      <c r="B51" s="13" t="str">
        <f>'A) Base RI'!B53</f>
        <v>Eclépens</v>
      </c>
      <c r="C51" s="125">
        <f>'A) Base RI'!AN53</f>
        <v>1039</v>
      </c>
      <c r="D51" s="147">
        <f>'D) Ecrêtage'!N51</f>
        <v>60.349899367524323</v>
      </c>
      <c r="E51" s="44">
        <f t="shared" si="0"/>
        <v>0</v>
      </c>
      <c r="F51" s="369">
        <f t="shared" si="3"/>
        <v>0</v>
      </c>
      <c r="G51" s="43">
        <f>'A) Base RI'!AM53</f>
        <v>46</v>
      </c>
      <c r="H51" s="370">
        <f t="shared" si="2"/>
        <v>0.67747372243085502</v>
      </c>
      <c r="I51" s="74">
        <f t="shared" si="4"/>
        <v>0</v>
      </c>
    </row>
    <row r="52" spans="1:9" x14ac:dyDescent="0.25">
      <c r="A52" s="61">
        <f>'A) Base RI'!A54</f>
        <v>5483</v>
      </c>
      <c r="B52" s="13" t="str">
        <f>'A) Base RI'!B54</f>
        <v>Ferreyres</v>
      </c>
      <c r="C52" s="125">
        <f>'A) Base RI'!AN54</f>
        <v>313</v>
      </c>
      <c r="D52" s="147">
        <f>'D) Ecrêtage'!N52</f>
        <v>29.065680174878086</v>
      </c>
      <c r="E52" s="44">
        <f t="shared" si="0"/>
        <v>15.026333316091513</v>
      </c>
      <c r="F52" s="369">
        <f t="shared" si="3"/>
        <v>96510.532569259944</v>
      </c>
      <c r="G52" s="43">
        <f>'A) Base RI'!AM54</f>
        <v>76</v>
      </c>
      <c r="H52" s="370">
        <f t="shared" si="2"/>
        <v>1.119304410972717</v>
      </c>
      <c r="I52" s="74">
        <f t="shared" si="4"/>
        <v>108024.66481009872</v>
      </c>
    </row>
    <row r="53" spans="1:9" x14ac:dyDescent="0.25">
      <c r="A53" s="61">
        <f>'A) Base RI'!A55</f>
        <v>5484</v>
      </c>
      <c r="B53" s="13" t="str">
        <f>'A) Base RI'!B55</f>
        <v>Gollion</v>
      </c>
      <c r="C53" s="125">
        <f>'A) Base RI'!AN55</f>
        <v>857</v>
      </c>
      <c r="D53" s="147">
        <f>'D) Ecrêtage'!N53</f>
        <v>27.028013024693305</v>
      </c>
      <c r="E53" s="44">
        <f t="shared" si="0"/>
        <v>17.064000466276294</v>
      </c>
      <c r="F53" s="369">
        <f t="shared" si="3"/>
        <v>292184.49102398375</v>
      </c>
      <c r="G53" s="43">
        <f>'A) Base RI'!AM55</f>
        <v>74</v>
      </c>
      <c r="H53" s="370">
        <f t="shared" si="2"/>
        <v>1.0898490317365928</v>
      </c>
      <c r="I53" s="74">
        <f t="shared" si="4"/>
        <v>318436.98463093786</v>
      </c>
    </row>
    <row r="54" spans="1:9" x14ac:dyDescent="0.25">
      <c r="A54" s="61">
        <f>'A) Base RI'!A56</f>
        <v>5485</v>
      </c>
      <c r="B54" s="13" t="str">
        <f>'A) Base RI'!B56</f>
        <v>Grancy</v>
      </c>
      <c r="C54" s="125">
        <f>'A) Base RI'!AN56</f>
        <v>396</v>
      </c>
      <c r="D54" s="147">
        <f>'D) Ecrêtage'!N54</f>
        <v>43.682716810966816</v>
      </c>
      <c r="E54" s="44">
        <f t="shared" si="0"/>
        <v>0.40929668000278241</v>
      </c>
      <c r="F54" s="369">
        <f t="shared" si="3"/>
        <v>3063.3400718128246</v>
      </c>
      <c r="G54" s="43">
        <f>'A) Base RI'!AM56</f>
        <v>70</v>
      </c>
      <c r="H54" s="370">
        <f t="shared" si="2"/>
        <v>1.0309382732643446</v>
      </c>
      <c r="I54" s="74">
        <f t="shared" si="4"/>
        <v>3158.1145240561868</v>
      </c>
    </row>
    <row r="55" spans="1:9" x14ac:dyDescent="0.25">
      <c r="A55" s="61">
        <f>'A) Base RI'!A57</f>
        <v>5486</v>
      </c>
      <c r="B55" s="13" t="str">
        <f>'A) Base RI'!B57</f>
        <v>L'Isle</v>
      </c>
      <c r="C55" s="125">
        <f>'A) Base RI'!AN57</f>
        <v>1032</v>
      </c>
      <c r="D55" s="147">
        <f>'D) Ecrêtage'!N55</f>
        <v>26.368648893308851</v>
      </c>
      <c r="E55" s="44">
        <f t="shared" si="0"/>
        <v>17.723364597660748</v>
      </c>
      <c r="F55" s="369">
        <f t="shared" si="3"/>
        <v>375321.31167340657</v>
      </c>
      <c r="G55" s="43">
        <f>'A) Base RI'!AM57</f>
        <v>76</v>
      </c>
      <c r="H55" s="370">
        <f t="shared" si="2"/>
        <v>1.119304410972717</v>
      </c>
      <c r="I55" s="74">
        <f t="shared" si="4"/>
        <v>420098.7996881099</v>
      </c>
    </row>
    <row r="56" spans="1:9" x14ac:dyDescent="0.25">
      <c r="A56" s="61">
        <f>'A) Base RI'!A58</f>
        <v>5487</v>
      </c>
      <c r="B56" s="13" t="str">
        <f>'A) Base RI'!B58</f>
        <v>Lussery-Villars</v>
      </c>
      <c r="C56" s="125">
        <f>'A) Base RI'!AN58</f>
        <v>423</v>
      </c>
      <c r="D56" s="147">
        <f>'D) Ecrêtage'!N56</f>
        <v>29.017315741899598</v>
      </c>
      <c r="E56" s="44">
        <f t="shared" si="0"/>
        <v>15.074697749070001</v>
      </c>
      <c r="F56" s="369">
        <f t="shared" si="3"/>
        <v>117074.32363464737</v>
      </c>
      <c r="G56" s="43">
        <f>'A) Base RI'!AM58</f>
        <v>68</v>
      </c>
      <c r="H56" s="370">
        <f t="shared" si="2"/>
        <v>1.0014828940282205</v>
      </c>
      <c r="I56" s="74">
        <f t="shared" si="4"/>
        <v>117247.93245002315</v>
      </c>
    </row>
    <row r="57" spans="1:9" x14ac:dyDescent="0.25">
      <c r="A57" s="61">
        <f>'A) Base RI'!A59</f>
        <v>5488</v>
      </c>
      <c r="B57" s="13" t="str">
        <f>'A) Base RI'!B59</f>
        <v>Mauraz</v>
      </c>
      <c r="C57" s="125">
        <f>'A) Base RI'!AN59</f>
        <v>49</v>
      </c>
      <c r="D57" s="147">
        <f>'D) Ecrêtage'!N57</f>
        <v>28.929092664092664</v>
      </c>
      <c r="E57" s="44">
        <f t="shared" si="0"/>
        <v>15.162920826876935</v>
      </c>
      <c r="F57" s="369">
        <f t="shared" si="3"/>
        <v>14844.802747929059</v>
      </c>
      <c r="G57" s="43">
        <f>'A) Base RI'!AM59</f>
        <v>74</v>
      </c>
      <c r="H57" s="370">
        <f t="shared" si="2"/>
        <v>1.0898490317365928</v>
      </c>
      <c r="I57" s="74">
        <f t="shared" si="4"/>
        <v>16178.593901151196</v>
      </c>
    </row>
    <row r="58" spans="1:9" x14ac:dyDescent="0.25">
      <c r="A58" s="61">
        <f>'A) Base RI'!A60</f>
        <v>5489</v>
      </c>
      <c r="B58" s="13" t="str">
        <f>'A) Base RI'!B60</f>
        <v>Mex</v>
      </c>
      <c r="C58" s="125">
        <f>'A) Base RI'!AN60</f>
        <v>678</v>
      </c>
      <c r="D58" s="147">
        <f>'D) Ecrêtage'!N58</f>
        <v>54.698548808095261</v>
      </c>
      <c r="E58" s="44">
        <f t="shared" si="0"/>
        <v>0</v>
      </c>
      <c r="F58" s="369">
        <f t="shared" si="3"/>
        <v>0</v>
      </c>
      <c r="G58" s="43">
        <f>'A) Base RI'!AM60</f>
        <v>61</v>
      </c>
      <c r="H58" s="370">
        <f t="shared" si="2"/>
        <v>0.89838906670178598</v>
      </c>
      <c r="I58" s="74">
        <f t="shared" si="4"/>
        <v>0</v>
      </c>
    </row>
    <row r="59" spans="1:9" x14ac:dyDescent="0.25">
      <c r="A59" s="61">
        <f>'A) Base RI'!A61</f>
        <v>5490</v>
      </c>
      <c r="B59" s="13" t="str">
        <f>'A) Base RI'!B61</f>
        <v>Moiry</v>
      </c>
      <c r="C59" s="125">
        <f>'A) Base RI'!AN61</f>
        <v>290</v>
      </c>
      <c r="D59" s="147">
        <f>'D) Ecrêtage'!N59</f>
        <v>25.247334610472542</v>
      </c>
      <c r="E59" s="44">
        <f t="shared" si="0"/>
        <v>18.844678880497057</v>
      </c>
      <c r="F59" s="369">
        <f t="shared" si="3"/>
        <v>119518.60686377648</v>
      </c>
      <c r="G59" s="43">
        <f>'A) Base RI'!AM61</f>
        <v>81</v>
      </c>
      <c r="H59" s="370">
        <f t="shared" si="2"/>
        <v>1.1929428590630273</v>
      </c>
      <c r="I59" s="74">
        <f t="shared" si="4"/>
        <v>142578.86858330347</v>
      </c>
    </row>
    <row r="60" spans="1:9" x14ac:dyDescent="0.25">
      <c r="A60" s="61">
        <f>'A) Base RI'!A62</f>
        <v>5491</v>
      </c>
      <c r="B60" s="13" t="str">
        <f>'A) Base RI'!B62</f>
        <v>Mont-la-Ville</v>
      </c>
      <c r="C60" s="125">
        <f>'A) Base RI'!AN62</f>
        <v>382</v>
      </c>
      <c r="D60" s="147">
        <f>'D) Ecrêtage'!N60</f>
        <v>22.512253720033073</v>
      </c>
      <c r="E60" s="44">
        <f t="shared" si="0"/>
        <v>21.579759770936526</v>
      </c>
      <c r="F60" s="369">
        <f t="shared" si="3"/>
        <v>169155.96813085393</v>
      </c>
      <c r="G60" s="43">
        <f>'A) Base RI'!AM62</f>
        <v>76</v>
      </c>
      <c r="H60" s="370">
        <f t="shared" si="2"/>
        <v>1.119304410972717</v>
      </c>
      <c r="I60" s="74">
        <f t="shared" si="4"/>
        <v>189337.02127122515</v>
      </c>
    </row>
    <row r="61" spans="1:9" x14ac:dyDescent="0.25">
      <c r="A61" s="61">
        <f>'A) Base RI'!A63</f>
        <v>5492</v>
      </c>
      <c r="B61" s="13" t="str">
        <f>'A) Base RI'!B63</f>
        <v>Montricher</v>
      </c>
      <c r="C61" s="125">
        <f>'A) Base RI'!AN63</f>
        <v>961</v>
      </c>
      <c r="D61" s="147">
        <f>'D) Ecrêtage'!N61</f>
        <v>143.08260126864022</v>
      </c>
      <c r="E61" s="44">
        <f t="shared" si="0"/>
        <v>0</v>
      </c>
      <c r="F61" s="369">
        <f t="shared" si="3"/>
        <v>0</v>
      </c>
      <c r="G61" s="43">
        <f>'A) Base RI'!AM63</f>
        <v>64</v>
      </c>
      <c r="H61" s="370">
        <f t="shared" si="2"/>
        <v>0.94257213555597219</v>
      </c>
      <c r="I61" s="74">
        <f t="shared" si="4"/>
        <v>0</v>
      </c>
    </row>
    <row r="62" spans="1:9" x14ac:dyDescent="0.25">
      <c r="A62" s="61">
        <f>'A) Base RI'!A64</f>
        <v>5493</v>
      </c>
      <c r="B62" s="13" t="str">
        <f>'A) Base RI'!B64</f>
        <v>Orny</v>
      </c>
      <c r="C62" s="125">
        <f>'A) Base RI'!AN64</f>
        <v>375</v>
      </c>
      <c r="D62" s="147">
        <f>'D) Ecrêtage'!N62</f>
        <v>28.304866062521953</v>
      </c>
      <c r="E62" s="44">
        <f t="shared" si="0"/>
        <v>15.787147428447646</v>
      </c>
      <c r="F62" s="369">
        <f t="shared" si="3"/>
        <v>116686.75343051368</v>
      </c>
      <c r="G62" s="43">
        <f>'A) Base RI'!AM64</f>
        <v>73</v>
      </c>
      <c r="H62" s="370">
        <f t="shared" si="2"/>
        <v>1.0751213421185308</v>
      </c>
      <c r="I62" s="74">
        <f t="shared" si="4"/>
        <v>125452.41895566795</v>
      </c>
    </row>
    <row r="63" spans="1:9" x14ac:dyDescent="0.25">
      <c r="A63" s="61">
        <f>'A) Base RI'!A65</f>
        <v>5494</v>
      </c>
      <c r="B63" s="13" t="str">
        <f>'A) Base RI'!B65</f>
        <v>Pampigny</v>
      </c>
      <c r="C63" s="125">
        <f>'A) Base RI'!AN65</f>
        <v>1124</v>
      </c>
      <c r="D63" s="147">
        <f>'D) Ecrêtage'!N63</f>
        <v>30.233177551827374</v>
      </c>
      <c r="E63" s="44">
        <f t="shared" si="0"/>
        <v>13.858835939142224</v>
      </c>
      <c r="F63" s="369">
        <f t="shared" si="3"/>
        <v>315440.96481081622</v>
      </c>
      <c r="G63" s="43">
        <f>'A) Base RI'!AM65</f>
        <v>75</v>
      </c>
      <c r="H63" s="370">
        <f t="shared" si="2"/>
        <v>1.1045767213546549</v>
      </c>
      <c r="I63" s="74">
        <f t="shared" si="4"/>
        <v>348428.74669168046</v>
      </c>
    </row>
    <row r="64" spans="1:9" x14ac:dyDescent="0.25">
      <c r="A64" s="61">
        <f>'A) Base RI'!A66</f>
        <v>5495</v>
      </c>
      <c r="B64" s="13" t="str">
        <f>'A) Base RI'!B66</f>
        <v>Penthalaz</v>
      </c>
      <c r="C64" s="125">
        <f>'A) Base RI'!AN66</f>
        <v>3241</v>
      </c>
      <c r="D64" s="147">
        <f>'D) Ecrêtage'!N64</f>
        <v>29.670571228433001</v>
      </c>
      <c r="E64" s="44">
        <f t="shared" si="0"/>
        <v>14.421442262536598</v>
      </c>
      <c r="F64" s="369">
        <f t="shared" si="3"/>
        <v>933863.08957016468</v>
      </c>
      <c r="G64" s="43">
        <f>'A) Base RI'!AM66</f>
        <v>74</v>
      </c>
      <c r="H64" s="370">
        <f t="shared" si="2"/>
        <v>1.0898490317365928</v>
      </c>
      <c r="I64" s="74">
        <f t="shared" si="4"/>
        <v>1017769.783942587</v>
      </c>
    </row>
    <row r="65" spans="1:9" x14ac:dyDescent="0.25">
      <c r="A65" s="61">
        <f>'A) Base RI'!A67</f>
        <v>5496</v>
      </c>
      <c r="B65" s="13" t="str">
        <f>'A) Base RI'!B67</f>
        <v>Penthaz</v>
      </c>
      <c r="C65" s="125">
        <f>'A) Base RI'!AN67</f>
        <v>1653</v>
      </c>
      <c r="D65" s="147">
        <f>'D) Ecrêtage'!N65</f>
        <v>33.400658810698431</v>
      </c>
      <c r="E65" s="44">
        <f t="shared" si="0"/>
        <v>10.691354680271168</v>
      </c>
      <c r="F65" s="369">
        <f t="shared" si="3"/>
        <v>338787.75402197964</v>
      </c>
      <c r="G65" s="43">
        <f>'A) Base RI'!AM67</f>
        <v>71</v>
      </c>
      <c r="H65" s="370">
        <f t="shared" si="2"/>
        <v>1.0456659628824065</v>
      </c>
      <c r="I65" s="74">
        <f t="shared" si="4"/>
        <v>354258.82302216126</v>
      </c>
    </row>
    <row r="66" spans="1:9" x14ac:dyDescent="0.25">
      <c r="A66" s="61">
        <f>'A) Base RI'!A68</f>
        <v>5497</v>
      </c>
      <c r="B66" s="13" t="str">
        <f>'A) Base RI'!B68</f>
        <v>Pompaples</v>
      </c>
      <c r="C66" s="125">
        <f>'A) Base RI'!AN68</f>
        <v>834</v>
      </c>
      <c r="D66" s="147">
        <f>'D) Ecrêtage'!N66</f>
        <v>26.651333660344456</v>
      </c>
      <c r="E66" s="44">
        <f t="shared" si="0"/>
        <v>17.440679830625143</v>
      </c>
      <c r="F66" s="369">
        <f t="shared" si="3"/>
        <v>259201.2907611712</v>
      </c>
      <c r="G66" s="43">
        <f>'A) Base RI'!AM68</f>
        <v>66</v>
      </c>
      <c r="H66" s="370">
        <f t="shared" si="2"/>
        <v>0.97202751479209637</v>
      </c>
      <c r="I66" s="74">
        <f t="shared" si="4"/>
        <v>251950.7864894848</v>
      </c>
    </row>
    <row r="67" spans="1:9" x14ac:dyDescent="0.25">
      <c r="A67" s="61">
        <f>'A) Base RI'!A69</f>
        <v>5498</v>
      </c>
      <c r="B67" s="13" t="str">
        <f>'A) Base RI'!B69</f>
        <v>La Sarraz</v>
      </c>
      <c r="C67" s="125">
        <f>'A) Base RI'!AN69</f>
        <v>2559</v>
      </c>
      <c r="D67" s="147">
        <f>'D) Ecrêtage'!N67</f>
        <v>28.176682297772569</v>
      </c>
      <c r="E67" s="44">
        <f t="shared" si="0"/>
        <v>15.91533119319703</v>
      </c>
      <c r="F67" s="369">
        <f t="shared" si="3"/>
        <v>703768.3060041999</v>
      </c>
      <c r="G67" s="43">
        <f>'A) Base RI'!AM69</f>
        <v>64</v>
      </c>
      <c r="H67" s="370">
        <f t="shared" si="2"/>
        <v>0.94257213555597219</v>
      </c>
      <c r="I67" s="74">
        <f t="shared" si="4"/>
        <v>663352.3951269876</v>
      </c>
    </row>
    <row r="68" spans="1:9" x14ac:dyDescent="0.25">
      <c r="A68" s="61">
        <f>'A) Base RI'!A70</f>
        <v>5499</v>
      </c>
      <c r="B68" s="13" t="str">
        <f>'A) Base RI'!B70</f>
        <v>Senarclens</v>
      </c>
      <c r="C68" s="125">
        <f>'A) Base RI'!AN70</f>
        <v>451</v>
      </c>
      <c r="D68" s="147">
        <f>'D) Ecrêtage'!N68</f>
        <v>48.110189845760431</v>
      </c>
      <c r="E68" s="44">
        <f t="shared" si="0"/>
        <v>0</v>
      </c>
      <c r="F68" s="369">
        <f t="shared" si="3"/>
        <v>0</v>
      </c>
      <c r="G68" s="43">
        <f>'A) Base RI'!AM70</f>
        <v>68.5</v>
      </c>
      <c r="H68" s="370">
        <f t="shared" si="2"/>
        <v>1.0088467388372515</v>
      </c>
      <c r="I68" s="74">
        <f t="shared" si="4"/>
        <v>0</v>
      </c>
    </row>
    <row r="69" spans="1:9" x14ac:dyDescent="0.25">
      <c r="A69" s="61">
        <f>'A) Base RI'!A71</f>
        <v>5500</v>
      </c>
      <c r="B69" s="13" t="str">
        <f>'A) Base RI'!B71</f>
        <v>Sévery</v>
      </c>
      <c r="C69" s="125">
        <f>'A) Base RI'!AN71</f>
        <v>231</v>
      </c>
      <c r="D69" s="147">
        <f>'D) Ecrêtage'!N69</f>
        <v>29.295032752335384</v>
      </c>
      <c r="E69" s="44">
        <f t="shared" ref="E69:E132" si="5">IF($D$314-D69&lt;0,0,$D$314-D69)</f>
        <v>14.796980738634215</v>
      </c>
      <c r="F69" s="369">
        <f t="shared" si="3"/>
        <v>70139.464338814825</v>
      </c>
      <c r="G69" s="43">
        <f>'A) Base RI'!AM71</f>
        <v>76</v>
      </c>
      <c r="H69" s="370">
        <f t="shared" ref="H69:H132" si="6">G69/$G$314</f>
        <v>1.119304410972717</v>
      </c>
      <c r="I69" s="74">
        <f t="shared" si="4"/>
        <v>78507.411817699016</v>
      </c>
    </row>
    <row r="70" spans="1:9" x14ac:dyDescent="0.25">
      <c r="A70" s="61">
        <f>'A) Base RI'!A72</f>
        <v>5501</v>
      </c>
      <c r="B70" s="13" t="str">
        <f>'A) Base RI'!B72</f>
        <v>Sullens</v>
      </c>
      <c r="C70" s="125">
        <f>'A) Base RI'!AN72</f>
        <v>925</v>
      </c>
      <c r="D70" s="147">
        <f>'D) Ecrêtage'!N70</f>
        <v>38.797677683397694</v>
      </c>
      <c r="E70" s="44">
        <f t="shared" si="5"/>
        <v>5.2943358075719047</v>
      </c>
      <c r="F70" s="369">
        <f t="shared" ref="F70:F133" si="7">(C70*E70*G70)*$E$4</f>
        <v>92558.225755875814</v>
      </c>
      <c r="G70" s="43">
        <f>'A) Base RI'!AM72</f>
        <v>70</v>
      </c>
      <c r="H70" s="370">
        <f t="shared" si="6"/>
        <v>1.0309382732643446</v>
      </c>
      <c r="I70" s="74">
        <f t="shared" ref="I70:I133" si="8">F70*H70</f>
        <v>95421.817437174002</v>
      </c>
    </row>
    <row r="71" spans="1:9" x14ac:dyDescent="0.25">
      <c r="A71" s="61">
        <f>'A) Base RI'!A73</f>
        <v>5503</v>
      </c>
      <c r="B71" s="13" t="str">
        <f>'A) Base RI'!B73</f>
        <v>Vufflens-la-Ville</v>
      </c>
      <c r="C71" s="125">
        <f>'A) Base RI'!AN73</f>
        <v>1216</v>
      </c>
      <c r="D71" s="147">
        <f>'D) Ecrêtage'!N71</f>
        <v>50.476518353953914</v>
      </c>
      <c r="E71" s="44">
        <f t="shared" si="5"/>
        <v>0</v>
      </c>
      <c r="F71" s="369">
        <f t="shared" si="7"/>
        <v>0</v>
      </c>
      <c r="G71" s="43">
        <f>'A) Base RI'!AM73</f>
        <v>67</v>
      </c>
      <c r="H71" s="370">
        <f t="shared" si="6"/>
        <v>0.9867552044101584</v>
      </c>
      <c r="I71" s="74">
        <f t="shared" si="8"/>
        <v>0</v>
      </c>
    </row>
    <row r="72" spans="1:9" x14ac:dyDescent="0.25">
      <c r="A72" s="61">
        <f>'A) Base RI'!A74</f>
        <v>5511</v>
      </c>
      <c r="B72" s="13" t="str">
        <f>'A) Base RI'!B74</f>
        <v>Assens</v>
      </c>
      <c r="C72" s="125">
        <f>'A) Base RI'!AN74</f>
        <v>1031</v>
      </c>
      <c r="D72" s="147">
        <f>'D) Ecrêtage'!N72</f>
        <v>40.177121795760009</v>
      </c>
      <c r="E72" s="44">
        <f t="shared" si="5"/>
        <v>3.9148916952095902</v>
      </c>
      <c r="F72" s="369">
        <f t="shared" si="7"/>
        <v>76285.188083684567</v>
      </c>
      <c r="G72" s="43">
        <f>'A) Base RI'!AM74</f>
        <v>70</v>
      </c>
      <c r="H72" s="370">
        <f t="shared" si="6"/>
        <v>1.0309382732643446</v>
      </c>
      <c r="I72" s="74">
        <f t="shared" si="8"/>
        <v>78645.320078639532</v>
      </c>
    </row>
    <row r="73" spans="1:9" x14ac:dyDescent="0.25">
      <c r="A73" s="61">
        <f>'A) Base RI'!A75</f>
        <v>5512</v>
      </c>
      <c r="B73" s="13" t="str">
        <f>'A) Base RI'!B75</f>
        <v>Bercher</v>
      </c>
      <c r="C73" s="125">
        <f>'A) Base RI'!AN75</f>
        <v>1148</v>
      </c>
      <c r="D73" s="147">
        <f>'D) Ecrêtage'!N73</f>
        <v>27.943546839853571</v>
      </c>
      <c r="E73" s="44">
        <f t="shared" si="5"/>
        <v>16.148466651116028</v>
      </c>
      <c r="F73" s="369">
        <f t="shared" si="7"/>
        <v>395424.91913121397</v>
      </c>
      <c r="G73" s="43">
        <f>'A) Base RI'!AM75</f>
        <v>79</v>
      </c>
      <c r="H73" s="370">
        <f t="shared" si="6"/>
        <v>1.1634874798269033</v>
      </c>
      <c r="I73" s="74">
        <f t="shared" si="8"/>
        <v>460071.94262073317</v>
      </c>
    </row>
    <row r="74" spans="1:9" x14ac:dyDescent="0.25">
      <c r="A74" s="61">
        <f>'A) Base RI'!A76</f>
        <v>5513</v>
      </c>
      <c r="B74" s="13" t="str">
        <f>'A) Base RI'!B76</f>
        <v>Bioley-Orjulaz</v>
      </c>
      <c r="C74" s="125">
        <f>'A) Base RI'!AN76</f>
        <v>471</v>
      </c>
      <c r="D74" s="147">
        <f>'D) Ecrêtage'!N74</f>
        <v>51.007370520491534</v>
      </c>
      <c r="E74" s="44">
        <f t="shared" si="5"/>
        <v>0</v>
      </c>
      <c r="F74" s="369">
        <f t="shared" si="7"/>
        <v>0</v>
      </c>
      <c r="G74" s="43">
        <f>'A) Base RI'!AM76</f>
        <v>66</v>
      </c>
      <c r="H74" s="370">
        <f t="shared" si="6"/>
        <v>0.97202751479209637</v>
      </c>
      <c r="I74" s="74">
        <f t="shared" si="8"/>
        <v>0</v>
      </c>
    </row>
    <row r="75" spans="1:9" x14ac:dyDescent="0.25">
      <c r="A75" s="61">
        <f>'A) Base RI'!A77</f>
        <v>5514</v>
      </c>
      <c r="B75" s="13" t="str">
        <f>'A) Base RI'!B77</f>
        <v>Bottens</v>
      </c>
      <c r="C75" s="125">
        <f>'A) Base RI'!AN77</f>
        <v>1220</v>
      </c>
      <c r="D75" s="147">
        <f>'D) Ecrêtage'!N75</f>
        <v>31.431705274411971</v>
      </c>
      <c r="E75" s="44">
        <f t="shared" si="5"/>
        <v>12.660308216557628</v>
      </c>
      <c r="F75" s="369">
        <f t="shared" si="7"/>
        <v>287751.08133085171</v>
      </c>
      <c r="G75" s="43">
        <f>'A) Base RI'!AM77</f>
        <v>69</v>
      </c>
      <c r="H75" s="370">
        <f t="shared" si="6"/>
        <v>1.0162105836462825</v>
      </c>
      <c r="I75" s="74">
        <f t="shared" si="8"/>
        <v>292415.6943040737</v>
      </c>
    </row>
    <row r="76" spans="1:9" x14ac:dyDescent="0.25">
      <c r="A76" s="61">
        <f>'A) Base RI'!A78</f>
        <v>5515</v>
      </c>
      <c r="B76" s="13" t="str">
        <f>'A) Base RI'!B78</f>
        <v>Bretigny-sur-Morrens</v>
      </c>
      <c r="C76" s="125">
        <f>'A) Base RI'!AN78</f>
        <v>797</v>
      </c>
      <c r="D76" s="147">
        <f>'D) Ecrêtage'!N76</f>
        <v>30.546231415754292</v>
      </c>
      <c r="E76" s="44">
        <f t="shared" si="5"/>
        <v>13.545782075215307</v>
      </c>
      <c r="F76" s="369">
        <f t="shared" si="7"/>
        <v>212788.92966788751</v>
      </c>
      <c r="G76" s="43">
        <f>'A) Base RI'!AM78</f>
        <v>73</v>
      </c>
      <c r="H76" s="370">
        <f t="shared" si="6"/>
        <v>1.0751213421185308</v>
      </c>
      <c r="I76" s="74">
        <f t="shared" si="8"/>
        <v>228773.91965250488</v>
      </c>
    </row>
    <row r="77" spans="1:9" x14ac:dyDescent="0.25">
      <c r="A77" s="61">
        <f>'A) Base RI'!A79</f>
        <v>5516</v>
      </c>
      <c r="B77" s="13" t="str">
        <f>'A) Base RI'!B79</f>
        <v>Cugy</v>
      </c>
      <c r="C77" s="125">
        <f>'A) Base RI'!AN79</f>
        <v>2755</v>
      </c>
      <c r="D77" s="147">
        <f>'D) Ecrêtage'!N77</f>
        <v>38.088993471842237</v>
      </c>
      <c r="E77" s="44">
        <f t="shared" si="5"/>
        <v>6.0030200191273622</v>
      </c>
      <c r="F77" s="369">
        <f t="shared" si="7"/>
        <v>299178.21156226855</v>
      </c>
      <c r="G77" s="43">
        <f>'A) Base RI'!AM79</f>
        <v>67</v>
      </c>
      <c r="H77" s="370">
        <f t="shared" si="6"/>
        <v>0.9867552044101584</v>
      </c>
      <c r="I77" s="74">
        <f t="shared" si="8"/>
        <v>295215.65730519191</v>
      </c>
    </row>
    <row r="78" spans="1:9" x14ac:dyDescent="0.25">
      <c r="A78" s="61">
        <f>'A) Base RI'!A80</f>
        <v>5518</v>
      </c>
      <c r="B78" s="13" t="str">
        <f>'A) Base RI'!B80</f>
        <v>Echallens</v>
      </c>
      <c r="C78" s="125">
        <f>'A) Base RI'!AN80</f>
        <v>5606</v>
      </c>
      <c r="D78" s="147">
        <f>'D) Ecrêtage'!N78</f>
        <v>32.362319498413861</v>
      </c>
      <c r="E78" s="44">
        <f t="shared" si="5"/>
        <v>11.729693992555738</v>
      </c>
      <c r="F78" s="369">
        <f t="shared" si="7"/>
        <v>1313818.1571549042</v>
      </c>
      <c r="G78" s="43">
        <f>'A) Base RI'!AM80</f>
        <v>74</v>
      </c>
      <c r="H78" s="370">
        <f t="shared" si="6"/>
        <v>1.0898490317365928</v>
      </c>
      <c r="I78" s="74">
        <f t="shared" si="8"/>
        <v>1431863.446453227</v>
      </c>
    </row>
    <row r="79" spans="1:9" x14ac:dyDescent="0.25">
      <c r="A79" s="61">
        <f>'A) Base RI'!A81</f>
        <v>5520</v>
      </c>
      <c r="B79" s="13" t="str">
        <f>'A) Base RI'!B81</f>
        <v>Essertines-sur-Yverdon</v>
      </c>
      <c r="C79" s="125">
        <f>'A) Base RI'!AN81</f>
        <v>945</v>
      </c>
      <c r="D79" s="147">
        <f>'D) Ecrêtage'!N79</f>
        <v>29.65246517358846</v>
      </c>
      <c r="E79" s="44">
        <f t="shared" si="5"/>
        <v>14.439548317381139</v>
      </c>
      <c r="F79" s="369">
        <f t="shared" si="7"/>
        <v>268950.30498212518</v>
      </c>
      <c r="G79" s="43">
        <f>'A) Base RI'!AM81</f>
        <v>73</v>
      </c>
      <c r="H79" s="370">
        <f t="shared" si="6"/>
        <v>1.0751213421185308</v>
      </c>
      <c r="I79" s="74">
        <f t="shared" si="8"/>
        <v>289154.2128555706</v>
      </c>
    </row>
    <row r="80" spans="1:9" x14ac:dyDescent="0.25">
      <c r="A80" s="61">
        <f>'A) Base RI'!A82</f>
        <v>5521</v>
      </c>
      <c r="B80" s="13" t="str">
        <f>'A) Base RI'!B82</f>
        <v>Etagnières</v>
      </c>
      <c r="C80" s="125">
        <f>'A) Base RI'!AN82</f>
        <v>1146</v>
      </c>
      <c r="D80" s="147">
        <f>'D) Ecrêtage'!N80</f>
        <v>35.368891678022429</v>
      </c>
      <c r="E80" s="44">
        <f t="shared" si="5"/>
        <v>8.7231218129471699</v>
      </c>
      <c r="F80" s="369">
        <f t="shared" si="7"/>
        <v>197034.9096494343</v>
      </c>
      <c r="G80" s="43">
        <f>'A) Base RI'!AM82</f>
        <v>73</v>
      </c>
      <c r="H80" s="370">
        <f t="shared" si="6"/>
        <v>1.0751213421185308</v>
      </c>
      <c r="I80" s="74">
        <f t="shared" si="8"/>
        <v>211836.43650650326</v>
      </c>
    </row>
    <row r="81" spans="1:9" x14ac:dyDescent="0.25">
      <c r="A81" s="61">
        <f>'A) Base RI'!A83</f>
        <v>5522</v>
      </c>
      <c r="B81" s="13" t="str">
        <f>'A) Base RI'!B83</f>
        <v>Fey</v>
      </c>
      <c r="C81" s="125">
        <f>'A) Base RI'!AN83</f>
        <v>635</v>
      </c>
      <c r="D81" s="147">
        <f>'D) Ecrêtage'!N81</f>
        <v>28.690570708661415</v>
      </c>
      <c r="E81" s="44">
        <f t="shared" si="5"/>
        <v>15.401442782308184</v>
      </c>
      <c r="F81" s="369">
        <f t="shared" si="7"/>
        <v>198043.3023770054</v>
      </c>
      <c r="G81" s="43">
        <f>'A) Base RI'!AM83</f>
        <v>75</v>
      </c>
      <c r="H81" s="370">
        <f t="shared" si="6"/>
        <v>1.1045767213546549</v>
      </c>
      <c r="I81" s="74">
        <f t="shared" si="8"/>
        <v>218754.02162584115</v>
      </c>
    </row>
    <row r="82" spans="1:9" x14ac:dyDescent="0.25">
      <c r="A82" s="61">
        <f>'A) Base RI'!A84</f>
        <v>5523</v>
      </c>
      <c r="B82" s="13" t="str">
        <f>'A) Base RI'!B84</f>
        <v>Froideville</v>
      </c>
      <c r="C82" s="125">
        <f>'A) Base RI'!AN84</f>
        <v>2422</v>
      </c>
      <c r="D82" s="147">
        <f>'D) Ecrêtage'!N82</f>
        <v>32.130329381980964</v>
      </c>
      <c r="E82" s="44">
        <f t="shared" si="5"/>
        <v>11.961684108988635</v>
      </c>
      <c r="F82" s="369">
        <f t="shared" si="7"/>
        <v>594489.00167363416</v>
      </c>
      <c r="G82" s="43">
        <f>'A) Base RI'!AM84</f>
        <v>76</v>
      </c>
      <c r="H82" s="370">
        <f t="shared" si="6"/>
        <v>1.119304410972717</v>
      </c>
      <c r="I82" s="74">
        <f t="shared" si="8"/>
        <v>665414.16184806568</v>
      </c>
    </row>
    <row r="83" spans="1:9" x14ac:dyDescent="0.25">
      <c r="A83" s="61">
        <f>'A) Base RI'!A85</f>
        <v>5527</v>
      </c>
      <c r="B83" s="13" t="str">
        <f>'A) Base RI'!B85</f>
        <v>Morrens</v>
      </c>
      <c r="C83" s="125">
        <f>'A) Base RI'!AN85</f>
        <v>1055</v>
      </c>
      <c r="D83" s="147">
        <f>'D) Ecrêtage'!N83</f>
        <v>35.069836192510508</v>
      </c>
      <c r="E83" s="44">
        <f t="shared" si="5"/>
        <v>9.0221772984590913</v>
      </c>
      <c r="F83" s="369">
        <f t="shared" si="7"/>
        <v>182467.67144609118</v>
      </c>
      <c r="G83" s="43">
        <f>'A) Base RI'!AM85</f>
        <v>71</v>
      </c>
      <c r="H83" s="370">
        <f t="shared" si="6"/>
        <v>1.0456659628824065</v>
      </c>
      <c r="I83" s="74">
        <f t="shared" si="8"/>
        <v>190800.23335758754</v>
      </c>
    </row>
    <row r="84" spans="1:9" x14ac:dyDescent="0.25">
      <c r="A84" s="61">
        <f>'A) Base RI'!A86</f>
        <v>5529</v>
      </c>
      <c r="B84" s="13" t="str">
        <f>'A) Base RI'!B86</f>
        <v>Oulens-sous-Echallens</v>
      </c>
      <c r="C84" s="125">
        <f>'A) Base RI'!AN86</f>
        <v>532</v>
      </c>
      <c r="D84" s="147">
        <f>'D) Ecrêtage'!N84</f>
        <v>31.637105527904271</v>
      </c>
      <c r="E84" s="44">
        <f t="shared" si="5"/>
        <v>12.454907963065327</v>
      </c>
      <c r="F84" s="369">
        <f t="shared" si="7"/>
        <v>127020.63156684396</v>
      </c>
      <c r="G84" s="43">
        <f>'A) Base RI'!AM86</f>
        <v>71</v>
      </c>
      <c r="H84" s="370">
        <f t="shared" si="6"/>
        <v>1.0456659628824065</v>
      </c>
      <c r="I84" s="74">
        <f t="shared" si="8"/>
        <v>132821.15101327529</v>
      </c>
    </row>
    <row r="85" spans="1:9" x14ac:dyDescent="0.25">
      <c r="A85" s="61">
        <f>'A) Base RI'!A87</f>
        <v>5530</v>
      </c>
      <c r="B85" s="13" t="str">
        <f>'A) Base RI'!B87</f>
        <v>Pailly</v>
      </c>
      <c r="C85" s="125">
        <f>'A) Base RI'!AN87</f>
        <v>533</v>
      </c>
      <c r="D85" s="147">
        <f>'D) Ecrêtage'!N85</f>
        <v>29.996465613589134</v>
      </c>
      <c r="E85" s="44">
        <f t="shared" si="5"/>
        <v>14.095547877380465</v>
      </c>
      <c r="F85" s="369">
        <f t="shared" si="7"/>
        <v>157207.99786512129</v>
      </c>
      <c r="G85" s="43">
        <f>'A) Base RI'!AM87</f>
        <v>77.5</v>
      </c>
      <c r="H85" s="370">
        <f t="shared" si="6"/>
        <v>1.1413959453998102</v>
      </c>
      <c r="I85" s="74">
        <f t="shared" si="8"/>
        <v>179436.57134767144</v>
      </c>
    </row>
    <row r="86" spans="1:9" x14ac:dyDescent="0.25">
      <c r="A86" s="61">
        <f>'A) Base RI'!A88</f>
        <v>5531</v>
      </c>
      <c r="B86" s="13" t="str">
        <f>'A) Base RI'!B88</f>
        <v>Penthéréaz</v>
      </c>
      <c r="C86" s="125">
        <f>'A) Base RI'!AN88</f>
        <v>389</v>
      </c>
      <c r="D86" s="147">
        <f>'D) Ecrêtage'!N86</f>
        <v>29.89382242436227</v>
      </c>
      <c r="E86" s="44">
        <f t="shared" si="5"/>
        <v>14.198191066607329</v>
      </c>
      <c r="F86" s="369">
        <f t="shared" si="7"/>
        <v>116316.4086026099</v>
      </c>
      <c r="G86" s="43">
        <f>'A) Base RI'!AM88</f>
        <v>78</v>
      </c>
      <c r="H86" s="370">
        <f t="shared" si="6"/>
        <v>1.1487597902088411</v>
      </c>
      <c r="I86" s="74">
        <f t="shared" si="8"/>
        <v>133619.61314417998</v>
      </c>
    </row>
    <row r="87" spans="1:9" x14ac:dyDescent="0.25">
      <c r="A87" s="61">
        <f>'A) Base RI'!A89</f>
        <v>5533</v>
      </c>
      <c r="B87" s="13" t="str">
        <f>'A) Base RI'!B89</f>
        <v>Poliez-Pittet</v>
      </c>
      <c r="C87" s="125">
        <f>'A) Base RI'!AN89</f>
        <v>815</v>
      </c>
      <c r="D87" s="147">
        <f>'D) Ecrêtage'!N87</f>
        <v>26.118915003312306</v>
      </c>
      <c r="E87" s="44">
        <f t="shared" si="5"/>
        <v>17.973098487657293</v>
      </c>
      <c r="F87" s="369">
        <f t="shared" si="7"/>
        <v>280803.60287683812</v>
      </c>
      <c r="G87" s="43">
        <f>'A) Base RI'!AM89</f>
        <v>71</v>
      </c>
      <c r="H87" s="370">
        <f t="shared" si="6"/>
        <v>1.0456659628824065</v>
      </c>
      <c r="I87" s="74">
        <f t="shared" si="8"/>
        <v>293626.76978305785</v>
      </c>
    </row>
    <row r="88" spans="1:9" x14ac:dyDescent="0.25">
      <c r="A88" s="61">
        <f>'A) Base RI'!A90</f>
        <v>5534</v>
      </c>
      <c r="B88" s="13" t="str">
        <f>'A) Base RI'!B90</f>
        <v>Rueyres</v>
      </c>
      <c r="C88" s="125">
        <f>'A) Base RI'!AN90</f>
        <v>265</v>
      </c>
      <c r="D88" s="147">
        <f>'D) Ecrêtage'!N88</f>
        <v>30.653397777203413</v>
      </c>
      <c r="E88" s="44">
        <f t="shared" si="5"/>
        <v>13.438615713766186</v>
      </c>
      <c r="F88" s="369">
        <f t="shared" si="7"/>
        <v>70191.905665357859</v>
      </c>
      <c r="G88" s="43">
        <f>'A) Base RI'!AM90</f>
        <v>73</v>
      </c>
      <c r="H88" s="370">
        <f t="shared" si="6"/>
        <v>1.0751213421185308</v>
      </c>
      <c r="I88" s="74">
        <f t="shared" si="8"/>
        <v>75464.815824796853</v>
      </c>
    </row>
    <row r="89" spans="1:9" x14ac:dyDescent="0.25">
      <c r="A89" s="61">
        <f>'A) Base RI'!A91</f>
        <v>5535</v>
      </c>
      <c r="B89" s="13" t="str">
        <f>'A) Base RI'!B91</f>
        <v>Saint-Barthélemy</v>
      </c>
      <c r="C89" s="125">
        <f>'A) Base RI'!AN91</f>
        <v>782</v>
      </c>
      <c r="D89" s="147">
        <f>'D) Ecrêtage'!N89</f>
        <v>27.688976641091219</v>
      </c>
      <c r="E89" s="44">
        <f t="shared" si="5"/>
        <v>16.403036849878379</v>
      </c>
      <c r="F89" s="369">
        <f t="shared" si="7"/>
        <v>259750.29003624909</v>
      </c>
      <c r="G89" s="43">
        <f>'A) Base RI'!AM91</f>
        <v>75</v>
      </c>
      <c r="H89" s="370">
        <f t="shared" si="6"/>
        <v>1.1045767213546549</v>
      </c>
      <c r="I89" s="74">
        <f t="shared" si="8"/>
        <v>286914.12373916071</v>
      </c>
    </row>
    <row r="90" spans="1:9" x14ac:dyDescent="0.25">
      <c r="A90" s="61">
        <f>'A) Base RI'!A92</f>
        <v>5537</v>
      </c>
      <c r="B90" s="13" t="str">
        <f>'A) Base RI'!B92</f>
        <v>Villars-le-Terroir</v>
      </c>
      <c r="C90" s="125">
        <f>'A) Base RI'!AN92</f>
        <v>1033</v>
      </c>
      <c r="D90" s="147">
        <f>'D) Ecrêtage'!N90</f>
        <v>27.281441207282949</v>
      </c>
      <c r="E90" s="44">
        <f t="shared" si="5"/>
        <v>16.81057228368665</v>
      </c>
      <c r="F90" s="369">
        <f t="shared" si="7"/>
        <v>342270.48024194216</v>
      </c>
      <c r="G90" s="43">
        <f>'A) Base RI'!AM92</f>
        <v>73</v>
      </c>
      <c r="H90" s="370">
        <f t="shared" si="6"/>
        <v>1.0751213421185308</v>
      </c>
      <c r="I90" s="74">
        <f t="shared" si="8"/>
        <v>367982.29808527097</v>
      </c>
    </row>
    <row r="91" spans="1:9" x14ac:dyDescent="0.25">
      <c r="A91" s="61">
        <f>'A) Base RI'!A93</f>
        <v>5539</v>
      </c>
      <c r="B91" s="13" t="str">
        <f>'A) Base RI'!B93</f>
        <v>Vuarrens</v>
      </c>
      <c r="C91" s="125">
        <f>'A) Base RI'!AN93</f>
        <v>935</v>
      </c>
      <c r="D91" s="147">
        <f>'D) Ecrêtage'!N91</f>
        <v>24.33815286987522</v>
      </c>
      <c r="E91" s="44">
        <f t="shared" si="5"/>
        <v>19.753860621094379</v>
      </c>
      <c r="F91" s="369">
        <f t="shared" si="7"/>
        <v>374014.6585346458</v>
      </c>
      <c r="G91" s="43">
        <f>'A) Base RI'!AM93</f>
        <v>75</v>
      </c>
      <c r="H91" s="370">
        <f t="shared" si="6"/>
        <v>1.1045767213546549</v>
      </c>
      <c r="I91" s="74">
        <f t="shared" si="8"/>
        <v>413127.88526277983</v>
      </c>
    </row>
    <row r="92" spans="1:9" x14ac:dyDescent="0.25">
      <c r="A92" s="61">
        <f>'A) Base RI'!A94</f>
        <v>5540</v>
      </c>
      <c r="B92" s="13" t="str">
        <f>'A) Base RI'!B94</f>
        <v>Montilliez</v>
      </c>
      <c r="C92" s="125">
        <f>'A) Base RI'!AN94</f>
        <v>1656</v>
      </c>
      <c r="D92" s="147">
        <f>'D) Ecrêtage'!N92</f>
        <v>28.50197167955999</v>
      </c>
      <c r="E92" s="44">
        <f t="shared" si="5"/>
        <v>15.590041811409609</v>
      </c>
      <c r="F92" s="369">
        <f t="shared" si="7"/>
        <v>515825.84260909242</v>
      </c>
      <c r="G92" s="43">
        <f>'A) Base RI'!AM94</f>
        <v>74</v>
      </c>
      <c r="H92" s="370">
        <f t="shared" si="6"/>
        <v>1.0898490317365928</v>
      </c>
      <c r="I92" s="74">
        <f t="shared" si="8"/>
        <v>562172.29511223151</v>
      </c>
    </row>
    <row r="93" spans="1:9" x14ac:dyDescent="0.25">
      <c r="A93" s="61">
        <f>'A) Base RI'!A95</f>
        <v>5541</v>
      </c>
      <c r="B93" s="13" t="str">
        <f>'A) Base RI'!B95</f>
        <v>Goumoëns</v>
      </c>
      <c r="C93" s="125">
        <f>'A) Base RI'!AN95</f>
        <v>1055</v>
      </c>
      <c r="D93" s="147">
        <f>'D) Ecrêtage'!N93</f>
        <v>33.75136529820891</v>
      </c>
      <c r="E93" s="44">
        <f t="shared" si="5"/>
        <v>10.340648192760689</v>
      </c>
      <c r="F93" s="369">
        <f t="shared" si="7"/>
        <v>226806.09010350693</v>
      </c>
      <c r="G93" s="43">
        <f>'A) Base RI'!AM95</f>
        <v>77</v>
      </c>
      <c r="H93" s="370">
        <f t="shared" si="6"/>
        <v>1.134032100590779</v>
      </c>
      <c r="I93" s="74">
        <f t="shared" si="8"/>
        <v>257205.38678686143</v>
      </c>
    </row>
    <row r="94" spans="1:9" x14ac:dyDescent="0.25">
      <c r="A94" s="61">
        <f>'A) Base RI'!A96</f>
        <v>5551</v>
      </c>
      <c r="B94" s="13" t="str">
        <f>'A) Base RI'!B96</f>
        <v>Bonvillars</v>
      </c>
      <c r="C94" s="125">
        <f>'A) Base RI'!AN96</f>
        <v>506</v>
      </c>
      <c r="D94" s="147">
        <f>'D) Ecrêtage'!N94</f>
        <v>31.597689594989994</v>
      </c>
      <c r="E94" s="44">
        <f t="shared" si="5"/>
        <v>12.494323895979605</v>
      </c>
      <c r="F94" s="369">
        <f t="shared" si="7"/>
        <v>93883.599186780353</v>
      </c>
      <c r="G94" s="43">
        <f>'A) Base RI'!AM96</f>
        <v>55</v>
      </c>
      <c r="H94" s="370">
        <f t="shared" si="6"/>
        <v>0.81002292899341355</v>
      </c>
      <c r="I94" s="74">
        <f t="shared" si="8"/>
        <v>76047.867997719484</v>
      </c>
    </row>
    <row r="95" spans="1:9" x14ac:dyDescent="0.25">
      <c r="A95" s="61">
        <f>'A) Base RI'!A97</f>
        <v>5552</v>
      </c>
      <c r="B95" s="13" t="str">
        <f>'A) Base RI'!B97</f>
        <v>Bullet</v>
      </c>
      <c r="C95" s="125">
        <f>'A) Base RI'!AN97</f>
        <v>606</v>
      </c>
      <c r="D95" s="147">
        <f>'D) Ecrêtage'!N95</f>
        <v>25.619814474304579</v>
      </c>
      <c r="E95" s="44">
        <f t="shared" si="5"/>
        <v>18.472199016665019</v>
      </c>
      <c r="F95" s="369">
        <f t="shared" si="7"/>
        <v>211569.48421747112</v>
      </c>
      <c r="G95" s="43">
        <f>'A) Base RI'!AM97</f>
        <v>70</v>
      </c>
      <c r="H95" s="370">
        <f t="shared" si="6"/>
        <v>1.0309382732643446</v>
      </c>
      <c r="I95" s="74">
        <f t="shared" si="8"/>
        <v>218115.0787345877</v>
      </c>
    </row>
    <row r="96" spans="1:9" x14ac:dyDescent="0.25">
      <c r="A96" s="61">
        <f>'A) Base RI'!A98</f>
        <v>5553</v>
      </c>
      <c r="B96" s="13" t="str">
        <f>'A) Base RI'!B98</f>
        <v>Champagne</v>
      </c>
      <c r="C96" s="125">
        <f>'A) Base RI'!AN98</f>
        <v>1048</v>
      </c>
      <c r="D96" s="147">
        <f>'D) Ecrêtage'!N96</f>
        <v>41.440466042651153</v>
      </c>
      <c r="E96" s="44">
        <f t="shared" si="5"/>
        <v>2.6515474483184462</v>
      </c>
      <c r="F96" s="369">
        <f t="shared" si="7"/>
        <v>47267.757556499819</v>
      </c>
      <c r="G96" s="43">
        <f>'A) Base RI'!AM98</f>
        <v>63</v>
      </c>
      <c r="H96" s="370">
        <f t="shared" si="6"/>
        <v>0.92784444593791016</v>
      </c>
      <c r="I96" s="74">
        <f t="shared" si="8"/>
        <v>43857.12632073804</v>
      </c>
    </row>
    <row r="97" spans="1:9" x14ac:dyDescent="0.25">
      <c r="A97" s="61">
        <f>'A) Base RI'!A99</f>
        <v>5554</v>
      </c>
      <c r="B97" s="13" t="str">
        <f>'A) Base RI'!B99</f>
        <v>Concise</v>
      </c>
      <c r="C97" s="125">
        <f>'A) Base RI'!AN99</f>
        <v>954</v>
      </c>
      <c r="D97" s="147">
        <f>'D) Ecrêtage'!N97</f>
        <v>31.122747309573722</v>
      </c>
      <c r="E97" s="44">
        <f t="shared" si="5"/>
        <v>12.969266181395877</v>
      </c>
      <c r="F97" s="369">
        <f t="shared" si="7"/>
        <v>250546.76872529631</v>
      </c>
      <c r="G97" s="43">
        <f>'A) Base RI'!AM99</f>
        <v>75</v>
      </c>
      <c r="H97" s="370">
        <f t="shared" si="6"/>
        <v>1.1045767213546549</v>
      </c>
      <c r="I97" s="74">
        <f t="shared" si="8"/>
        <v>276748.12834459078</v>
      </c>
    </row>
    <row r="98" spans="1:9" x14ac:dyDescent="0.25">
      <c r="A98" s="61">
        <f>'A) Base RI'!A100</f>
        <v>5555</v>
      </c>
      <c r="B98" s="13" t="str">
        <f>'A) Base RI'!B100</f>
        <v>Corcelles-près-Concise</v>
      </c>
      <c r="C98" s="125">
        <f>'A) Base RI'!AN100</f>
        <v>337</v>
      </c>
      <c r="D98" s="147">
        <f>'D) Ecrêtage'!N98</f>
        <v>28.969396915618333</v>
      </c>
      <c r="E98" s="44">
        <f t="shared" si="5"/>
        <v>15.122616575351266</v>
      </c>
      <c r="F98" s="369">
        <f t="shared" si="7"/>
        <v>97696.488635576039</v>
      </c>
      <c r="G98" s="43">
        <f>'A) Base RI'!AM100</f>
        <v>71</v>
      </c>
      <c r="H98" s="370">
        <f t="shared" si="6"/>
        <v>1.0456659628824065</v>
      </c>
      <c r="I98" s="74">
        <f t="shared" si="8"/>
        <v>102157.89285934971</v>
      </c>
    </row>
    <row r="99" spans="1:9" x14ac:dyDescent="0.25">
      <c r="A99" s="61">
        <f>'A) Base RI'!A101</f>
        <v>5556</v>
      </c>
      <c r="B99" s="13" t="str">
        <f>'A) Base RI'!B101</f>
        <v>Fiez</v>
      </c>
      <c r="C99" s="125">
        <f>'A) Base RI'!AN101</f>
        <v>421</v>
      </c>
      <c r="D99" s="147">
        <f>'D) Ecrêtage'!N99</f>
        <v>25.653045256864836</v>
      </c>
      <c r="E99" s="44">
        <f t="shared" si="5"/>
        <v>18.438968234104763</v>
      </c>
      <c r="F99" s="369">
        <f t="shared" si="7"/>
        <v>144621.06882277754</v>
      </c>
      <c r="G99" s="43">
        <f>'A) Base RI'!AM101</f>
        <v>69</v>
      </c>
      <c r="H99" s="370">
        <f t="shared" si="6"/>
        <v>1.0162105836462825</v>
      </c>
      <c r="I99" s="74">
        <f t="shared" si="8"/>
        <v>146965.46075594396</v>
      </c>
    </row>
    <row r="100" spans="1:9" x14ac:dyDescent="0.25">
      <c r="A100" s="61">
        <f>'A) Base RI'!A102</f>
        <v>5557</v>
      </c>
      <c r="B100" s="13" t="str">
        <f>'A) Base RI'!B102</f>
        <v>Fontaines-sur-Grandson</v>
      </c>
      <c r="C100" s="125">
        <f>'A) Base RI'!AN102</f>
        <v>191</v>
      </c>
      <c r="D100" s="147">
        <f>'D) Ecrêtage'!N100</f>
        <v>21.99294407769937</v>
      </c>
      <c r="E100" s="44">
        <f t="shared" si="5"/>
        <v>22.099069413270229</v>
      </c>
      <c r="F100" s="369">
        <f t="shared" si="7"/>
        <v>78635.781665321847</v>
      </c>
      <c r="G100" s="43">
        <f>'A) Base RI'!AM102</f>
        <v>69</v>
      </c>
      <c r="H100" s="370">
        <f t="shared" si="6"/>
        <v>1.0162105836462825</v>
      </c>
      <c r="I100" s="74">
        <f t="shared" si="8"/>
        <v>79910.513581598352</v>
      </c>
    </row>
    <row r="101" spans="1:9" x14ac:dyDescent="0.25">
      <c r="A101" s="61">
        <f>'A) Base RI'!A103</f>
        <v>5559</v>
      </c>
      <c r="B101" s="13" t="str">
        <f>'A) Base RI'!B103</f>
        <v>Giez</v>
      </c>
      <c r="C101" s="125">
        <f>'A) Base RI'!AN103</f>
        <v>389</v>
      </c>
      <c r="D101" s="147">
        <f>'D) Ecrêtage'!N101</f>
        <v>46.268595466230437</v>
      </c>
      <c r="E101" s="44">
        <f t="shared" si="5"/>
        <v>0</v>
      </c>
      <c r="F101" s="369">
        <f t="shared" si="7"/>
        <v>0</v>
      </c>
      <c r="G101" s="43">
        <f>'A) Base RI'!AM103</f>
        <v>66</v>
      </c>
      <c r="H101" s="370">
        <f t="shared" si="6"/>
        <v>0.97202751479209637</v>
      </c>
      <c r="I101" s="74">
        <f t="shared" si="8"/>
        <v>0</v>
      </c>
    </row>
    <row r="102" spans="1:9" x14ac:dyDescent="0.25">
      <c r="A102" s="61">
        <f>'A) Base RI'!A104</f>
        <v>5560</v>
      </c>
      <c r="B102" s="13" t="str">
        <f>'A) Base RI'!B104</f>
        <v>Grandevent</v>
      </c>
      <c r="C102" s="125">
        <f>'A) Base RI'!AN104</f>
        <v>232</v>
      </c>
      <c r="D102" s="147">
        <f>'D) Ecrêtage'!N102</f>
        <v>27.569587981744419</v>
      </c>
      <c r="E102" s="44">
        <f t="shared" si="5"/>
        <v>16.522425509225179</v>
      </c>
      <c r="F102" s="369">
        <f t="shared" si="7"/>
        <v>70377.601905054849</v>
      </c>
      <c r="G102" s="43">
        <f>'A) Base RI'!AM104</f>
        <v>68</v>
      </c>
      <c r="H102" s="370">
        <f t="shared" si="6"/>
        <v>1.0014828940282205</v>
      </c>
      <c r="I102" s="74">
        <f t="shared" si="8"/>
        <v>70481.964430640335</v>
      </c>
    </row>
    <row r="103" spans="1:9" x14ac:dyDescent="0.25">
      <c r="A103" s="61">
        <f>'A) Base RI'!A105</f>
        <v>5561</v>
      </c>
      <c r="B103" s="13" t="str">
        <f>'A) Base RI'!B105</f>
        <v>Grandson</v>
      </c>
      <c r="C103" s="125">
        <f>'A) Base RI'!AN105</f>
        <v>3303</v>
      </c>
      <c r="D103" s="147">
        <f>'D) Ecrêtage'!N103</f>
        <v>32.245797276959465</v>
      </c>
      <c r="E103" s="44">
        <f t="shared" si="5"/>
        <v>11.846216214010134</v>
      </c>
      <c r="F103" s="369">
        <f t="shared" si="7"/>
        <v>728955.61164532998</v>
      </c>
      <c r="G103" s="43">
        <f>'A) Base RI'!AM105</f>
        <v>69</v>
      </c>
      <c r="H103" s="370">
        <f t="shared" si="6"/>
        <v>1.0162105836462825</v>
      </c>
      <c r="I103" s="74">
        <f t="shared" si="8"/>
        <v>740772.40756233362</v>
      </c>
    </row>
    <row r="104" spans="1:9" x14ac:dyDescent="0.25">
      <c r="A104" s="61">
        <f>'A) Base RI'!A106</f>
        <v>5562</v>
      </c>
      <c r="B104" s="13" t="str">
        <f>'A) Base RI'!B106</f>
        <v>Mauborget</v>
      </c>
      <c r="C104" s="125">
        <f>'A) Base RI'!AN106</f>
        <v>119</v>
      </c>
      <c r="D104" s="147">
        <f>'D) Ecrêtage'!N104</f>
        <v>32.915394357743097</v>
      </c>
      <c r="E104" s="44">
        <f t="shared" si="5"/>
        <v>11.176619133226502</v>
      </c>
      <c r="F104" s="369">
        <f t="shared" si="7"/>
        <v>25137.334092539728</v>
      </c>
      <c r="G104" s="43">
        <f>'A) Base RI'!AM106</f>
        <v>70</v>
      </c>
      <c r="H104" s="370">
        <f t="shared" si="6"/>
        <v>1.0309382732643446</v>
      </c>
      <c r="I104" s="74">
        <f t="shared" si="8"/>
        <v>25915.039803831849</v>
      </c>
    </row>
    <row r="105" spans="1:9" x14ac:dyDescent="0.25">
      <c r="A105" s="61">
        <f>'A) Base RI'!A107</f>
        <v>5563</v>
      </c>
      <c r="B105" s="13" t="str">
        <f>'A) Base RI'!B107</f>
        <v>Mutrux</v>
      </c>
      <c r="C105" s="125">
        <f>'A) Base RI'!AN107</f>
        <v>153</v>
      </c>
      <c r="D105" s="147">
        <f>'D) Ecrêtage'!N105</f>
        <v>26.811857957620418</v>
      </c>
      <c r="E105" s="44">
        <f t="shared" si="5"/>
        <v>17.280155533349181</v>
      </c>
      <c r="F105" s="369">
        <f t="shared" si="7"/>
        <v>56036.6931689884</v>
      </c>
      <c r="G105" s="43">
        <f>'A) Base RI'!AM107</f>
        <v>78.5</v>
      </c>
      <c r="H105" s="370">
        <f t="shared" si="6"/>
        <v>1.1561236350178721</v>
      </c>
      <c r="I105" s="74">
        <f t="shared" si="8"/>
        <v>64785.345400912032</v>
      </c>
    </row>
    <row r="106" spans="1:9" x14ac:dyDescent="0.25">
      <c r="A106" s="61">
        <f>'A) Base RI'!A108</f>
        <v>5564</v>
      </c>
      <c r="B106" s="13" t="str">
        <f>'A) Base RI'!B108</f>
        <v>Novalles</v>
      </c>
      <c r="C106" s="125">
        <f>'A) Base RI'!AN108</f>
        <v>102</v>
      </c>
      <c r="D106" s="147">
        <f>'D) Ecrêtage'!N106</f>
        <v>20.786250322497416</v>
      </c>
      <c r="E106" s="44">
        <f t="shared" si="5"/>
        <v>23.305763168472183</v>
      </c>
      <c r="F106" s="369">
        <f t="shared" si="7"/>
        <v>48779.894542139031</v>
      </c>
      <c r="G106" s="43">
        <f>'A) Base RI'!AM108</f>
        <v>76</v>
      </c>
      <c r="H106" s="370">
        <f t="shared" si="6"/>
        <v>1.119304410972717</v>
      </c>
      <c r="I106" s="74">
        <f t="shared" si="8"/>
        <v>54599.55112780018</v>
      </c>
    </row>
    <row r="107" spans="1:9" x14ac:dyDescent="0.25">
      <c r="A107" s="61">
        <f>'A) Base RI'!A109</f>
        <v>5565</v>
      </c>
      <c r="B107" s="13" t="str">
        <f>'A) Base RI'!B109</f>
        <v>Onnens</v>
      </c>
      <c r="C107" s="125">
        <f>'A) Base RI'!AN109</f>
        <v>493</v>
      </c>
      <c r="D107" s="147">
        <f>'D) Ecrêtage'!N107</f>
        <v>38.991207988765794</v>
      </c>
      <c r="E107" s="44">
        <f t="shared" si="5"/>
        <v>5.100805502203805</v>
      </c>
      <c r="F107" s="369">
        <f t="shared" si="7"/>
        <v>44132.934325892646</v>
      </c>
      <c r="G107" s="43">
        <f>'A) Base RI'!AM109</f>
        <v>65</v>
      </c>
      <c r="H107" s="370">
        <f t="shared" si="6"/>
        <v>0.95729982517403422</v>
      </c>
      <c r="I107" s="74">
        <f t="shared" si="8"/>
        <v>42248.450314594164</v>
      </c>
    </row>
    <row r="108" spans="1:9" x14ac:dyDescent="0.25">
      <c r="A108" s="61">
        <f>'A) Base RI'!A110</f>
        <v>5566</v>
      </c>
      <c r="B108" s="13" t="str">
        <f>'A) Base RI'!B110</f>
        <v>Provence</v>
      </c>
      <c r="C108" s="125">
        <f>'A) Base RI'!AN110</f>
        <v>385</v>
      </c>
      <c r="D108" s="147">
        <f>'D) Ecrêtage'!N108</f>
        <v>20.296446689113353</v>
      </c>
      <c r="E108" s="44">
        <f t="shared" si="5"/>
        <v>23.795566801856246</v>
      </c>
      <c r="F108" s="369">
        <f t="shared" si="7"/>
        <v>200357.48269328952</v>
      </c>
      <c r="G108" s="43">
        <f>'A) Base RI'!AM110</f>
        <v>81</v>
      </c>
      <c r="H108" s="370">
        <f t="shared" si="6"/>
        <v>1.1929428590630273</v>
      </c>
      <c r="I108" s="74">
        <f t="shared" si="8"/>
        <v>239015.02823880382</v>
      </c>
    </row>
    <row r="109" spans="1:9" x14ac:dyDescent="0.25">
      <c r="A109" s="61">
        <f>'A) Base RI'!A111</f>
        <v>5568</v>
      </c>
      <c r="B109" s="13" t="str">
        <f>'A) Base RI'!B111</f>
        <v>Sainte-Croix</v>
      </c>
      <c r="C109" s="125">
        <f>'A) Base RI'!AN111</f>
        <v>4763</v>
      </c>
      <c r="D109" s="147">
        <f>'D) Ecrêtage'!N109</f>
        <v>19.616844365795867</v>
      </c>
      <c r="E109" s="44">
        <f t="shared" si="5"/>
        <v>24.475169125173732</v>
      </c>
      <c r="F109" s="369">
        <f t="shared" si="7"/>
        <v>2203271.8572665271</v>
      </c>
      <c r="G109" s="43">
        <f>'A) Base RI'!AM111</f>
        <v>70</v>
      </c>
      <c r="H109" s="370">
        <f t="shared" si="6"/>
        <v>1.0309382732643446</v>
      </c>
      <c r="I109" s="74">
        <f t="shared" si="8"/>
        <v>2271437.2840622789</v>
      </c>
    </row>
    <row r="110" spans="1:9" x14ac:dyDescent="0.25">
      <c r="A110" s="61">
        <f>'A) Base RI'!A112</f>
        <v>5571</v>
      </c>
      <c r="B110" s="13" t="str">
        <f>'A) Base RI'!B112</f>
        <v>Tévenon</v>
      </c>
      <c r="C110" s="125">
        <f>'A) Base RI'!AN112</f>
        <v>811</v>
      </c>
      <c r="D110" s="147">
        <f>'D) Ecrêtage'!N110</f>
        <v>25.605650389338383</v>
      </c>
      <c r="E110" s="44">
        <f t="shared" si="5"/>
        <v>18.486363101631216</v>
      </c>
      <c r="F110" s="369">
        <f t="shared" si="7"/>
        <v>295501.00177058572</v>
      </c>
      <c r="G110" s="43">
        <f>'A) Base RI'!AM112</f>
        <v>73</v>
      </c>
      <c r="H110" s="370">
        <f t="shared" si="6"/>
        <v>1.0751213421185308</v>
      </c>
      <c r="I110" s="74">
        <f t="shared" si="8"/>
        <v>317699.43362096249</v>
      </c>
    </row>
    <row r="111" spans="1:9" x14ac:dyDescent="0.25">
      <c r="A111" s="61">
        <f>'A) Base RI'!A113</f>
        <v>5581</v>
      </c>
      <c r="B111" s="13" t="str">
        <f>'A) Base RI'!B113</f>
        <v>Belmont-sur-Lausanne</v>
      </c>
      <c r="C111" s="125">
        <f>'A) Base RI'!AN113</f>
        <v>3602</v>
      </c>
      <c r="D111" s="147">
        <f>'D) Ecrêtage'!N111</f>
        <v>48.038409716424525</v>
      </c>
      <c r="E111" s="44">
        <f t="shared" si="5"/>
        <v>0</v>
      </c>
      <c r="F111" s="369">
        <f t="shared" si="7"/>
        <v>0</v>
      </c>
      <c r="G111" s="43">
        <f>'A) Base RI'!AM113</f>
        <v>69.5</v>
      </c>
      <c r="H111" s="370">
        <f t="shared" si="6"/>
        <v>1.0235744284553137</v>
      </c>
      <c r="I111" s="74">
        <f t="shared" si="8"/>
        <v>0</v>
      </c>
    </row>
    <row r="112" spans="1:9" x14ac:dyDescent="0.25">
      <c r="A112" s="61">
        <f>'A) Base RI'!A114</f>
        <v>5582</v>
      </c>
      <c r="B112" s="13" t="str">
        <f>'A) Base RI'!B114</f>
        <v>Cheseaux-sur-Lausanne</v>
      </c>
      <c r="C112" s="125">
        <f>'A) Base RI'!AN114</f>
        <v>4297</v>
      </c>
      <c r="D112" s="147">
        <f>'D) Ecrêtage'!N112</f>
        <v>38.479508662981665</v>
      </c>
      <c r="E112" s="44">
        <f t="shared" si="5"/>
        <v>5.6125048279879337</v>
      </c>
      <c r="F112" s="369">
        <f t="shared" si="7"/>
        <v>485112.11224055738</v>
      </c>
      <c r="G112" s="43">
        <f>'A) Base RI'!AM114</f>
        <v>74.5</v>
      </c>
      <c r="H112" s="370">
        <f t="shared" si="6"/>
        <v>1.0972128765456239</v>
      </c>
      <c r="I112" s="74">
        <f t="shared" si="8"/>
        <v>532271.25611858559</v>
      </c>
    </row>
    <row r="113" spans="1:9" x14ac:dyDescent="0.25">
      <c r="A113" s="61">
        <f>'A) Base RI'!A115</f>
        <v>5583</v>
      </c>
      <c r="B113" s="13" t="str">
        <f>'A) Base RI'!B115</f>
        <v>Crissier</v>
      </c>
      <c r="C113" s="125">
        <f>'A) Base RI'!AN115</f>
        <v>7542</v>
      </c>
      <c r="D113" s="147">
        <f>'D) Ecrêtage'!N113</f>
        <v>42.949578320380233</v>
      </c>
      <c r="E113" s="44">
        <f t="shared" si="5"/>
        <v>1.1424351705893656</v>
      </c>
      <c r="F113" s="369">
        <f t="shared" si="7"/>
        <v>151215.11829306668</v>
      </c>
      <c r="G113" s="43">
        <f>'A) Base RI'!AM115</f>
        <v>65</v>
      </c>
      <c r="H113" s="370">
        <f t="shared" si="6"/>
        <v>0.95729982517403422</v>
      </c>
      <c r="I113" s="74">
        <f t="shared" si="8"/>
        <v>144758.20630562364</v>
      </c>
    </row>
    <row r="114" spans="1:9" x14ac:dyDescent="0.25">
      <c r="A114" s="61">
        <f>'A) Base RI'!A116</f>
        <v>5584</v>
      </c>
      <c r="B114" s="13" t="str">
        <f>'A) Base RI'!B116</f>
        <v>Epalinges</v>
      </c>
      <c r="C114" s="125">
        <f>'A) Base RI'!AN116</f>
        <v>9185</v>
      </c>
      <c r="D114" s="147">
        <f>'D) Ecrêtage'!N114</f>
        <v>49.637845070190203</v>
      </c>
      <c r="E114" s="44">
        <f t="shared" si="5"/>
        <v>0</v>
      </c>
      <c r="F114" s="369">
        <f t="shared" si="7"/>
        <v>0</v>
      </c>
      <c r="G114" s="43">
        <f>'A) Base RI'!AM116</f>
        <v>66</v>
      </c>
      <c r="H114" s="370">
        <f t="shared" si="6"/>
        <v>0.97202751479209637</v>
      </c>
      <c r="I114" s="74">
        <f t="shared" si="8"/>
        <v>0</v>
      </c>
    </row>
    <row r="115" spans="1:9" x14ac:dyDescent="0.25">
      <c r="A115" s="61">
        <f>'A) Base RI'!A117</f>
        <v>5585</v>
      </c>
      <c r="B115" s="13" t="str">
        <f>'A) Base RI'!B117</f>
        <v>Jouxtens-Mézery</v>
      </c>
      <c r="C115" s="125">
        <f>'A) Base RI'!AN117</f>
        <v>1405</v>
      </c>
      <c r="D115" s="147">
        <f>'D) Ecrêtage'!N115</f>
        <v>95.151342788159681</v>
      </c>
      <c r="E115" s="44">
        <f t="shared" si="5"/>
        <v>0</v>
      </c>
      <c r="F115" s="369">
        <f t="shared" si="7"/>
        <v>0</v>
      </c>
      <c r="G115" s="43">
        <f>'A) Base RI'!AM117</f>
        <v>53</v>
      </c>
      <c r="H115" s="370">
        <f t="shared" si="6"/>
        <v>0.78056754975728948</v>
      </c>
      <c r="I115" s="74">
        <f t="shared" si="8"/>
        <v>0</v>
      </c>
    </row>
    <row r="116" spans="1:9" x14ac:dyDescent="0.25">
      <c r="A116" s="61">
        <f>'A) Base RI'!A118</f>
        <v>5586</v>
      </c>
      <c r="B116" s="13" t="str">
        <f>'A) Base RI'!B118</f>
        <v>Lausanne</v>
      </c>
      <c r="C116" s="125">
        <f>'A) Base RI'!AN118</f>
        <v>134937</v>
      </c>
      <c r="D116" s="147">
        <f>'D) Ecrêtage'!N116</f>
        <v>43.705426270343565</v>
      </c>
      <c r="E116" s="44">
        <f t="shared" si="5"/>
        <v>0.38658722062603346</v>
      </c>
      <c r="F116" s="369">
        <f t="shared" si="7"/>
        <v>1112677.7391124899</v>
      </c>
      <c r="G116" s="43">
        <f>'A) Base RI'!AM118</f>
        <v>79</v>
      </c>
      <c r="H116" s="370">
        <f t="shared" si="6"/>
        <v>1.1634874798269033</v>
      </c>
      <c r="I116" s="74">
        <f t="shared" si="8"/>
        <v>1294586.6185394875</v>
      </c>
    </row>
    <row r="117" spans="1:9" x14ac:dyDescent="0.25">
      <c r="A117" s="61">
        <f>'A) Base RI'!A119</f>
        <v>5587</v>
      </c>
      <c r="B117" s="13" t="str">
        <f>'A) Base RI'!B119</f>
        <v>Le Mont-sur-Lausanne</v>
      </c>
      <c r="C117" s="125">
        <f>'A) Base RI'!AN119</f>
        <v>7271</v>
      </c>
      <c r="D117" s="147">
        <f>'D) Ecrêtage'!N117</f>
        <v>52.324164968902338</v>
      </c>
      <c r="E117" s="44">
        <f t="shared" si="5"/>
        <v>0</v>
      </c>
      <c r="F117" s="369">
        <f t="shared" si="7"/>
        <v>0</v>
      </c>
      <c r="G117" s="43">
        <f>'A) Base RI'!AM119</f>
        <v>75</v>
      </c>
      <c r="H117" s="370">
        <f t="shared" si="6"/>
        <v>1.1045767213546549</v>
      </c>
      <c r="I117" s="74">
        <f t="shared" si="8"/>
        <v>0</v>
      </c>
    </row>
    <row r="118" spans="1:9" x14ac:dyDescent="0.25">
      <c r="A118" s="61">
        <f>'A) Base RI'!A120</f>
        <v>5588</v>
      </c>
      <c r="B118" s="13" t="str">
        <f>'A) Base RI'!B120</f>
        <v>Paudex</v>
      </c>
      <c r="C118" s="125">
        <f>'A) Base RI'!AN120</f>
        <v>1485</v>
      </c>
      <c r="D118" s="147">
        <f>'D) Ecrêtage'!N118</f>
        <v>88.533689093682781</v>
      </c>
      <c r="E118" s="44">
        <f t="shared" si="5"/>
        <v>0</v>
      </c>
      <c r="F118" s="369">
        <f t="shared" si="7"/>
        <v>0</v>
      </c>
      <c r="G118" s="43">
        <f>'A) Base RI'!AM120</f>
        <v>61.5</v>
      </c>
      <c r="H118" s="370">
        <f t="shared" si="6"/>
        <v>0.90575291151081705</v>
      </c>
      <c r="I118" s="74">
        <f t="shared" si="8"/>
        <v>0</v>
      </c>
    </row>
    <row r="119" spans="1:9" x14ac:dyDescent="0.25">
      <c r="A119" s="61">
        <f>'A) Base RI'!A121</f>
        <v>5589</v>
      </c>
      <c r="B119" s="13" t="str">
        <f>'A) Base RI'!B121</f>
        <v>Prilly</v>
      </c>
      <c r="C119" s="125">
        <f>'A) Base RI'!AN121</f>
        <v>11782</v>
      </c>
      <c r="D119" s="147">
        <f>'D) Ecrêtage'!N119</f>
        <v>39.247578769413053</v>
      </c>
      <c r="E119" s="44">
        <f t="shared" si="5"/>
        <v>4.8444347215565458</v>
      </c>
      <c r="F119" s="369">
        <f t="shared" si="7"/>
        <v>1132695.6426547307</v>
      </c>
      <c r="G119" s="43">
        <f>'A) Base RI'!AM121</f>
        <v>73.5</v>
      </c>
      <c r="H119" s="370">
        <f t="shared" si="6"/>
        <v>1.0824851869275618</v>
      </c>
      <c r="I119" s="74">
        <f t="shared" si="8"/>
        <v>1226126.2544711409</v>
      </c>
    </row>
    <row r="120" spans="1:9" x14ac:dyDescent="0.25">
      <c r="A120" s="61">
        <f>'A) Base RI'!A122</f>
        <v>5590</v>
      </c>
      <c r="B120" s="13" t="str">
        <f>'A) Base RI'!B122</f>
        <v>Pully</v>
      </c>
      <c r="C120" s="125">
        <f>'A) Base RI'!AN122</f>
        <v>17811</v>
      </c>
      <c r="D120" s="147">
        <f>'D) Ecrêtage'!N120</f>
        <v>70.978942299283915</v>
      </c>
      <c r="E120" s="44">
        <f t="shared" si="5"/>
        <v>0</v>
      </c>
      <c r="F120" s="369">
        <f t="shared" si="7"/>
        <v>0</v>
      </c>
      <c r="G120" s="43">
        <f>'A) Base RI'!AM122</f>
        <v>63</v>
      </c>
      <c r="H120" s="370">
        <f t="shared" si="6"/>
        <v>0.92784444593791016</v>
      </c>
      <c r="I120" s="74">
        <f t="shared" si="8"/>
        <v>0</v>
      </c>
    </row>
    <row r="121" spans="1:9" x14ac:dyDescent="0.25">
      <c r="A121" s="61">
        <f>'A) Base RI'!A123</f>
        <v>5591</v>
      </c>
      <c r="B121" s="13" t="str">
        <f>'A) Base RI'!B123</f>
        <v>Renens</v>
      </c>
      <c r="C121" s="125">
        <f>'A) Base RI'!AN123</f>
        <v>20362</v>
      </c>
      <c r="D121" s="147">
        <f>'D) Ecrêtage'!N121</f>
        <v>26.858623204797535</v>
      </c>
      <c r="E121" s="44">
        <f t="shared" si="5"/>
        <v>17.233390286172064</v>
      </c>
      <c r="F121" s="369">
        <f t="shared" si="7"/>
        <v>7437458.8802841185</v>
      </c>
      <c r="G121" s="43">
        <f>'A) Base RI'!AM123</f>
        <v>78.5</v>
      </c>
      <c r="H121" s="370">
        <f t="shared" si="6"/>
        <v>1.1561236350178721</v>
      </c>
      <c r="I121" s="74">
        <f t="shared" si="8"/>
        <v>8598621.9959700275</v>
      </c>
    </row>
    <row r="122" spans="1:9" x14ac:dyDescent="0.25">
      <c r="A122" s="61">
        <f>'A) Base RI'!A124</f>
        <v>5592</v>
      </c>
      <c r="B122" s="13" t="str">
        <f>'A) Base RI'!B124</f>
        <v>Romanel-sur-Lausanne</v>
      </c>
      <c r="C122" s="125">
        <f>'A) Base RI'!AN124</f>
        <v>3351</v>
      </c>
      <c r="D122" s="147">
        <f>'D) Ecrêtage'!N122</f>
        <v>32.907740461269555</v>
      </c>
      <c r="E122" s="44">
        <f t="shared" si="5"/>
        <v>11.184273029700044</v>
      </c>
      <c r="F122" s="369">
        <f t="shared" si="7"/>
        <v>708343.6296357197</v>
      </c>
      <c r="G122" s="43">
        <f>'A) Base RI'!AM124</f>
        <v>70</v>
      </c>
      <c r="H122" s="370">
        <f t="shared" si="6"/>
        <v>1.0309382732643446</v>
      </c>
      <c r="I122" s="74">
        <f t="shared" si="8"/>
        <v>730258.55841444735</v>
      </c>
    </row>
    <row r="123" spans="1:9" x14ac:dyDescent="0.25">
      <c r="A123" s="61">
        <f>'A) Base RI'!A125</f>
        <v>5601</v>
      </c>
      <c r="B123" s="13" t="str">
        <f>'A) Base RI'!B125</f>
        <v>Chexbres</v>
      </c>
      <c r="C123" s="125">
        <f>'A) Base RI'!AN125</f>
        <v>2218</v>
      </c>
      <c r="D123" s="147">
        <f>'D) Ecrêtage'!N123</f>
        <v>47.103228485685307</v>
      </c>
      <c r="E123" s="44">
        <f t="shared" si="5"/>
        <v>0</v>
      </c>
      <c r="F123" s="369">
        <f t="shared" si="7"/>
        <v>0</v>
      </c>
      <c r="G123" s="43">
        <f>'A) Base RI'!AM125</f>
        <v>64</v>
      </c>
      <c r="H123" s="370">
        <f t="shared" si="6"/>
        <v>0.94257213555597219</v>
      </c>
      <c r="I123" s="74">
        <f t="shared" si="8"/>
        <v>0</v>
      </c>
    </row>
    <row r="124" spans="1:9" x14ac:dyDescent="0.25">
      <c r="A124" s="61">
        <f>'A) Base RI'!A126</f>
        <v>5604</v>
      </c>
      <c r="B124" s="13" t="str">
        <f>'A) Base RI'!B126</f>
        <v>Forel (Lavaux)</v>
      </c>
      <c r="C124" s="125">
        <f>'A) Base RI'!AN126</f>
        <v>2085</v>
      </c>
      <c r="D124" s="147">
        <f>'D) Ecrêtage'!N124</f>
        <v>31.421918394696007</v>
      </c>
      <c r="E124" s="44">
        <f t="shared" si="5"/>
        <v>12.670095096273592</v>
      </c>
      <c r="F124" s="369">
        <f t="shared" si="7"/>
        <v>485018.84234241094</v>
      </c>
      <c r="G124" s="43">
        <f>'A) Base RI'!AM126</f>
        <v>68</v>
      </c>
      <c r="H124" s="370">
        <f t="shared" si="6"/>
        <v>1.0014828940282205</v>
      </c>
      <c r="I124" s="74">
        <f t="shared" si="8"/>
        <v>485738.07388729492</v>
      </c>
    </row>
    <row r="125" spans="1:9" x14ac:dyDescent="0.25">
      <c r="A125" s="61">
        <f>'A) Base RI'!A127</f>
        <v>5606</v>
      </c>
      <c r="B125" s="13" t="str">
        <f>'A) Base RI'!B127</f>
        <v>Lutry</v>
      </c>
      <c r="C125" s="125">
        <f>'A) Base RI'!AN127</f>
        <v>9739</v>
      </c>
      <c r="D125" s="147">
        <f>'D) Ecrêtage'!N125</f>
        <v>70.631455731460761</v>
      </c>
      <c r="E125" s="44">
        <f t="shared" si="5"/>
        <v>0</v>
      </c>
      <c r="F125" s="369">
        <f t="shared" si="7"/>
        <v>0</v>
      </c>
      <c r="G125" s="43">
        <f>'A) Base RI'!AM127</f>
        <v>56</v>
      </c>
      <c r="H125" s="370">
        <f t="shared" si="6"/>
        <v>0.82475061861147569</v>
      </c>
      <c r="I125" s="74">
        <f t="shared" si="8"/>
        <v>0</v>
      </c>
    </row>
    <row r="126" spans="1:9" x14ac:dyDescent="0.25">
      <c r="A126" s="61">
        <f>'A) Base RI'!A128</f>
        <v>5607</v>
      </c>
      <c r="B126" s="13" t="str">
        <f>'A) Base RI'!B128</f>
        <v>Puidoux</v>
      </c>
      <c r="C126" s="125">
        <f>'A) Base RI'!AN128</f>
        <v>2858</v>
      </c>
      <c r="D126" s="147">
        <f>'D) Ecrêtage'!N126</f>
        <v>35.291274322626485</v>
      </c>
      <c r="E126" s="44">
        <f t="shared" si="5"/>
        <v>8.8007391683431138</v>
      </c>
      <c r="F126" s="369">
        <f t="shared" si="7"/>
        <v>461800.13029176806</v>
      </c>
      <c r="G126" s="43">
        <f>'A) Base RI'!AM128</f>
        <v>68</v>
      </c>
      <c r="H126" s="370">
        <f t="shared" si="6"/>
        <v>1.0014828940282205</v>
      </c>
      <c r="I126" s="74">
        <f t="shared" si="8"/>
        <v>462484.93094720918</v>
      </c>
    </row>
    <row r="127" spans="1:9" x14ac:dyDescent="0.25">
      <c r="A127" s="61">
        <f>'A) Base RI'!A129</f>
        <v>5609</v>
      </c>
      <c r="B127" s="13" t="str">
        <f>'A) Base RI'!B129</f>
        <v>Rivaz</v>
      </c>
      <c r="C127" s="125">
        <f>'A) Base RI'!AN129</f>
        <v>360</v>
      </c>
      <c r="D127" s="147">
        <f>'D) Ecrêtage'!N127</f>
        <v>44.78401224846894</v>
      </c>
      <c r="E127" s="44">
        <f t="shared" si="5"/>
        <v>0</v>
      </c>
      <c r="F127" s="369">
        <f t="shared" si="7"/>
        <v>0</v>
      </c>
      <c r="G127" s="43">
        <f>'A) Base RI'!AM129</f>
        <v>63.5</v>
      </c>
      <c r="H127" s="370">
        <f t="shared" si="6"/>
        <v>0.93520829074694112</v>
      </c>
      <c r="I127" s="74">
        <f t="shared" si="8"/>
        <v>0</v>
      </c>
    </row>
    <row r="128" spans="1:9" x14ac:dyDescent="0.25">
      <c r="A128" s="61">
        <f>'A) Base RI'!A130</f>
        <v>5610</v>
      </c>
      <c r="B128" s="13" t="str">
        <f>'A) Base RI'!B130</f>
        <v>St-Saphorin (Lavaux)</v>
      </c>
      <c r="C128" s="125">
        <f>'A) Base RI'!AN130</f>
        <v>383</v>
      </c>
      <c r="D128" s="147">
        <f>'D) Ecrêtage'!N128</f>
        <v>54.708135465495857</v>
      </c>
      <c r="E128" s="44">
        <f t="shared" si="5"/>
        <v>0</v>
      </c>
      <c r="F128" s="369">
        <f t="shared" si="7"/>
        <v>0</v>
      </c>
      <c r="G128" s="43">
        <f>'A) Base RI'!AM130</f>
        <v>62</v>
      </c>
      <c r="H128" s="370">
        <f t="shared" si="6"/>
        <v>0.91311675631984801</v>
      </c>
      <c r="I128" s="74">
        <f t="shared" si="8"/>
        <v>0</v>
      </c>
    </row>
    <row r="129" spans="1:9" x14ac:dyDescent="0.25">
      <c r="A129" s="61">
        <f>'A) Base RI'!A131</f>
        <v>5611</v>
      </c>
      <c r="B129" s="13" t="str">
        <f>'A) Base RI'!B131</f>
        <v>Savigny</v>
      </c>
      <c r="C129" s="125">
        <f>'A) Base RI'!AN131</f>
        <v>3304</v>
      </c>
      <c r="D129" s="147">
        <f>'D) Ecrêtage'!N129</f>
        <v>39.440801064291136</v>
      </c>
      <c r="E129" s="44">
        <f t="shared" si="5"/>
        <v>4.6512124266784625</v>
      </c>
      <c r="F129" s="369">
        <f t="shared" si="7"/>
        <v>277999.98996661865</v>
      </c>
      <c r="G129" s="43">
        <f>'A) Base RI'!AM131</f>
        <v>67</v>
      </c>
      <c r="H129" s="370">
        <f t="shared" si="6"/>
        <v>0.9867552044101584</v>
      </c>
      <c r="I129" s="74">
        <f t="shared" si="8"/>
        <v>274317.93692553276</v>
      </c>
    </row>
    <row r="130" spans="1:9" x14ac:dyDescent="0.25">
      <c r="A130" s="61">
        <f>'A) Base RI'!A132</f>
        <v>5613</v>
      </c>
      <c r="B130" s="13" t="str">
        <f>'A) Base RI'!B132</f>
        <v>Bourg-en-Lavaux</v>
      </c>
      <c r="C130" s="125">
        <f>'A) Base RI'!AN132</f>
        <v>5247</v>
      </c>
      <c r="D130" s="147">
        <f>'D) Ecrêtage'!N130</f>
        <v>55.921865513226123</v>
      </c>
      <c r="E130" s="44">
        <f t="shared" si="5"/>
        <v>0</v>
      </c>
      <c r="F130" s="369">
        <f t="shared" si="7"/>
        <v>0</v>
      </c>
      <c r="G130" s="43">
        <f>'A) Base RI'!AM132</f>
        <v>61</v>
      </c>
      <c r="H130" s="370">
        <f t="shared" si="6"/>
        <v>0.89838906670178598</v>
      </c>
      <c r="I130" s="74">
        <f t="shared" si="8"/>
        <v>0</v>
      </c>
    </row>
    <row r="131" spans="1:9" x14ac:dyDescent="0.25">
      <c r="A131" s="61">
        <f>'A) Base RI'!A133</f>
        <v>5621</v>
      </c>
      <c r="B131" s="13" t="str">
        <f>'A) Base RI'!B133</f>
        <v>Aclens</v>
      </c>
      <c r="C131" s="125">
        <f>'A) Base RI'!AN133</f>
        <v>528</v>
      </c>
      <c r="D131" s="147">
        <f>'D) Ecrêtage'!N131</f>
        <v>61.735778189380596</v>
      </c>
      <c r="E131" s="44">
        <f t="shared" si="5"/>
        <v>0</v>
      </c>
      <c r="F131" s="369">
        <f t="shared" si="7"/>
        <v>0</v>
      </c>
      <c r="G131" s="43">
        <f>'A) Base RI'!AM133</f>
        <v>62</v>
      </c>
      <c r="H131" s="370">
        <f t="shared" si="6"/>
        <v>0.91311675631984801</v>
      </c>
      <c r="I131" s="74">
        <f t="shared" si="8"/>
        <v>0</v>
      </c>
    </row>
    <row r="132" spans="1:9" x14ac:dyDescent="0.25">
      <c r="A132" s="61">
        <f>'A) Base RI'!A134</f>
        <v>5622</v>
      </c>
      <c r="B132" s="13" t="str">
        <f>'A) Base RI'!B134</f>
        <v>Bremblens</v>
      </c>
      <c r="C132" s="125">
        <f>'A) Base RI'!AN134</f>
        <v>511</v>
      </c>
      <c r="D132" s="147">
        <f>'D) Ecrêtage'!N132</f>
        <v>54.921073396124662</v>
      </c>
      <c r="E132" s="44">
        <f t="shared" si="5"/>
        <v>0</v>
      </c>
      <c r="F132" s="369">
        <f t="shared" si="7"/>
        <v>0</v>
      </c>
      <c r="G132" s="43">
        <f>'A) Base RI'!AM134</f>
        <v>66</v>
      </c>
      <c r="H132" s="370">
        <f t="shared" si="6"/>
        <v>0.97202751479209637</v>
      </c>
      <c r="I132" s="74">
        <f t="shared" si="8"/>
        <v>0</v>
      </c>
    </row>
    <row r="133" spans="1:9" x14ac:dyDescent="0.25">
      <c r="A133" s="61">
        <f>'A) Base RI'!A135</f>
        <v>5623</v>
      </c>
      <c r="B133" s="13" t="str">
        <f>'A) Base RI'!B135</f>
        <v>Buchillon</v>
      </c>
      <c r="C133" s="125">
        <f>'A) Base RI'!AN135</f>
        <v>624</v>
      </c>
      <c r="D133" s="147">
        <f>'D) Ecrêtage'!N133</f>
        <v>110.69416701601992</v>
      </c>
      <c r="E133" s="44">
        <f t="shared" ref="E133:E196" si="9">IF($D$314-D133&lt;0,0,$D$314-D133)</f>
        <v>0</v>
      </c>
      <c r="F133" s="369">
        <f t="shared" si="7"/>
        <v>0</v>
      </c>
      <c r="G133" s="43">
        <f>'A) Base RI'!AM135</f>
        <v>53</v>
      </c>
      <c r="H133" s="370">
        <f t="shared" ref="H133:H196" si="10">G133/$G$314</f>
        <v>0.78056754975728948</v>
      </c>
      <c r="I133" s="74">
        <f t="shared" si="8"/>
        <v>0</v>
      </c>
    </row>
    <row r="134" spans="1:9" x14ac:dyDescent="0.25">
      <c r="A134" s="61">
        <f>'A) Base RI'!A136</f>
        <v>5624</v>
      </c>
      <c r="B134" s="13" t="str">
        <f>'A) Base RI'!B136</f>
        <v>Bussigny</v>
      </c>
      <c r="C134" s="125">
        <f>'A) Base RI'!AN136</f>
        <v>8215</v>
      </c>
      <c r="D134" s="147">
        <f>'D) Ecrêtage'!N134</f>
        <v>38.000588891288551</v>
      </c>
      <c r="E134" s="44">
        <f t="shared" si="9"/>
        <v>6.0914245996810479</v>
      </c>
      <c r="F134" s="369">
        <f t="shared" ref="F134:F197" si="11">(C134*E134*G134)*$E$4</f>
        <v>837687.22866599797</v>
      </c>
      <c r="G134" s="43">
        <f>'A) Base RI'!AM136</f>
        <v>62</v>
      </c>
      <c r="H134" s="370">
        <f t="shared" si="10"/>
        <v>0.91311675631984801</v>
      </c>
      <c r="I134" s="74">
        <f t="shared" ref="I134:I197" si="12">F134*H134</f>
        <v>764906.24505005882</v>
      </c>
    </row>
    <row r="135" spans="1:9" x14ac:dyDescent="0.25">
      <c r="A135" s="61">
        <f>'A) Base RI'!A137</f>
        <v>5625</v>
      </c>
      <c r="B135" s="13" t="str">
        <f>'A) Base RI'!B137</f>
        <v>Bussy-Chardonney</v>
      </c>
      <c r="C135" s="125">
        <f>'A) Base RI'!AN137</f>
        <v>377</v>
      </c>
      <c r="D135" s="147">
        <f>'D) Ecrêtage'!N135</f>
        <v>42.898188861683565</v>
      </c>
      <c r="E135" s="44">
        <f t="shared" si="9"/>
        <v>1.1938246292860342</v>
      </c>
      <c r="F135" s="369">
        <f t="shared" si="11"/>
        <v>9478.5139031719846</v>
      </c>
      <c r="G135" s="43">
        <f>'A) Base RI'!AM137</f>
        <v>78</v>
      </c>
      <c r="H135" s="370">
        <f t="shared" si="10"/>
        <v>1.1487597902088411</v>
      </c>
      <c r="I135" s="74">
        <f t="shared" si="12"/>
        <v>10888.535642899433</v>
      </c>
    </row>
    <row r="136" spans="1:9" x14ac:dyDescent="0.25">
      <c r="A136" s="61">
        <f>'A) Base RI'!A138</f>
        <v>5627</v>
      </c>
      <c r="B136" s="13" t="str">
        <f>'A) Base RI'!B138</f>
        <v>Chavannes-près-Renens</v>
      </c>
      <c r="C136" s="125">
        <f>'A) Base RI'!AN138</f>
        <v>7374</v>
      </c>
      <c r="D136" s="147">
        <f>'D) Ecrêtage'!N136</f>
        <v>22.03850317972028</v>
      </c>
      <c r="E136" s="44">
        <f t="shared" si="9"/>
        <v>22.053510311249319</v>
      </c>
      <c r="F136" s="369">
        <f t="shared" si="11"/>
        <v>3468739.7387998025</v>
      </c>
      <c r="G136" s="43">
        <f>'A) Base RI'!AM138</f>
        <v>79</v>
      </c>
      <c r="H136" s="370">
        <f t="shared" si="10"/>
        <v>1.1634874798269033</v>
      </c>
      <c r="I136" s="74">
        <f t="shared" si="12"/>
        <v>4035835.2568716127</v>
      </c>
    </row>
    <row r="137" spans="1:9" x14ac:dyDescent="0.25">
      <c r="A137" s="61">
        <f>'A) Base RI'!A139</f>
        <v>5628</v>
      </c>
      <c r="B137" s="13" t="str">
        <f>'A) Base RI'!B139</f>
        <v>Chigny</v>
      </c>
      <c r="C137" s="125">
        <f>'A) Base RI'!AN139</f>
        <v>331</v>
      </c>
      <c r="D137" s="147">
        <f>'D) Ecrêtage'!N137</f>
        <v>56.877702702850897</v>
      </c>
      <c r="E137" s="44">
        <f t="shared" si="9"/>
        <v>0</v>
      </c>
      <c r="F137" s="369">
        <f t="shared" si="11"/>
        <v>0</v>
      </c>
      <c r="G137" s="43">
        <f>'A) Base RI'!AM139</f>
        <v>62</v>
      </c>
      <c r="H137" s="370">
        <f t="shared" si="10"/>
        <v>0.91311675631984801</v>
      </c>
      <c r="I137" s="74">
        <f t="shared" si="12"/>
        <v>0</v>
      </c>
    </row>
    <row r="138" spans="1:9" x14ac:dyDescent="0.25">
      <c r="A138" s="61">
        <f>'A) Base RI'!A140</f>
        <v>5629</v>
      </c>
      <c r="B138" s="13" t="str">
        <f>'A) Base RI'!B140</f>
        <v>Clarmont</v>
      </c>
      <c r="C138" s="125">
        <f>'A) Base RI'!AN140</f>
        <v>160</v>
      </c>
      <c r="D138" s="147">
        <f>'D) Ecrêtage'!N138</f>
        <v>47.386869166666663</v>
      </c>
      <c r="E138" s="44">
        <f t="shared" si="9"/>
        <v>0</v>
      </c>
      <c r="F138" s="369">
        <f t="shared" si="11"/>
        <v>0</v>
      </c>
      <c r="G138" s="43">
        <f>'A) Base RI'!AM140</f>
        <v>75</v>
      </c>
      <c r="H138" s="370">
        <f t="shared" si="10"/>
        <v>1.1045767213546549</v>
      </c>
      <c r="I138" s="74">
        <f t="shared" si="12"/>
        <v>0</v>
      </c>
    </row>
    <row r="139" spans="1:9" x14ac:dyDescent="0.25">
      <c r="A139" s="61">
        <f>'A) Base RI'!A141</f>
        <v>5631</v>
      </c>
      <c r="B139" s="13" t="str">
        <f>'A) Base RI'!B141</f>
        <v>Denens</v>
      </c>
      <c r="C139" s="125">
        <f>'A) Base RI'!AN141</f>
        <v>714</v>
      </c>
      <c r="D139" s="147">
        <f>'D) Ecrêtage'!N139</f>
        <v>47.924873331685632</v>
      </c>
      <c r="E139" s="44">
        <f t="shared" si="9"/>
        <v>0</v>
      </c>
      <c r="F139" s="369">
        <f t="shared" si="11"/>
        <v>0</v>
      </c>
      <c r="G139" s="43">
        <f>'A) Base RI'!AM141</f>
        <v>68</v>
      </c>
      <c r="H139" s="370">
        <f t="shared" si="10"/>
        <v>1.0014828940282205</v>
      </c>
      <c r="I139" s="74">
        <f t="shared" si="12"/>
        <v>0</v>
      </c>
    </row>
    <row r="140" spans="1:9" x14ac:dyDescent="0.25">
      <c r="A140" s="61">
        <f>'A) Base RI'!A142</f>
        <v>5632</v>
      </c>
      <c r="B140" s="13" t="str">
        <f>'A) Base RI'!B142</f>
        <v>Denges</v>
      </c>
      <c r="C140" s="125">
        <f>'A) Base RI'!AN142</f>
        <v>1651</v>
      </c>
      <c r="D140" s="147">
        <f>'D) Ecrêtage'!N140</f>
        <v>42.761719681131666</v>
      </c>
      <c r="E140" s="44">
        <f t="shared" si="9"/>
        <v>1.3302938098379329</v>
      </c>
      <c r="F140" s="369">
        <f t="shared" si="11"/>
        <v>36766.314439910231</v>
      </c>
      <c r="G140" s="43">
        <f>'A) Base RI'!AM142</f>
        <v>62</v>
      </c>
      <c r="H140" s="370">
        <f t="shared" si="10"/>
        <v>0.91311675631984801</v>
      </c>
      <c r="I140" s="74">
        <f t="shared" si="12"/>
        <v>33571.93778320642</v>
      </c>
    </row>
    <row r="141" spans="1:9" x14ac:dyDescent="0.25">
      <c r="A141" s="61">
        <f>'A) Base RI'!A143</f>
        <v>5633</v>
      </c>
      <c r="B141" s="13" t="str">
        <f>'A) Base RI'!B143</f>
        <v>Echandens</v>
      </c>
      <c r="C141" s="125">
        <f>'A) Base RI'!AN143</f>
        <v>2631</v>
      </c>
      <c r="D141" s="147">
        <f>'D) Ecrêtage'!N141</f>
        <v>46.755399639533607</v>
      </c>
      <c r="E141" s="44">
        <f t="shared" si="9"/>
        <v>0</v>
      </c>
      <c r="F141" s="369">
        <f t="shared" si="11"/>
        <v>0</v>
      </c>
      <c r="G141" s="43">
        <f>'A) Base RI'!AM143</f>
        <v>62</v>
      </c>
      <c r="H141" s="370">
        <f t="shared" si="10"/>
        <v>0.91311675631984801</v>
      </c>
      <c r="I141" s="74">
        <f t="shared" si="12"/>
        <v>0</v>
      </c>
    </row>
    <row r="142" spans="1:9" x14ac:dyDescent="0.25">
      <c r="A142" s="61">
        <f>'A) Base RI'!A144</f>
        <v>5634</v>
      </c>
      <c r="B142" s="13" t="str">
        <f>'A) Base RI'!B144</f>
        <v>Echichens</v>
      </c>
      <c r="C142" s="125">
        <f>'A) Base RI'!AN144</f>
        <v>2585</v>
      </c>
      <c r="D142" s="147">
        <f>'D) Ecrêtage'!N142</f>
        <v>47.063907839344644</v>
      </c>
      <c r="E142" s="44">
        <f t="shared" si="9"/>
        <v>0</v>
      </c>
      <c r="F142" s="369">
        <f t="shared" si="11"/>
        <v>0</v>
      </c>
      <c r="G142" s="43">
        <f>'A) Base RI'!AM144</f>
        <v>68</v>
      </c>
      <c r="H142" s="370">
        <f t="shared" si="10"/>
        <v>1.0014828940282205</v>
      </c>
      <c r="I142" s="74">
        <f t="shared" si="12"/>
        <v>0</v>
      </c>
    </row>
    <row r="143" spans="1:9" x14ac:dyDescent="0.25">
      <c r="A143" s="61">
        <f>'A) Base RI'!A145</f>
        <v>5635</v>
      </c>
      <c r="B143" s="13" t="str">
        <f>'A) Base RI'!B145</f>
        <v>Ecublens</v>
      </c>
      <c r="C143" s="125">
        <f>'A) Base RI'!AN145</f>
        <v>12288</v>
      </c>
      <c r="D143" s="147">
        <f>'D) Ecrêtage'!N143</f>
        <v>38.255839061035438</v>
      </c>
      <c r="E143" s="44">
        <f t="shared" si="9"/>
        <v>5.8361744299341609</v>
      </c>
      <c r="F143" s="369">
        <f t="shared" si="11"/>
        <v>1200507.6167528185</v>
      </c>
      <c r="G143" s="43">
        <f>'A) Base RI'!AM145</f>
        <v>62</v>
      </c>
      <c r="H143" s="370">
        <f t="shared" si="10"/>
        <v>0.91311675631984801</v>
      </c>
      <c r="I143" s="74">
        <f t="shared" si="12"/>
        <v>1096203.6209466048</v>
      </c>
    </row>
    <row r="144" spans="1:9" x14ac:dyDescent="0.25">
      <c r="A144" s="61">
        <f>'A) Base RI'!A146</f>
        <v>5636</v>
      </c>
      <c r="B144" s="13" t="str">
        <f>'A) Base RI'!B146</f>
        <v>Etoy</v>
      </c>
      <c r="C144" s="125">
        <f>'A) Base RI'!AN146</f>
        <v>2932</v>
      </c>
      <c r="D144" s="147">
        <f>'D) Ecrêtage'!N144</f>
        <v>54.153834343479531</v>
      </c>
      <c r="E144" s="44">
        <f t="shared" si="9"/>
        <v>0</v>
      </c>
      <c r="F144" s="369">
        <f t="shared" si="11"/>
        <v>0</v>
      </c>
      <c r="G144" s="43">
        <f>'A) Base RI'!AM146</f>
        <v>61</v>
      </c>
      <c r="H144" s="370">
        <f t="shared" si="10"/>
        <v>0.89838906670178598</v>
      </c>
      <c r="I144" s="74">
        <f t="shared" si="12"/>
        <v>0</v>
      </c>
    </row>
    <row r="145" spans="1:9" x14ac:dyDescent="0.25">
      <c r="A145" s="61">
        <f>'A) Base RI'!A147</f>
        <v>5637</v>
      </c>
      <c r="B145" s="13" t="str">
        <f>'A) Base RI'!B147</f>
        <v>Lavigny</v>
      </c>
      <c r="C145" s="125">
        <f>'A) Base RI'!AN147</f>
        <v>981</v>
      </c>
      <c r="D145" s="147">
        <f>'D) Ecrêtage'!N145</f>
        <v>31.677256144143659</v>
      </c>
      <c r="E145" s="44">
        <f t="shared" si="9"/>
        <v>12.41475734682594</v>
      </c>
      <c r="F145" s="369">
        <f t="shared" si="11"/>
        <v>244978.10999480714</v>
      </c>
      <c r="G145" s="43">
        <f>'A) Base RI'!AM147</f>
        <v>74.5</v>
      </c>
      <c r="H145" s="370">
        <f t="shared" si="10"/>
        <v>1.0972128765456239</v>
      </c>
      <c r="I145" s="74">
        <f t="shared" si="12"/>
        <v>268793.13675811258</v>
      </c>
    </row>
    <row r="146" spans="1:9" x14ac:dyDescent="0.25">
      <c r="A146" s="61">
        <f>'A) Base RI'!A148</f>
        <v>5638</v>
      </c>
      <c r="B146" s="13" t="str">
        <f>'A) Base RI'!B148</f>
        <v>Lonay</v>
      </c>
      <c r="C146" s="125">
        <f>'A) Base RI'!AN148</f>
        <v>2536</v>
      </c>
      <c r="D146" s="147">
        <f>'D) Ecrêtage'!N146</f>
        <v>58.814479504525622</v>
      </c>
      <c r="E146" s="44">
        <f t="shared" si="9"/>
        <v>0</v>
      </c>
      <c r="F146" s="369">
        <f t="shared" si="11"/>
        <v>0</v>
      </c>
      <c r="G146" s="43">
        <f>'A) Base RI'!AM148</f>
        <v>55</v>
      </c>
      <c r="H146" s="370">
        <f t="shared" si="10"/>
        <v>0.81002292899341355</v>
      </c>
      <c r="I146" s="74">
        <f t="shared" si="12"/>
        <v>0</v>
      </c>
    </row>
    <row r="147" spans="1:9" x14ac:dyDescent="0.25">
      <c r="A147" s="61">
        <f>'A) Base RI'!A149</f>
        <v>5639</v>
      </c>
      <c r="B147" s="13" t="str">
        <f>'A) Base RI'!B149</f>
        <v>Lully</v>
      </c>
      <c r="C147" s="125">
        <f>'A) Base RI'!AN149</f>
        <v>760</v>
      </c>
      <c r="D147" s="147">
        <f>'D) Ecrêtage'!N147</f>
        <v>55.411682488082072</v>
      </c>
      <c r="E147" s="44">
        <f t="shared" si="9"/>
        <v>0</v>
      </c>
      <c r="F147" s="369">
        <f t="shared" si="11"/>
        <v>0</v>
      </c>
      <c r="G147" s="43">
        <f>'A) Base RI'!AM149</f>
        <v>61</v>
      </c>
      <c r="H147" s="370">
        <f t="shared" si="10"/>
        <v>0.89838906670178598</v>
      </c>
      <c r="I147" s="74">
        <f t="shared" si="12"/>
        <v>0</v>
      </c>
    </row>
    <row r="148" spans="1:9" x14ac:dyDescent="0.25">
      <c r="A148" s="61">
        <f>'A) Base RI'!A150</f>
        <v>5640</v>
      </c>
      <c r="B148" s="13" t="str">
        <f>'A) Base RI'!B150</f>
        <v>Lussy-sur-Morges</v>
      </c>
      <c r="C148" s="125">
        <f>'A) Base RI'!AN150</f>
        <v>646</v>
      </c>
      <c r="D148" s="147">
        <f>'D) Ecrêtage'!N148</f>
        <v>66.358004426248741</v>
      </c>
      <c r="E148" s="44">
        <f t="shared" si="9"/>
        <v>0</v>
      </c>
      <c r="F148" s="369">
        <f t="shared" si="11"/>
        <v>0</v>
      </c>
      <c r="G148" s="43">
        <f>'A) Base RI'!AM150</f>
        <v>66</v>
      </c>
      <c r="H148" s="370">
        <f t="shared" si="10"/>
        <v>0.97202751479209637</v>
      </c>
      <c r="I148" s="74">
        <f t="shared" si="12"/>
        <v>0</v>
      </c>
    </row>
    <row r="149" spans="1:9" x14ac:dyDescent="0.25">
      <c r="A149" s="61">
        <f>'A) Base RI'!A151</f>
        <v>5642</v>
      </c>
      <c r="B149" s="13" t="str">
        <f>'A) Base RI'!B151</f>
        <v>Morges</v>
      </c>
      <c r="C149" s="125">
        <f>'A) Base RI'!AN151</f>
        <v>15623</v>
      </c>
      <c r="D149" s="147">
        <f>'D) Ecrêtage'!N149</f>
        <v>45.790189506300599</v>
      </c>
      <c r="E149" s="44">
        <f t="shared" si="9"/>
        <v>0</v>
      </c>
      <c r="F149" s="369">
        <f t="shared" si="11"/>
        <v>0</v>
      </c>
      <c r="G149" s="43">
        <f>'A) Base RI'!AM151</f>
        <v>68.5</v>
      </c>
      <c r="H149" s="370">
        <f t="shared" si="10"/>
        <v>1.0088467388372515</v>
      </c>
      <c r="I149" s="74">
        <f t="shared" si="12"/>
        <v>0</v>
      </c>
    </row>
    <row r="150" spans="1:9" x14ac:dyDescent="0.25">
      <c r="A150" s="61">
        <f>'A) Base RI'!A152</f>
        <v>5643</v>
      </c>
      <c r="B150" s="13" t="str">
        <f>'A) Base RI'!B152</f>
        <v>Préverenges</v>
      </c>
      <c r="C150" s="125">
        <f>'A) Base RI'!AN152</f>
        <v>5263</v>
      </c>
      <c r="D150" s="147">
        <f>'D) Ecrêtage'!N150</f>
        <v>47.462195783060992</v>
      </c>
      <c r="E150" s="44">
        <f t="shared" si="9"/>
        <v>0</v>
      </c>
      <c r="F150" s="369">
        <f t="shared" si="11"/>
        <v>0</v>
      </c>
      <c r="G150" s="43">
        <f>'A) Base RI'!AM152</f>
        <v>64</v>
      </c>
      <c r="H150" s="370">
        <f t="shared" si="10"/>
        <v>0.94257213555597219</v>
      </c>
      <c r="I150" s="74">
        <f t="shared" si="12"/>
        <v>0</v>
      </c>
    </row>
    <row r="151" spans="1:9" x14ac:dyDescent="0.25">
      <c r="A151" s="61">
        <f>'A) Base RI'!A153</f>
        <v>5644</v>
      </c>
      <c r="B151" s="13" t="str">
        <f>'A) Base RI'!B153</f>
        <v>Reverolle</v>
      </c>
      <c r="C151" s="125">
        <f>'A) Base RI'!AN153</f>
        <v>360</v>
      </c>
      <c r="D151" s="147">
        <f>'D) Ecrêtage'!N151</f>
        <v>43.319048976608194</v>
      </c>
      <c r="E151" s="44">
        <f t="shared" si="9"/>
        <v>0.77296451436140501</v>
      </c>
      <c r="F151" s="369">
        <f t="shared" si="11"/>
        <v>5710.0434604905713</v>
      </c>
      <c r="G151" s="43">
        <f>'A) Base RI'!AM153</f>
        <v>76</v>
      </c>
      <c r="H151" s="370">
        <f t="shared" si="10"/>
        <v>1.119304410972717</v>
      </c>
      <c r="I151" s="74">
        <f t="shared" si="12"/>
        <v>6391.2768321730136</v>
      </c>
    </row>
    <row r="152" spans="1:9" x14ac:dyDescent="0.25">
      <c r="A152" s="61">
        <f>'A) Base RI'!A154</f>
        <v>5645</v>
      </c>
      <c r="B152" s="13" t="str">
        <f>'A) Base RI'!B154</f>
        <v>Romanel-sur-Morges</v>
      </c>
      <c r="C152" s="125">
        <f>'A) Base RI'!AN154</f>
        <v>459</v>
      </c>
      <c r="D152" s="147">
        <f>'D) Ecrêtage'!N152</f>
        <v>55.112127797390983</v>
      </c>
      <c r="E152" s="44">
        <f t="shared" si="9"/>
        <v>0</v>
      </c>
      <c r="F152" s="369">
        <f t="shared" si="11"/>
        <v>0</v>
      </c>
      <c r="G152" s="43">
        <f>'A) Base RI'!AM154</f>
        <v>56</v>
      </c>
      <c r="H152" s="370">
        <f t="shared" si="10"/>
        <v>0.82475061861147569</v>
      </c>
      <c r="I152" s="74">
        <f t="shared" si="12"/>
        <v>0</v>
      </c>
    </row>
    <row r="153" spans="1:9" x14ac:dyDescent="0.25">
      <c r="A153" s="61">
        <f>'A) Base RI'!A155</f>
        <v>5646</v>
      </c>
      <c r="B153" s="13" t="str">
        <f>'A) Base RI'!B155</f>
        <v>Saint-Prex</v>
      </c>
      <c r="C153" s="125">
        <f>'A) Base RI'!AN155</f>
        <v>5604</v>
      </c>
      <c r="D153" s="147">
        <f>'D) Ecrêtage'!N153</f>
        <v>54.76581961494923</v>
      </c>
      <c r="E153" s="44">
        <f t="shared" si="9"/>
        <v>0</v>
      </c>
      <c r="F153" s="369">
        <f t="shared" si="11"/>
        <v>0</v>
      </c>
      <c r="G153" s="43">
        <f>'A) Base RI'!AM155</f>
        <v>55</v>
      </c>
      <c r="H153" s="370">
        <f t="shared" si="10"/>
        <v>0.81002292899341355</v>
      </c>
      <c r="I153" s="74">
        <f t="shared" si="12"/>
        <v>0</v>
      </c>
    </row>
    <row r="154" spans="1:9" x14ac:dyDescent="0.25">
      <c r="A154" s="61">
        <f>'A) Base RI'!A156</f>
        <v>5648</v>
      </c>
      <c r="B154" s="13" t="str">
        <f>'A) Base RI'!B156</f>
        <v>Saint-Sulpice</v>
      </c>
      <c r="C154" s="125">
        <f>'A) Base RI'!AN156</f>
        <v>3898</v>
      </c>
      <c r="D154" s="147">
        <f>'D) Ecrêtage'!N154</f>
        <v>72.459375437808262</v>
      </c>
      <c r="E154" s="44">
        <f t="shared" si="9"/>
        <v>0</v>
      </c>
      <c r="F154" s="369">
        <f t="shared" si="11"/>
        <v>0</v>
      </c>
      <c r="G154" s="43">
        <f>'A) Base RI'!AM156</f>
        <v>55</v>
      </c>
      <c r="H154" s="370">
        <f t="shared" si="10"/>
        <v>0.81002292899341355</v>
      </c>
      <c r="I154" s="74">
        <f t="shared" si="12"/>
        <v>0</v>
      </c>
    </row>
    <row r="155" spans="1:9" x14ac:dyDescent="0.25">
      <c r="A155" s="61">
        <f>'A) Base RI'!A157</f>
        <v>5649</v>
      </c>
      <c r="B155" s="13" t="str">
        <f>'A) Base RI'!B157</f>
        <v>Tolochenaz</v>
      </c>
      <c r="C155" s="125">
        <f>'A) Base RI'!AN157</f>
        <v>1855</v>
      </c>
      <c r="D155" s="147">
        <f>'D) Ecrêtage'!N155</f>
        <v>57.918112809330843</v>
      </c>
      <c r="E155" s="44">
        <f t="shared" si="9"/>
        <v>0</v>
      </c>
      <c r="F155" s="369">
        <f t="shared" si="11"/>
        <v>0</v>
      </c>
      <c r="G155" s="43">
        <f>'A) Base RI'!AM157</f>
        <v>65</v>
      </c>
      <c r="H155" s="370">
        <f t="shared" si="10"/>
        <v>0.95729982517403422</v>
      </c>
      <c r="I155" s="74">
        <f t="shared" si="12"/>
        <v>0</v>
      </c>
    </row>
    <row r="156" spans="1:9" x14ac:dyDescent="0.25">
      <c r="A156" s="61">
        <f>'A) Base RI'!A158</f>
        <v>5650</v>
      </c>
      <c r="B156" s="13" t="str">
        <f>'A) Base RI'!B158</f>
        <v>Vaux-sur-Morges</v>
      </c>
      <c r="C156" s="125">
        <f>'A) Base RI'!AN158</f>
        <v>203</v>
      </c>
      <c r="D156" s="147">
        <f>'D) Ecrêtage'!N156</f>
        <v>552.49933047211709</v>
      </c>
      <c r="E156" s="44">
        <f t="shared" si="9"/>
        <v>0</v>
      </c>
      <c r="F156" s="369">
        <f t="shared" si="11"/>
        <v>0</v>
      </c>
      <c r="G156" s="43">
        <f>'A) Base RI'!AM158</f>
        <v>39</v>
      </c>
      <c r="H156" s="370">
        <f t="shared" si="10"/>
        <v>0.57437989510442056</v>
      </c>
      <c r="I156" s="74">
        <f t="shared" si="12"/>
        <v>0</v>
      </c>
    </row>
    <row r="157" spans="1:9" x14ac:dyDescent="0.25">
      <c r="A157" s="61">
        <f>'A) Base RI'!A159</f>
        <v>5651</v>
      </c>
      <c r="B157" s="13" t="str">
        <f>'A) Base RI'!B159</f>
        <v>Villars-Sainte-Croix</v>
      </c>
      <c r="C157" s="125">
        <f>'A) Base RI'!AN159</f>
        <v>709</v>
      </c>
      <c r="D157" s="147">
        <f>'D) Ecrêtage'!N157</f>
        <v>53.347387583371194</v>
      </c>
      <c r="E157" s="44">
        <f t="shared" si="9"/>
        <v>0</v>
      </c>
      <c r="F157" s="369">
        <f t="shared" si="11"/>
        <v>0</v>
      </c>
      <c r="G157" s="43">
        <f>'A) Base RI'!AM159</f>
        <v>59</v>
      </c>
      <c r="H157" s="370">
        <f t="shared" si="10"/>
        <v>0.86893368746566191</v>
      </c>
      <c r="I157" s="74">
        <f t="shared" si="12"/>
        <v>0</v>
      </c>
    </row>
    <row r="158" spans="1:9" x14ac:dyDescent="0.25">
      <c r="A158" s="61">
        <f>'A) Base RI'!A160</f>
        <v>5652</v>
      </c>
      <c r="B158" s="13" t="str">
        <f>'A) Base RI'!B160</f>
        <v>Villars-sous-Yens</v>
      </c>
      <c r="C158" s="125">
        <f>'A) Base RI'!AN160</f>
        <v>564</v>
      </c>
      <c r="D158" s="147">
        <f>'D) Ecrêtage'!N158</f>
        <v>41.915392559412716</v>
      </c>
      <c r="E158" s="44">
        <f t="shared" si="9"/>
        <v>2.176620931556883</v>
      </c>
      <c r="F158" s="369">
        <f t="shared" si="11"/>
        <v>25190.643494768647</v>
      </c>
      <c r="G158" s="43">
        <f>'A) Base RI'!AM160</f>
        <v>76</v>
      </c>
      <c r="H158" s="370">
        <f t="shared" si="10"/>
        <v>1.119304410972717</v>
      </c>
      <c r="I158" s="74">
        <f t="shared" si="12"/>
        <v>28195.998378935725</v>
      </c>
    </row>
    <row r="159" spans="1:9" x14ac:dyDescent="0.25">
      <c r="A159" s="61">
        <f>'A) Base RI'!A161</f>
        <v>5653</v>
      </c>
      <c r="B159" s="13" t="str">
        <f>'A) Base RI'!B161</f>
        <v>Vufflens-le-Château</v>
      </c>
      <c r="C159" s="125">
        <f>'A) Base RI'!AN161</f>
        <v>821</v>
      </c>
      <c r="D159" s="147">
        <f>'D) Ecrêtage'!N159</f>
        <v>68.257366807777672</v>
      </c>
      <c r="E159" s="44">
        <f t="shared" si="9"/>
        <v>0</v>
      </c>
      <c r="F159" s="369">
        <f t="shared" si="11"/>
        <v>0</v>
      </c>
      <c r="G159" s="43">
        <f>'A) Base RI'!AM161</f>
        <v>55</v>
      </c>
      <c r="H159" s="370">
        <f t="shared" si="10"/>
        <v>0.81002292899341355</v>
      </c>
      <c r="I159" s="74">
        <f t="shared" si="12"/>
        <v>0</v>
      </c>
    </row>
    <row r="160" spans="1:9" x14ac:dyDescent="0.25">
      <c r="A160" s="61">
        <f>'A) Base RI'!A162</f>
        <v>5654</v>
      </c>
      <c r="B160" s="13" t="str">
        <f>'A) Base RI'!B162</f>
        <v>Vullierens</v>
      </c>
      <c r="C160" s="125">
        <f>'A) Base RI'!AN162</f>
        <v>460</v>
      </c>
      <c r="D160" s="147">
        <f>'D) Ecrêtage'!N160</f>
        <v>36.845413901601837</v>
      </c>
      <c r="E160" s="44">
        <f t="shared" si="9"/>
        <v>7.2465995893677615</v>
      </c>
      <c r="F160" s="369">
        <f t="shared" si="11"/>
        <v>68402.102843960165</v>
      </c>
      <c r="G160" s="43">
        <f>'A) Base RI'!AM162</f>
        <v>76</v>
      </c>
      <c r="H160" s="370">
        <f t="shared" si="10"/>
        <v>1.119304410972717</v>
      </c>
      <c r="I160" s="74">
        <f t="shared" si="12"/>
        <v>76562.775433054048</v>
      </c>
    </row>
    <row r="161" spans="1:9" x14ac:dyDescent="0.25">
      <c r="A161" s="61">
        <f>'A) Base RI'!A163</f>
        <v>5655</v>
      </c>
      <c r="B161" s="13" t="str">
        <f>'A) Base RI'!B163</f>
        <v>Yens</v>
      </c>
      <c r="C161" s="125">
        <f>'A) Base RI'!AN163</f>
        <v>1405</v>
      </c>
      <c r="D161" s="147">
        <f>'D) Ecrêtage'!N161</f>
        <v>48.474933944327994</v>
      </c>
      <c r="E161" s="44">
        <f t="shared" si="9"/>
        <v>0</v>
      </c>
      <c r="F161" s="369">
        <f t="shared" si="11"/>
        <v>0</v>
      </c>
      <c r="G161" s="43">
        <f>'A) Base RI'!AM163</f>
        <v>73</v>
      </c>
      <c r="H161" s="370">
        <f t="shared" si="10"/>
        <v>1.0751213421185308</v>
      </c>
      <c r="I161" s="74">
        <f t="shared" si="12"/>
        <v>0</v>
      </c>
    </row>
    <row r="162" spans="1:9" x14ac:dyDescent="0.25">
      <c r="A162" s="61">
        <f>'A) Base RI'!A164</f>
        <v>5661</v>
      </c>
      <c r="B162" s="13" t="str">
        <f>'A) Base RI'!B164</f>
        <v>Boulens</v>
      </c>
      <c r="C162" s="125">
        <f>'A) Base RI'!AN164</f>
        <v>325</v>
      </c>
      <c r="D162" s="147">
        <f>'D) Ecrêtage'!N162</f>
        <v>22.392231353456673</v>
      </c>
      <c r="E162" s="44">
        <f t="shared" si="9"/>
        <v>21.699782137512926</v>
      </c>
      <c r="F162" s="369">
        <f t="shared" si="11"/>
        <v>150428.314722774</v>
      </c>
      <c r="G162" s="43">
        <f>'A) Base RI'!AM164</f>
        <v>79</v>
      </c>
      <c r="H162" s="370">
        <f t="shared" si="10"/>
        <v>1.1634874798269033</v>
      </c>
      <c r="I162" s="74">
        <f t="shared" si="12"/>
        <v>175021.46079140858</v>
      </c>
    </row>
    <row r="163" spans="1:9" x14ac:dyDescent="0.25">
      <c r="A163" s="61">
        <f>'A) Base RI'!A165</f>
        <v>5663</v>
      </c>
      <c r="B163" s="13" t="str">
        <f>'A) Base RI'!B165</f>
        <v>Bussy-sur-Moudon</v>
      </c>
      <c r="C163" s="125">
        <f>'A) Base RI'!AN165</f>
        <v>198</v>
      </c>
      <c r="D163" s="147">
        <f>'D) Ecrêtage'!N163</f>
        <v>25.247999999999998</v>
      </c>
      <c r="E163" s="44">
        <f t="shared" si="9"/>
        <v>18.844013490969601</v>
      </c>
      <c r="F163" s="369">
        <f t="shared" si="11"/>
        <v>80592.076898178799</v>
      </c>
      <c r="G163" s="43">
        <f>'A) Base RI'!AM165</f>
        <v>80</v>
      </c>
      <c r="H163" s="370">
        <f t="shared" si="10"/>
        <v>1.1782151694449652</v>
      </c>
      <c r="I163" s="74">
        <f t="shared" si="12"/>
        <v>94954.807538509398</v>
      </c>
    </row>
    <row r="164" spans="1:9" x14ac:dyDescent="0.25">
      <c r="A164" s="61">
        <f>'A) Base RI'!A166</f>
        <v>5665</v>
      </c>
      <c r="B164" s="13" t="str">
        <f>'A) Base RI'!B166</f>
        <v>Chavannes-sur-Moudon</v>
      </c>
      <c r="C164" s="125">
        <f>'A) Base RI'!AN166</f>
        <v>224</v>
      </c>
      <c r="D164" s="147">
        <f>'D) Ecrêtage'!N164</f>
        <v>21.582659970238094</v>
      </c>
      <c r="E164" s="44">
        <f t="shared" si="9"/>
        <v>22.509353520731505</v>
      </c>
      <c r="F164" s="369">
        <f t="shared" si="11"/>
        <v>98018.330467236578</v>
      </c>
      <c r="G164" s="43">
        <f>'A) Base RI'!AM166</f>
        <v>72</v>
      </c>
      <c r="H164" s="370">
        <f t="shared" si="10"/>
        <v>1.0603936525004687</v>
      </c>
      <c r="I164" s="74">
        <f t="shared" si="12"/>
        <v>103938.01545615097</v>
      </c>
    </row>
    <row r="165" spans="1:9" x14ac:dyDescent="0.25">
      <c r="A165" s="61">
        <f>'A) Base RI'!A167</f>
        <v>5669</v>
      </c>
      <c r="B165" s="13" t="str">
        <f>'A) Base RI'!B167</f>
        <v>Curtilles</v>
      </c>
      <c r="C165" s="125">
        <f>'A) Base RI'!AN167</f>
        <v>311</v>
      </c>
      <c r="D165" s="147">
        <f>'D) Ecrêtage'!N165</f>
        <v>27.999356466595213</v>
      </c>
      <c r="E165" s="44">
        <f t="shared" si="9"/>
        <v>16.092657024374386</v>
      </c>
      <c r="F165" s="369">
        <f t="shared" si="11"/>
        <v>97293.629544243653</v>
      </c>
      <c r="G165" s="43">
        <f>'A) Base RI'!AM167</f>
        <v>72</v>
      </c>
      <c r="H165" s="370">
        <f t="shared" si="10"/>
        <v>1.0603936525004687</v>
      </c>
      <c r="I165" s="74">
        <f t="shared" si="12"/>
        <v>103169.54719744803</v>
      </c>
    </row>
    <row r="166" spans="1:9" x14ac:dyDescent="0.25">
      <c r="A166" s="61">
        <f>'A) Base RI'!A168</f>
        <v>5671</v>
      </c>
      <c r="B166" s="13" t="str">
        <f>'A) Base RI'!B168</f>
        <v>Dompierre</v>
      </c>
      <c r="C166" s="125">
        <f>'A) Base RI'!AN168</f>
        <v>247</v>
      </c>
      <c r="D166" s="147">
        <f>'D) Ecrêtage'!N166</f>
        <v>25.20929048582996</v>
      </c>
      <c r="E166" s="44">
        <f t="shared" si="9"/>
        <v>18.882723005139638</v>
      </c>
      <c r="F166" s="369">
        <f t="shared" si="11"/>
        <v>100743.103777021</v>
      </c>
      <c r="G166" s="43">
        <f>'A) Base RI'!AM168</f>
        <v>80</v>
      </c>
      <c r="H166" s="370">
        <f t="shared" si="10"/>
        <v>1.1782151694449652</v>
      </c>
      <c r="I166" s="74">
        <f t="shared" si="12"/>
        <v>118697.0530870545</v>
      </c>
    </row>
    <row r="167" spans="1:9" x14ac:dyDescent="0.25">
      <c r="A167" s="61">
        <f>'A) Base RI'!A169</f>
        <v>5673</v>
      </c>
      <c r="B167" s="13" t="str">
        <f>'A) Base RI'!B169</f>
        <v>Hermenches</v>
      </c>
      <c r="C167" s="125">
        <f>'A) Base RI'!AN169</f>
        <v>382</v>
      </c>
      <c r="D167" s="147">
        <f>'D) Ecrêtage'!N167</f>
        <v>23.178781384525887</v>
      </c>
      <c r="E167" s="44">
        <f t="shared" si="9"/>
        <v>20.913232106443711</v>
      </c>
      <c r="F167" s="369">
        <f t="shared" si="11"/>
        <v>161774.30695939536</v>
      </c>
      <c r="G167" s="43">
        <f>'A) Base RI'!AM169</f>
        <v>75</v>
      </c>
      <c r="H167" s="370">
        <f t="shared" si="10"/>
        <v>1.1045767213546549</v>
      </c>
      <c r="I167" s="74">
        <f t="shared" si="12"/>
        <v>178692.13358063044</v>
      </c>
    </row>
    <row r="168" spans="1:9" x14ac:dyDescent="0.25">
      <c r="A168" s="61">
        <f>'A) Base RI'!A170</f>
        <v>5674</v>
      </c>
      <c r="B168" s="13" t="str">
        <f>'A) Base RI'!B170</f>
        <v>Lovatens</v>
      </c>
      <c r="C168" s="125">
        <f>'A) Base RI'!AN170</f>
        <v>151</v>
      </c>
      <c r="D168" s="147">
        <f>'D) Ecrêtage'!N168</f>
        <v>22.168422075055187</v>
      </c>
      <c r="E168" s="44">
        <f t="shared" si="9"/>
        <v>21.923591415914412</v>
      </c>
      <c r="F168" s="369">
        <f t="shared" si="11"/>
        <v>67036.861652012303</v>
      </c>
      <c r="G168" s="43">
        <f>'A) Base RI'!AM170</f>
        <v>75</v>
      </c>
      <c r="H168" s="370">
        <f t="shared" si="10"/>
        <v>1.1045767213546549</v>
      </c>
      <c r="I168" s="74">
        <f t="shared" si="12"/>
        <v>74047.35685348534</v>
      </c>
    </row>
    <row r="169" spans="1:9" x14ac:dyDescent="0.25">
      <c r="A169" s="61">
        <f>'A) Base RI'!A171</f>
        <v>5675</v>
      </c>
      <c r="B169" s="13" t="str">
        <f>'A) Base RI'!B171</f>
        <v>Lucens</v>
      </c>
      <c r="C169" s="125">
        <f>'A) Base RI'!AN171</f>
        <v>3890</v>
      </c>
      <c r="D169" s="147">
        <f>'D) Ecrêtage'!N169</f>
        <v>23.573861501012349</v>
      </c>
      <c r="E169" s="44">
        <f t="shared" si="9"/>
        <v>20.51815198995725</v>
      </c>
      <c r="F169" s="369">
        <f t="shared" si="11"/>
        <v>1461104.5793765325</v>
      </c>
      <c r="G169" s="43">
        <f>'A) Base RI'!AM171</f>
        <v>67.8</v>
      </c>
      <c r="H169" s="370">
        <f t="shared" si="10"/>
        <v>0.99853735610460803</v>
      </c>
      <c r="I169" s="74">
        <f t="shared" si="12"/>
        <v>1458967.5036829782</v>
      </c>
    </row>
    <row r="170" spans="1:9" x14ac:dyDescent="0.25">
      <c r="A170" s="61">
        <f>'A) Base RI'!A172</f>
        <v>5678</v>
      </c>
      <c r="B170" s="13" t="str">
        <f>'A) Base RI'!B172</f>
        <v>Moudon</v>
      </c>
      <c r="C170" s="125">
        <f>'A) Base RI'!AN172</f>
        <v>5770</v>
      </c>
      <c r="D170" s="147">
        <f>'D) Ecrêtage'!N170</f>
        <v>21.154325199306754</v>
      </c>
      <c r="E170" s="44">
        <f t="shared" si="9"/>
        <v>22.937688291662845</v>
      </c>
      <c r="F170" s="369">
        <f t="shared" si="11"/>
        <v>2680096.8442186159</v>
      </c>
      <c r="G170" s="43">
        <f>'A) Base RI'!AM172</f>
        <v>75</v>
      </c>
      <c r="H170" s="370">
        <f t="shared" si="10"/>
        <v>1.1045767213546549</v>
      </c>
      <c r="I170" s="74">
        <f t="shared" si="12"/>
        <v>2960372.585099956</v>
      </c>
    </row>
    <row r="171" spans="1:9" x14ac:dyDescent="0.25">
      <c r="A171" s="61">
        <f>'A) Base RI'!A173</f>
        <v>5680</v>
      </c>
      <c r="B171" s="13" t="str">
        <f>'A) Base RI'!B173</f>
        <v>Ogens</v>
      </c>
      <c r="C171" s="125">
        <f>'A) Base RI'!AN173</f>
        <v>283</v>
      </c>
      <c r="D171" s="147">
        <f>'D) Ecrêtage'!N171</f>
        <v>28.845826613512127</v>
      </c>
      <c r="E171" s="44">
        <f t="shared" si="9"/>
        <v>15.246186877457472</v>
      </c>
      <c r="F171" s="369">
        <f t="shared" si="11"/>
        <v>90866.968865909002</v>
      </c>
      <c r="G171" s="43">
        <f>'A) Base RI'!AM173</f>
        <v>78</v>
      </c>
      <c r="H171" s="370">
        <f t="shared" si="10"/>
        <v>1.1487597902088411</v>
      </c>
      <c r="I171" s="74">
        <f t="shared" si="12"/>
        <v>104384.32009131492</v>
      </c>
    </row>
    <row r="172" spans="1:9" x14ac:dyDescent="0.25">
      <c r="A172" s="61">
        <f>'A) Base RI'!A174</f>
        <v>5683</v>
      </c>
      <c r="B172" s="13" t="str">
        <f>'A) Base RI'!B174</f>
        <v>Prévonloup</v>
      </c>
      <c r="C172" s="125">
        <f>'A) Base RI'!AN174</f>
        <v>172</v>
      </c>
      <c r="D172" s="147">
        <f>'D) Ecrêtage'!N172</f>
        <v>21.037801697045886</v>
      </c>
      <c r="E172" s="44">
        <f t="shared" si="9"/>
        <v>23.054211793923713</v>
      </c>
      <c r="F172" s="369">
        <f t="shared" si="11"/>
        <v>79227.182082526473</v>
      </c>
      <c r="G172" s="43">
        <f>'A) Base RI'!AM174</f>
        <v>74</v>
      </c>
      <c r="H172" s="370">
        <f t="shared" si="10"/>
        <v>1.0898490317365928</v>
      </c>
      <c r="I172" s="74">
        <f t="shared" si="12"/>
        <v>86345.667679860213</v>
      </c>
    </row>
    <row r="173" spans="1:9" x14ac:dyDescent="0.25">
      <c r="A173" s="61">
        <f>'A) Base RI'!A175</f>
        <v>5684</v>
      </c>
      <c r="B173" s="13" t="str">
        <f>'A) Base RI'!B175</f>
        <v>Rossenges</v>
      </c>
      <c r="C173" s="125">
        <f>'A) Base RI'!AN175</f>
        <v>65</v>
      </c>
      <c r="D173" s="147">
        <f>'D) Ecrêtage'!N173</f>
        <v>40.180610256410255</v>
      </c>
      <c r="E173" s="44">
        <f t="shared" si="9"/>
        <v>3.9114032345593444</v>
      </c>
      <c r="F173" s="369">
        <f t="shared" si="11"/>
        <v>4118.7076059909896</v>
      </c>
      <c r="G173" s="43">
        <f>'A) Base RI'!AM175</f>
        <v>60</v>
      </c>
      <c r="H173" s="370">
        <f t="shared" si="10"/>
        <v>0.88366137708372394</v>
      </c>
      <c r="I173" s="74">
        <f t="shared" si="12"/>
        <v>3639.5428349152057</v>
      </c>
    </row>
    <row r="174" spans="1:9" x14ac:dyDescent="0.25">
      <c r="A174" s="61">
        <f>'A) Base RI'!A176</f>
        <v>5688</v>
      </c>
      <c r="B174" s="13" t="str">
        <f>'A) Base RI'!B176</f>
        <v>Syens</v>
      </c>
      <c r="C174" s="125">
        <f>'A) Base RI'!AN176</f>
        <v>139</v>
      </c>
      <c r="D174" s="147">
        <f>'D) Ecrêtage'!N174</f>
        <v>38.745588291271766</v>
      </c>
      <c r="E174" s="44">
        <f t="shared" si="9"/>
        <v>5.3464251996978334</v>
      </c>
      <c r="F174" s="369">
        <f t="shared" si="11"/>
        <v>15169.241133496271</v>
      </c>
      <c r="G174" s="43">
        <f>'A) Base RI'!AM176</f>
        <v>75.599999999999994</v>
      </c>
      <c r="H174" s="370">
        <f t="shared" si="10"/>
        <v>1.113413335125492</v>
      </c>
      <c r="I174" s="74">
        <f t="shared" si="12"/>
        <v>16889.63536176888</v>
      </c>
    </row>
    <row r="175" spans="1:9" x14ac:dyDescent="0.25">
      <c r="A175" s="61">
        <f>'A) Base RI'!A177</f>
        <v>5690</v>
      </c>
      <c r="B175" s="13" t="str">
        <f>'A) Base RI'!B177</f>
        <v>Villars-le-Comte</v>
      </c>
      <c r="C175" s="125">
        <f>'A) Base RI'!AN177</f>
        <v>150</v>
      </c>
      <c r="D175" s="147">
        <f>'D) Ecrêtage'!N175</f>
        <v>22.504325438596492</v>
      </c>
      <c r="E175" s="44">
        <f t="shared" si="9"/>
        <v>21.587688052373107</v>
      </c>
      <c r="F175" s="369">
        <f t="shared" si="11"/>
        <v>66446.903825204427</v>
      </c>
      <c r="G175" s="43">
        <f>'A) Base RI'!AM177</f>
        <v>76</v>
      </c>
      <c r="H175" s="370">
        <f t="shared" si="10"/>
        <v>1.119304410972717</v>
      </c>
      <c r="I175" s="74">
        <f t="shared" si="12"/>
        <v>74374.312547031222</v>
      </c>
    </row>
    <row r="176" spans="1:9" x14ac:dyDescent="0.25">
      <c r="A176" s="61">
        <f>'A) Base RI'!A178</f>
        <v>5692</v>
      </c>
      <c r="B176" s="13" t="str">
        <f>'A) Base RI'!B178</f>
        <v>Vucherens</v>
      </c>
      <c r="C176" s="125">
        <f>'A) Base RI'!AN178</f>
        <v>543</v>
      </c>
      <c r="D176" s="147">
        <f>'D) Ecrêtage'!N176</f>
        <v>27.856147982376395</v>
      </c>
      <c r="E176" s="44">
        <f t="shared" si="9"/>
        <v>16.235865508593204</v>
      </c>
      <c r="F176" s="369">
        <f t="shared" si="11"/>
        <v>188046.87913497316</v>
      </c>
      <c r="G176" s="43">
        <f>'A) Base RI'!AM178</f>
        <v>79</v>
      </c>
      <c r="H176" s="370">
        <f t="shared" si="10"/>
        <v>1.1634874798269033</v>
      </c>
      <c r="I176" s="74">
        <f t="shared" si="12"/>
        <v>218790.18949406419</v>
      </c>
    </row>
    <row r="177" spans="1:9" x14ac:dyDescent="0.25">
      <c r="A177" s="61">
        <f>'A) Base RI'!A179</f>
        <v>5693</v>
      </c>
      <c r="B177" s="13" t="str">
        <f>'A) Base RI'!B179</f>
        <v>Montanaire</v>
      </c>
      <c r="C177" s="125">
        <f>'A) Base RI'!AN179</f>
        <v>2421</v>
      </c>
      <c r="D177" s="147">
        <f>'D) Ecrêtage'!N177</f>
        <v>26.017263756941585</v>
      </c>
      <c r="E177" s="44">
        <f t="shared" si="9"/>
        <v>18.074749734028014</v>
      </c>
      <c r="F177" s="369">
        <f t="shared" si="11"/>
        <v>850674.35942223063</v>
      </c>
      <c r="G177" s="43">
        <f>'A) Base RI'!AM179</f>
        <v>72</v>
      </c>
      <c r="H177" s="370">
        <f t="shared" si="10"/>
        <v>1.0603936525004687</v>
      </c>
      <c r="I177" s="74">
        <f t="shared" si="12"/>
        <v>902049.69107623561</v>
      </c>
    </row>
    <row r="178" spans="1:9" x14ac:dyDescent="0.25">
      <c r="A178" s="61">
        <f>'A) Base RI'!A180</f>
        <v>5701</v>
      </c>
      <c r="B178" s="13" t="str">
        <f>'A) Base RI'!B180</f>
        <v>Arnex-sur-Nyon</v>
      </c>
      <c r="C178" s="125">
        <f>'A) Base RI'!AN180</f>
        <v>208</v>
      </c>
      <c r="D178" s="147">
        <f>'D) Ecrêtage'!N178</f>
        <v>65.674549985620871</v>
      </c>
      <c r="E178" s="44">
        <f t="shared" si="9"/>
        <v>0</v>
      </c>
      <c r="F178" s="369">
        <f t="shared" si="11"/>
        <v>0</v>
      </c>
      <c r="G178" s="43">
        <f>'A) Base RI'!AM180</f>
        <v>65</v>
      </c>
      <c r="H178" s="370">
        <f t="shared" si="10"/>
        <v>0.95729982517403422</v>
      </c>
      <c r="I178" s="74">
        <f t="shared" si="12"/>
        <v>0</v>
      </c>
    </row>
    <row r="179" spans="1:9" x14ac:dyDescent="0.25">
      <c r="A179" s="61">
        <f>'A) Base RI'!A181</f>
        <v>5702</v>
      </c>
      <c r="B179" s="13" t="str">
        <f>'A) Base RI'!B181</f>
        <v>Arzier-Le Muids</v>
      </c>
      <c r="C179" s="125">
        <f>'A) Base RI'!AN181</f>
        <v>2506</v>
      </c>
      <c r="D179" s="147">
        <f>'D) Ecrêtage'!N179</f>
        <v>54.738369334139875</v>
      </c>
      <c r="E179" s="44">
        <f t="shared" si="9"/>
        <v>0</v>
      </c>
      <c r="F179" s="369">
        <f t="shared" si="11"/>
        <v>0</v>
      </c>
      <c r="G179" s="43">
        <f>'A) Base RI'!AM181</f>
        <v>64</v>
      </c>
      <c r="H179" s="370">
        <f t="shared" si="10"/>
        <v>0.94257213555597219</v>
      </c>
      <c r="I179" s="74">
        <f t="shared" si="12"/>
        <v>0</v>
      </c>
    </row>
    <row r="180" spans="1:9" x14ac:dyDescent="0.25">
      <c r="A180" s="61">
        <f>'A) Base RI'!A182</f>
        <v>5703</v>
      </c>
      <c r="B180" s="13" t="str">
        <f>'A) Base RI'!B182</f>
        <v>Bassins</v>
      </c>
      <c r="C180" s="125">
        <f>'A) Base RI'!AN182</f>
        <v>1320</v>
      </c>
      <c r="D180" s="147">
        <f>'D) Ecrêtage'!N180</f>
        <v>39.10427859581732</v>
      </c>
      <c r="E180" s="44">
        <f t="shared" si="9"/>
        <v>4.9877348951522791</v>
      </c>
      <c r="F180" s="369">
        <f t="shared" si="11"/>
        <v>126211.63888089135</v>
      </c>
      <c r="G180" s="43">
        <f>'A) Base RI'!AM182</f>
        <v>71</v>
      </c>
      <c r="H180" s="370">
        <f t="shared" si="10"/>
        <v>1.0456659628824065</v>
      </c>
      <c r="I180" s="74">
        <f t="shared" si="12"/>
        <v>131975.21489735384</v>
      </c>
    </row>
    <row r="181" spans="1:9" x14ac:dyDescent="0.25">
      <c r="A181" s="61">
        <f>'A) Base RI'!A183</f>
        <v>5704</v>
      </c>
      <c r="B181" s="13" t="str">
        <f>'A) Base RI'!B183</f>
        <v>Begnins</v>
      </c>
      <c r="C181" s="125">
        <f>'A) Base RI'!AN183</f>
        <v>1802</v>
      </c>
      <c r="D181" s="147">
        <f>'D) Ecrêtage'!N181</f>
        <v>59.175080220269137</v>
      </c>
      <c r="E181" s="44">
        <f t="shared" si="9"/>
        <v>0</v>
      </c>
      <c r="F181" s="369">
        <f t="shared" si="11"/>
        <v>0</v>
      </c>
      <c r="G181" s="43">
        <f>'A) Base RI'!AM183</f>
        <v>67</v>
      </c>
      <c r="H181" s="370">
        <f t="shared" si="10"/>
        <v>0.9867552044101584</v>
      </c>
      <c r="I181" s="74">
        <f t="shared" si="12"/>
        <v>0</v>
      </c>
    </row>
    <row r="182" spans="1:9" x14ac:dyDescent="0.25">
      <c r="A182" s="61">
        <f>'A) Base RI'!A184</f>
        <v>5705</v>
      </c>
      <c r="B182" s="13" t="str">
        <f>'A) Base RI'!B184</f>
        <v>Bogis-Bossey</v>
      </c>
      <c r="C182" s="125">
        <f>'A) Base RI'!AN184</f>
        <v>830</v>
      </c>
      <c r="D182" s="147">
        <f>'D) Ecrêtage'!N182</f>
        <v>58.34433578399566</v>
      </c>
      <c r="E182" s="44">
        <f t="shared" si="9"/>
        <v>0</v>
      </c>
      <c r="F182" s="369">
        <f t="shared" si="11"/>
        <v>0</v>
      </c>
      <c r="G182" s="43">
        <f>'A) Base RI'!AM184</f>
        <v>64</v>
      </c>
      <c r="H182" s="370">
        <f t="shared" si="10"/>
        <v>0.94257213555597219</v>
      </c>
      <c r="I182" s="74">
        <f t="shared" si="12"/>
        <v>0</v>
      </c>
    </row>
    <row r="183" spans="1:9" x14ac:dyDescent="0.25">
      <c r="A183" s="61">
        <f>'A) Base RI'!A185</f>
        <v>5706</v>
      </c>
      <c r="B183" s="13" t="str">
        <f>'A) Base RI'!B185</f>
        <v>Borex</v>
      </c>
      <c r="C183" s="125">
        <f>'A) Base RI'!AN185</f>
        <v>1049</v>
      </c>
      <c r="D183" s="147">
        <f>'D) Ecrêtage'!N183</f>
        <v>57.34995028994441</v>
      </c>
      <c r="E183" s="44">
        <f t="shared" si="9"/>
        <v>0</v>
      </c>
      <c r="F183" s="369">
        <f t="shared" si="11"/>
        <v>0</v>
      </c>
      <c r="G183" s="43">
        <f>'A) Base RI'!AM185</f>
        <v>55</v>
      </c>
      <c r="H183" s="370">
        <f t="shared" si="10"/>
        <v>0.81002292899341355</v>
      </c>
      <c r="I183" s="74">
        <f t="shared" si="12"/>
        <v>0</v>
      </c>
    </row>
    <row r="184" spans="1:9" x14ac:dyDescent="0.25">
      <c r="A184" s="61">
        <f>'A) Base RI'!A186</f>
        <v>5707</v>
      </c>
      <c r="B184" s="13" t="str">
        <f>'A) Base RI'!B186</f>
        <v>Chavannes-de-Bogis</v>
      </c>
      <c r="C184" s="125">
        <f>'A) Base RI'!AN186</f>
        <v>1155</v>
      </c>
      <c r="D184" s="147">
        <f>'D) Ecrêtage'!N184</f>
        <v>71.87299091189854</v>
      </c>
      <c r="E184" s="44">
        <f t="shared" si="9"/>
        <v>0</v>
      </c>
      <c r="F184" s="369">
        <f t="shared" si="11"/>
        <v>0</v>
      </c>
      <c r="G184" s="43">
        <f>'A) Base RI'!AM186</f>
        <v>59</v>
      </c>
      <c r="H184" s="370">
        <f t="shared" si="10"/>
        <v>0.86893368746566191</v>
      </c>
      <c r="I184" s="74">
        <f t="shared" si="12"/>
        <v>0</v>
      </c>
    </row>
    <row r="185" spans="1:9" x14ac:dyDescent="0.25">
      <c r="A185" s="61">
        <f>'A) Base RI'!A187</f>
        <v>5708</v>
      </c>
      <c r="B185" s="13" t="str">
        <f>'A) Base RI'!B187</f>
        <v>Chavannes-des-Bois</v>
      </c>
      <c r="C185" s="125">
        <f>'A) Base RI'!AN187</f>
        <v>807</v>
      </c>
      <c r="D185" s="147">
        <f>'D) Ecrêtage'!N185</f>
        <v>71.007826043502931</v>
      </c>
      <c r="E185" s="44">
        <f t="shared" si="9"/>
        <v>0</v>
      </c>
      <c r="F185" s="369">
        <f t="shared" si="11"/>
        <v>0</v>
      </c>
      <c r="G185" s="43">
        <f>'A) Base RI'!AM187</f>
        <v>61</v>
      </c>
      <c r="H185" s="370">
        <f t="shared" si="10"/>
        <v>0.89838906670178598</v>
      </c>
      <c r="I185" s="74">
        <f t="shared" si="12"/>
        <v>0</v>
      </c>
    </row>
    <row r="186" spans="1:9" x14ac:dyDescent="0.25">
      <c r="A186" s="61">
        <f>'A) Base RI'!A188</f>
        <v>5709</v>
      </c>
      <c r="B186" s="13" t="str">
        <f>'A) Base RI'!B188</f>
        <v>Chéserex</v>
      </c>
      <c r="C186" s="125">
        <f>'A) Base RI'!AN188</f>
        <v>1174</v>
      </c>
      <c r="D186" s="147">
        <f>'D) Ecrêtage'!N186</f>
        <v>85.718804529026571</v>
      </c>
      <c r="E186" s="44">
        <f t="shared" si="9"/>
        <v>0</v>
      </c>
      <c r="F186" s="369">
        <f t="shared" si="11"/>
        <v>0</v>
      </c>
      <c r="G186" s="43">
        <f>'A) Base RI'!AM188</f>
        <v>52</v>
      </c>
      <c r="H186" s="370">
        <f t="shared" si="10"/>
        <v>0.76583986013922745</v>
      </c>
      <c r="I186" s="74">
        <f t="shared" si="12"/>
        <v>0</v>
      </c>
    </row>
    <row r="187" spans="1:9" x14ac:dyDescent="0.25">
      <c r="A187" s="61">
        <f>'A) Base RI'!A189</f>
        <v>5710</v>
      </c>
      <c r="B187" s="13" t="str">
        <f>'A) Base RI'!B189</f>
        <v>Coinsins</v>
      </c>
      <c r="C187" s="125">
        <f>'A) Base RI'!AN189</f>
        <v>435</v>
      </c>
      <c r="D187" s="147">
        <f>'D) Ecrêtage'!N187</f>
        <v>179.94272193331986</v>
      </c>
      <c r="E187" s="44">
        <f t="shared" si="9"/>
        <v>0</v>
      </c>
      <c r="F187" s="369">
        <f t="shared" si="11"/>
        <v>0</v>
      </c>
      <c r="G187" s="43">
        <f>'A) Base RI'!AM189</f>
        <v>41</v>
      </c>
      <c r="H187" s="370">
        <f t="shared" si="10"/>
        <v>0.60383527434054474</v>
      </c>
      <c r="I187" s="74">
        <f t="shared" si="12"/>
        <v>0</v>
      </c>
    </row>
    <row r="188" spans="1:9" x14ac:dyDescent="0.25">
      <c r="A188" s="61">
        <f>'A) Base RI'!A190</f>
        <v>5711</v>
      </c>
      <c r="B188" s="13" t="str">
        <f>'A) Base RI'!B190</f>
        <v>Commugny</v>
      </c>
      <c r="C188" s="125">
        <f>'A) Base RI'!AN190</f>
        <v>2591</v>
      </c>
      <c r="D188" s="147">
        <f>'D) Ecrêtage'!N188</f>
        <v>81.250371456134033</v>
      </c>
      <c r="E188" s="44">
        <f t="shared" si="9"/>
        <v>0</v>
      </c>
      <c r="F188" s="369">
        <f t="shared" si="11"/>
        <v>0</v>
      </c>
      <c r="G188" s="43">
        <f>'A) Base RI'!AM190</f>
        <v>58</v>
      </c>
      <c r="H188" s="370">
        <f t="shared" si="10"/>
        <v>0.85420599784759976</v>
      </c>
      <c r="I188" s="74">
        <f t="shared" si="12"/>
        <v>0</v>
      </c>
    </row>
    <row r="189" spans="1:9" x14ac:dyDescent="0.25">
      <c r="A189" s="61">
        <f>'A) Base RI'!A191</f>
        <v>5712</v>
      </c>
      <c r="B189" s="13" t="str">
        <f>'A) Base RI'!B191</f>
        <v>Coppet</v>
      </c>
      <c r="C189" s="125">
        <f>'A) Base RI'!AN191</f>
        <v>2936</v>
      </c>
      <c r="D189" s="147">
        <f>'D) Ecrêtage'!N189</f>
        <v>90.171563401965969</v>
      </c>
      <c r="E189" s="44">
        <f t="shared" si="9"/>
        <v>0</v>
      </c>
      <c r="F189" s="369">
        <f t="shared" si="11"/>
        <v>0</v>
      </c>
      <c r="G189" s="43">
        <f>'A) Base RI'!AM191</f>
        <v>53</v>
      </c>
      <c r="H189" s="370">
        <f t="shared" si="10"/>
        <v>0.78056754975728948</v>
      </c>
      <c r="I189" s="74">
        <f t="shared" si="12"/>
        <v>0</v>
      </c>
    </row>
    <row r="190" spans="1:9" x14ac:dyDescent="0.25">
      <c r="A190" s="61">
        <f>'A) Base RI'!A192</f>
        <v>5713</v>
      </c>
      <c r="B190" s="13" t="str">
        <f>'A) Base RI'!B192</f>
        <v>Crans-près-Céligny</v>
      </c>
      <c r="C190" s="125">
        <f>'A) Base RI'!AN192</f>
        <v>2044</v>
      </c>
      <c r="D190" s="147">
        <f>'D) Ecrêtage'!N190</f>
        <v>103.78867136348823</v>
      </c>
      <c r="E190" s="44">
        <f t="shared" si="9"/>
        <v>0</v>
      </c>
      <c r="F190" s="369">
        <f t="shared" si="11"/>
        <v>0</v>
      </c>
      <c r="G190" s="43">
        <f>'A) Base RI'!AM192</f>
        <v>53</v>
      </c>
      <c r="H190" s="370">
        <f t="shared" si="10"/>
        <v>0.78056754975728948</v>
      </c>
      <c r="I190" s="74">
        <f t="shared" si="12"/>
        <v>0</v>
      </c>
    </row>
    <row r="191" spans="1:9" x14ac:dyDescent="0.25">
      <c r="A191" s="61">
        <f>'A) Base RI'!A193</f>
        <v>5714</v>
      </c>
      <c r="B191" s="13" t="str">
        <f>'A) Base RI'!B193</f>
        <v>Crassier</v>
      </c>
      <c r="C191" s="125">
        <f>'A) Base RI'!AN193</f>
        <v>1141</v>
      </c>
      <c r="D191" s="147">
        <f>'D) Ecrêtage'!N191</f>
        <v>63.103394118682786</v>
      </c>
      <c r="E191" s="44">
        <f t="shared" si="9"/>
        <v>0</v>
      </c>
      <c r="F191" s="369">
        <f t="shared" si="11"/>
        <v>0</v>
      </c>
      <c r="G191" s="43">
        <f>'A) Base RI'!AM193</f>
        <v>64</v>
      </c>
      <c r="H191" s="370">
        <f t="shared" si="10"/>
        <v>0.94257213555597219</v>
      </c>
      <c r="I191" s="74">
        <f t="shared" si="12"/>
        <v>0</v>
      </c>
    </row>
    <row r="192" spans="1:9" x14ac:dyDescent="0.25">
      <c r="A192" s="61">
        <f>'A) Base RI'!A194</f>
        <v>5715</v>
      </c>
      <c r="B192" s="13" t="str">
        <f>'A) Base RI'!B194</f>
        <v>Duillier</v>
      </c>
      <c r="C192" s="125">
        <f>'A) Base RI'!AN194</f>
        <v>998</v>
      </c>
      <c r="D192" s="147">
        <f>'D) Ecrêtage'!N192</f>
        <v>57.516642330731713</v>
      </c>
      <c r="E192" s="44">
        <f t="shared" si="9"/>
        <v>0</v>
      </c>
      <c r="F192" s="369">
        <f t="shared" si="11"/>
        <v>0</v>
      </c>
      <c r="G192" s="43">
        <f>'A) Base RI'!AM194</f>
        <v>66</v>
      </c>
      <c r="H192" s="370">
        <f t="shared" si="10"/>
        <v>0.97202751479209637</v>
      </c>
      <c r="I192" s="74">
        <f t="shared" si="12"/>
        <v>0</v>
      </c>
    </row>
    <row r="193" spans="1:9" x14ac:dyDescent="0.25">
      <c r="A193" s="61">
        <f>'A) Base RI'!A195</f>
        <v>5716</v>
      </c>
      <c r="B193" s="13" t="str">
        <f>'A) Base RI'!B195</f>
        <v>Eysins</v>
      </c>
      <c r="C193" s="125">
        <f>'A) Base RI'!AN195</f>
        <v>1469</v>
      </c>
      <c r="D193" s="147">
        <f>'D) Ecrêtage'!N193</f>
        <v>76.533688438918631</v>
      </c>
      <c r="E193" s="44">
        <f t="shared" si="9"/>
        <v>0</v>
      </c>
      <c r="F193" s="369">
        <f t="shared" si="11"/>
        <v>0</v>
      </c>
      <c r="G193" s="43">
        <f>'A) Base RI'!AM195</f>
        <v>61</v>
      </c>
      <c r="H193" s="370">
        <f t="shared" si="10"/>
        <v>0.89838906670178598</v>
      </c>
      <c r="I193" s="74">
        <f t="shared" si="12"/>
        <v>0</v>
      </c>
    </row>
    <row r="194" spans="1:9" x14ac:dyDescent="0.25">
      <c r="A194" s="61">
        <f>'A) Base RI'!A196</f>
        <v>5717</v>
      </c>
      <c r="B194" s="13" t="str">
        <f>'A) Base RI'!B196</f>
        <v>Founex</v>
      </c>
      <c r="C194" s="125">
        <f>'A) Base RI'!AN196</f>
        <v>3372</v>
      </c>
      <c r="D194" s="147">
        <f>'D) Ecrêtage'!N194</f>
        <v>88.279972932381455</v>
      </c>
      <c r="E194" s="44">
        <f t="shared" si="9"/>
        <v>0</v>
      </c>
      <c r="F194" s="369">
        <f t="shared" si="11"/>
        <v>0</v>
      </c>
      <c r="G194" s="43">
        <f>'A) Base RI'!AM196</f>
        <v>57</v>
      </c>
      <c r="H194" s="370">
        <f t="shared" si="10"/>
        <v>0.83947830822953773</v>
      </c>
      <c r="I194" s="74">
        <f t="shared" si="12"/>
        <v>0</v>
      </c>
    </row>
    <row r="195" spans="1:9" x14ac:dyDescent="0.25">
      <c r="A195" s="61">
        <f>'A) Base RI'!A197</f>
        <v>5718</v>
      </c>
      <c r="B195" s="13" t="str">
        <f>'A) Base RI'!B197</f>
        <v>Genolier</v>
      </c>
      <c r="C195" s="125">
        <f>'A) Base RI'!AN197</f>
        <v>1890</v>
      </c>
      <c r="D195" s="147">
        <f>'D) Ecrêtage'!N195</f>
        <v>71.920772275693054</v>
      </c>
      <c r="E195" s="44">
        <f t="shared" si="9"/>
        <v>0</v>
      </c>
      <c r="F195" s="369">
        <f t="shared" si="11"/>
        <v>0</v>
      </c>
      <c r="G195" s="43">
        <f>'A) Base RI'!AM197</f>
        <v>55</v>
      </c>
      <c r="H195" s="370">
        <f t="shared" si="10"/>
        <v>0.81002292899341355</v>
      </c>
      <c r="I195" s="74">
        <f t="shared" si="12"/>
        <v>0</v>
      </c>
    </row>
    <row r="196" spans="1:9" x14ac:dyDescent="0.25">
      <c r="A196" s="61">
        <f>'A) Base RI'!A198</f>
        <v>5719</v>
      </c>
      <c r="B196" s="13" t="str">
        <f>'A) Base RI'!B198</f>
        <v>Gingins</v>
      </c>
      <c r="C196" s="125">
        <f>'A) Base RI'!AN198</f>
        <v>1204</v>
      </c>
      <c r="D196" s="147">
        <f>'D) Ecrêtage'!N196</f>
        <v>73.382800207456526</v>
      </c>
      <c r="E196" s="44">
        <f t="shared" si="9"/>
        <v>0</v>
      </c>
      <c r="F196" s="369">
        <f t="shared" si="11"/>
        <v>0</v>
      </c>
      <c r="G196" s="43">
        <f>'A) Base RI'!AM198</f>
        <v>57</v>
      </c>
      <c r="H196" s="370">
        <f t="shared" si="10"/>
        <v>0.83947830822953773</v>
      </c>
      <c r="I196" s="74">
        <f t="shared" si="12"/>
        <v>0</v>
      </c>
    </row>
    <row r="197" spans="1:9" x14ac:dyDescent="0.25">
      <c r="A197" s="61">
        <f>'A) Base RI'!A199</f>
        <v>5720</v>
      </c>
      <c r="B197" s="13" t="str">
        <f>'A) Base RI'!B199</f>
        <v>Givrins</v>
      </c>
      <c r="C197" s="125">
        <f>'A) Base RI'!AN199</f>
        <v>971</v>
      </c>
      <c r="D197" s="147">
        <f>'D) Ecrêtage'!N197</f>
        <v>75.693590036124093</v>
      </c>
      <c r="E197" s="44">
        <f t="shared" ref="E197:E260" si="13">IF($D$314-D197&lt;0,0,$D$314-D197)</f>
        <v>0</v>
      </c>
      <c r="F197" s="369">
        <f t="shared" si="11"/>
        <v>0</v>
      </c>
      <c r="G197" s="43">
        <f>'A) Base RI'!AM199</f>
        <v>61</v>
      </c>
      <c r="H197" s="370">
        <f t="shared" ref="H197:H260" si="14">G197/$G$314</f>
        <v>0.89838906670178598</v>
      </c>
      <c r="I197" s="74">
        <f t="shared" si="12"/>
        <v>0</v>
      </c>
    </row>
    <row r="198" spans="1:9" x14ac:dyDescent="0.25">
      <c r="A198" s="61">
        <f>'A) Base RI'!A200</f>
        <v>5721</v>
      </c>
      <c r="B198" s="13" t="str">
        <f>'A) Base RI'!B200</f>
        <v>Gland</v>
      </c>
      <c r="C198" s="125">
        <f>'A) Base RI'!AN200</f>
        <v>12663</v>
      </c>
      <c r="D198" s="147">
        <f>'D) Ecrêtage'!N198</f>
        <v>43.952843192981689</v>
      </c>
      <c r="E198" s="44">
        <f t="shared" si="13"/>
        <v>0.13917029798790992</v>
      </c>
      <c r="F198" s="369">
        <f t="shared" ref="F198:F261" si="15">(C198*E198*G198)*$E$4</f>
        <v>29739.040032727746</v>
      </c>
      <c r="G198" s="43">
        <f>'A) Base RI'!AM200</f>
        <v>62.5</v>
      </c>
      <c r="H198" s="370">
        <f t="shared" si="14"/>
        <v>0.92048060112887908</v>
      </c>
      <c r="I198" s="74">
        <f t="shared" ref="I198:I261" si="16">F198*H198</f>
        <v>27374.209446321034</v>
      </c>
    </row>
    <row r="199" spans="1:9" x14ac:dyDescent="0.25">
      <c r="A199" s="61">
        <f>'A) Base RI'!A201</f>
        <v>5722</v>
      </c>
      <c r="B199" s="13" t="str">
        <f>'A) Base RI'!B201</f>
        <v>Grens</v>
      </c>
      <c r="C199" s="125">
        <f>'A) Base RI'!AN201</f>
        <v>380</v>
      </c>
      <c r="D199" s="147">
        <f>'D) Ecrêtage'!N199</f>
        <v>58.897128605280798</v>
      </c>
      <c r="E199" s="44">
        <f t="shared" si="13"/>
        <v>0</v>
      </c>
      <c r="F199" s="369">
        <f t="shared" si="15"/>
        <v>0</v>
      </c>
      <c r="G199" s="43">
        <f>'A) Base RI'!AM201</f>
        <v>57</v>
      </c>
      <c r="H199" s="370">
        <f t="shared" si="14"/>
        <v>0.83947830822953773</v>
      </c>
      <c r="I199" s="74">
        <f t="shared" si="16"/>
        <v>0</v>
      </c>
    </row>
    <row r="200" spans="1:9" x14ac:dyDescent="0.25">
      <c r="A200" s="61">
        <f>'A) Base RI'!A202</f>
        <v>5723</v>
      </c>
      <c r="B200" s="13" t="str">
        <f>'A) Base RI'!B202</f>
        <v>Mies</v>
      </c>
      <c r="C200" s="125">
        <f>'A) Base RI'!AN202</f>
        <v>1778</v>
      </c>
      <c r="D200" s="147">
        <f>'D) Ecrêtage'!N200</f>
        <v>117.3303707912267</v>
      </c>
      <c r="E200" s="44">
        <f t="shared" si="13"/>
        <v>0</v>
      </c>
      <c r="F200" s="369">
        <f t="shared" si="15"/>
        <v>0</v>
      </c>
      <c r="G200" s="43">
        <f>'A) Base RI'!AM202</f>
        <v>49</v>
      </c>
      <c r="H200" s="370">
        <f t="shared" si="14"/>
        <v>0.72165679128504123</v>
      </c>
      <c r="I200" s="74">
        <f t="shared" si="16"/>
        <v>0</v>
      </c>
    </row>
    <row r="201" spans="1:9" x14ac:dyDescent="0.25">
      <c r="A201" s="61">
        <f>'A) Base RI'!A203</f>
        <v>5724</v>
      </c>
      <c r="B201" s="13" t="str">
        <f>'A) Base RI'!B203</f>
        <v>Nyon</v>
      </c>
      <c r="C201" s="125">
        <f>'A) Base RI'!AN203</f>
        <v>19861</v>
      </c>
      <c r="D201" s="147">
        <f>'D) Ecrêtage'!N201</f>
        <v>65.66566492059242</v>
      </c>
      <c r="E201" s="44">
        <f t="shared" si="13"/>
        <v>0</v>
      </c>
      <c r="F201" s="369">
        <f t="shared" si="15"/>
        <v>0</v>
      </c>
      <c r="G201" s="43">
        <f>'A) Base RI'!AM203</f>
        <v>61</v>
      </c>
      <c r="H201" s="370">
        <f t="shared" si="14"/>
        <v>0.89838906670178598</v>
      </c>
      <c r="I201" s="74">
        <f t="shared" si="16"/>
        <v>0</v>
      </c>
    </row>
    <row r="202" spans="1:9" x14ac:dyDescent="0.25">
      <c r="A202" s="61">
        <f>'A) Base RI'!A204</f>
        <v>5725</v>
      </c>
      <c r="B202" s="13" t="str">
        <f>'A) Base RI'!B204</f>
        <v>Prangins</v>
      </c>
      <c r="C202" s="125">
        <f>'A) Base RI'!AN204</f>
        <v>3976</v>
      </c>
      <c r="D202" s="147">
        <f>'D) Ecrêtage'!N202</f>
        <v>66.391869500958549</v>
      </c>
      <c r="E202" s="44">
        <f t="shared" si="13"/>
        <v>0</v>
      </c>
      <c r="F202" s="369">
        <f t="shared" si="15"/>
        <v>0</v>
      </c>
      <c r="G202" s="43">
        <f>'A) Base RI'!AM204</f>
        <v>56</v>
      </c>
      <c r="H202" s="370">
        <f t="shared" si="14"/>
        <v>0.82475061861147569</v>
      </c>
      <c r="I202" s="74">
        <f t="shared" si="16"/>
        <v>0</v>
      </c>
    </row>
    <row r="203" spans="1:9" x14ac:dyDescent="0.25">
      <c r="A203" s="61">
        <f>'A) Base RI'!A205</f>
        <v>5726</v>
      </c>
      <c r="B203" s="13" t="str">
        <f>'A) Base RI'!B205</f>
        <v>La Rippe</v>
      </c>
      <c r="C203" s="125">
        <f>'A) Base RI'!AN205</f>
        <v>1104</v>
      </c>
      <c r="D203" s="147">
        <f>'D) Ecrêtage'!N203</f>
        <v>54.687999381757955</v>
      </c>
      <c r="E203" s="44">
        <f t="shared" si="13"/>
        <v>0</v>
      </c>
      <c r="F203" s="369">
        <f t="shared" si="15"/>
        <v>0</v>
      </c>
      <c r="G203" s="43">
        <f>'A) Base RI'!AM205</f>
        <v>65</v>
      </c>
      <c r="H203" s="370">
        <f t="shared" si="14"/>
        <v>0.95729982517403422</v>
      </c>
      <c r="I203" s="74">
        <f t="shared" si="16"/>
        <v>0</v>
      </c>
    </row>
    <row r="204" spans="1:9" x14ac:dyDescent="0.25">
      <c r="A204" s="61">
        <f>'A) Base RI'!A206</f>
        <v>5727</v>
      </c>
      <c r="B204" s="13" t="str">
        <f>'A) Base RI'!B206</f>
        <v>Saint-Cergue</v>
      </c>
      <c r="C204" s="125">
        <f>'A) Base RI'!AN206</f>
        <v>2406</v>
      </c>
      <c r="D204" s="147">
        <f>'D) Ecrêtage'!N204</f>
        <v>38.397577541835645</v>
      </c>
      <c r="E204" s="44">
        <f t="shared" si="13"/>
        <v>5.694435949133954</v>
      </c>
      <c r="F204" s="369">
        <f t="shared" si="15"/>
        <v>244148.48576424236</v>
      </c>
      <c r="G204" s="43">
        <f>'A) Base RI'!AM206</f>
        <v>66</v>
      </c>
      <c r="H204" s="370">
        <f t="shared" si="14"/>
        <v>0.97202751479209637</v>
      </c>
      <c r="I204" s="74">
        <f t="shared" si="16"/>
        <v>237319.04585767002</v>
      </c>
    </row>
    <row r="205" spans="1:9" x14ac:dyDescent="0.25">
      <c r="A205" s="61">
        <f>'A) Base RI'!A207</f>
        <v>5728</v>
      </c>
      <c r="B205" s="13" t="str">
        <f>'A) Base RI'!B207</f>
        <v>Signy-Avenex</v>
      </c>
      <c r="C205" s="125">
        <f>'A) Base RI'!AN207</f>
        <v>481</v>
      </c>
      <c r="D205" s="147">
        <f>'D) Ecrêtage'!N205</f>
        <v>66.205059586001283</v>
      </c>
      <c r="E205" s="44">
        <f t="shared" si="13"/>
        <v>0</v>
      </c>
      <c r="F205" s="369">
        <f t="shared" si="15"/>
        <v>0</v>
      </c>
      <c r="G205" s="43">
        <f>'A) Base RI'!AM207</f>
        <v>56</v>
      </c>
      <c r="H205" s="370">
        <f t="shared" si="14"/>
        <v>0.82475061861147569</v>
      </c>
      <c r="I205" s="74">
        <f t="shared" si="16"/>
        <v>0</v>
      </c>
    </row>
    <row r="206" spans="1:9" x14ac:dyDescent="0.25">
      <c r="A206" s="61">
        <f>'A) Base RI'!A208</f>
        <v>5729</v>
      </c>
      <c r="B206" s="13" t="str">
        <f>'A) Base RI'!B208</f>
        <v>Tannay</v>
      </c>
      <c r="C206" s="125">
        <f>'A) Base RI'!AN208</f>
        <v>1448</v>
      </c>
      <c r="D206" s="147">
        <f>'D) Ecrêtage'!N206</f>
        <v>83.902117107748509</v>
      </c>
      <c r="E206" s="44">
        <f t="shared" si="13"/>
        <v>0</v>
      </c>
      <c r="F206" s="369">
        <f t="shared" si="15"/>
        <v>0</v>
      </c>
      <c r="G206" s="43">
        <f>'A) Base RI'!AM208</f>
        <v>61</v>
      </c>
      <c r="H206" s="370">
        <f t="shared" si="14"/>
        <v>0.89838906670178598</v>
      </c>
      <c r="I206" s="74">
        <f t="shared" si="16"/>
        <v>0</v>
      </c>
    </row>
    <row r="207" spans="1:9" x14ac:dyDescent="0.25">
      <c r="A207" s="61">
        <f>'A) Base RI'!A209</f>
        <v>5730</v>
      </c>
      <c r="B207" s="13" t="str">
        <f>'A) Base RI'!B209</f>
        <v>Trélex</v>
      </c>
      <c r="C207" s="125">
        <f>'A) Base RI'!AN209</f>
        <v>1394</v>
      </c>
      <c r="D207" s="147">
        <f>'D) Ecrêtage'!N207</f>
        <v>91.086477278017085</v>
      </c>
      <c r="E207" s="44">
        <f t="shared" si="13"/>
        <v>0</v>
      </c>
      <c r="F207" s="369">
        <f t="shared" si="15"/>
        <v>0</v>
      </c>
      <c r="G207" s="43">
        <f>'A) Base RI'!AM209</f>
        <v>53</v>
      </c>
      <c r="H207" s="370">
        <f t="shared" si="14"/>
        <v>0.78056754975728948</v>
      </c>
      <c r="I207" s="74">
        <f t="shared" si="16"/>
        <v>0</v>
      </c>
    </row>
    <row r="208" spans="1:9" x14ac:dyDescent="0.25">
      <c r="A208" s="61">
        <f>'A) Base RI'!A210</f>
        <v>5731</v>
      </c>
      <c r="B208" s="13" t="str">
        <f>'A) Base RI'!B210</f>
        <v>Le Vaud</v>
      </c>
      <c r="C208" s="125">
        <f>'A) Base RI'!AN210</f>
        <v>1243</v>
      </c>
      <c r="D208" s="147">
        <f>'D) Ecrêtage'!N208</f>
        <v>37.369173612228479</v>
      </c>
      <c r="E208" s="44">
        <f t="shared" si="13"/>
        <v>6.7228398787411194</v>
      </c>
      <c r="F208" s="369">
        <f t="shared" si="15"/>
        <v>169218.92187782304</v>
      </c>
      <c r="G208" s="43">
        <f>'A) Base RI'!AM210</f>
        <v>75</v>
      </c>
      <c r="H208" s="370">
        <f t="shared" si="14"/>
        <v>1.1045767213546549</v>
      </c>
      <c r="I208" s="74">
        <f t="shared" si="16"/>
        <v>186915.28191897526</v>
      </c>
    </row>
    <row r="209" spans="1:9" x14ac:dyDescent="0.25">
      <c r="A209" s="61">
        <f>'A) Base RI'!A211</f>
        <v>5732</v>
      </c>
      <c r="B209" s="13" t="str">
        <f>'A) Base RI'!B211</f>
        <v>Vich</v>
      </c>
      <c r="C209" s="125">
        <f>'A) Base RI'!AN211</f>
        <v>882</v>
      </c>
      <c r="D209" s="147">
        <f>'D) Ecrêtage'!N209</f>
        <v>62.516936166905467</v>
      </c>
      <c r="E209" s="44">
        <f t="shared" si="13"/>
        <v>0</v>
      </c>
      <c r="F209" s="369">
        <f t="shared" si="15"/>
        <v>0</v>
      </c>
      <c r="G209" s="43">
        <f>'A) Base RI'!AM211</f>
        <v>68</v>
      </c>
      <c r="H209" s="370">
        <f t="shared" si="14"/>
        <v>1.0014828940282205</v>
      </c>
      <c r="I209" s="74">
        <f t="shared" si="16"/>
        <v>0</v>
      </c>
    </row>
    <row r="210" spans="1:9" x14ac:dyDescent="0.25">
      <c r="A210" s="61">
        <f>'A) Base RI'!A212</f>
        <v>5741</v>
      </c>
      <c r="B210" s="13" t="str">
        <f>'A) Base RI'!B212</f>
        <v>L'Abergement</v>
      </c>
      <c r="C210" s="125">
        <f>'A) Base RI'!AN212</f>
        <v>250</v>
      </c>
      <c r="D210" s="147">
        <f>'D) Ecrêtage'!N210</f>
        <v>27.979555967078195</v>
      </c>
      <c r="E210" s="44">
        <f t="shared" si="13"/>
        <v>16.112457523891404</v>
      </c>
      <c r="F210" s="369">
        <f t="shared" si="15"/>
        <v>88094.861511876254</v>
      </c>
      <c r="G210" s="43">
        <f>'A) Base RI'!AM212</f>
        <v>81</v>
      </c>
      <c r="H210" s="370">
        <f t="shared" si="14"/>
        <v>1.1929428590630273</v>
      </c>
      <c r="I210" s="74">
        <f t="shared" si="16"/>
        <v>105092.13596073911</v>
      </c>
    </row>
    <row r="211" spans="1:9" x14ac:dyDescent="0.25">
      <c r="A211" s="61">
        <f>'A) Base RI'!A213</f>
        <v>5742</v>
      </c>
      <c r="B211" s="13" t="str">
        <f>'A) Base RI'!B213</f>
        <v>Agiez</v>
      </c>
      <c r="C211" s="125">
        <f>'A) Base RI'!AN213</f>
        <v>308</v>
      </c>
      <c r="D211" s="147">
        <f>'D) Ecrêtage'!N211</f>
        <v>30.110529306220098</v>
      </c>
      <c r="E211" s="44">
        <f t="shared" si="13"/>
        <v>13.981484184749501</v>
      </c>
      <c r="F211" s="369">
        <f t="shared" si="15"/>
        <v>88365.217085086406</v>
      </c>
      <c r="G211" s="43">
        <f>'A) Base RI'!AM213</f>
        <v>76</v>
      </c>
      <c r="H211" s="370">
        <f t="shared" si="14"/>
        <v>1.119304410972717</v>
      </c>
      <c r="I211" s="74">
        <f t="shared" si="16"/>
        <v>98907.577259898913</v>
      </c>
    </row>
    <row r="212" spans="1:9" x14ac:dyDescent="0.25">
      <c r="A212" s="61">
        <f>'A) Base RI'!A214</f>
        <v>5743</v>
      </c>
      <c r="B212" s="13" t="str">
        <f>'A) Base RI'!B214</f>
        <v>Arnex-sur-Orbe</v>
      </c>
      <c r="C212" s="125">
        <f>'A) Base RI'!AN214</f>
        <v>625</v>
      </c>
      <c r="D212" s="147">
        <f>'D) Ecrêtage'!N212</f>
        <v>27.758134958904115</v>
      </c>
      <c r="E212" s="44">
        <f t="shared" si="13"/>
        <v>16.333878532065484</v>
      </c>
      <c r="F212" s="369">
        <f t="shared" si="15"/>
        <v>201212.9661668817</v>
      </c>
      <c r="G212" s="43">
        <f>'A) Base RI'!AM214</f>
        <v>73</v>
      </c>
      <c r="H212" s="370">
        <f t="shared" si="14"/>
        <v>1.0751213421185308</v>
      </c>
      <c r="I212" s="74">
        <f t="shared" si="16"/>
        <v>216328.35423698838</v>
      </c>
    </row>
    <row r="213" spans="1:9" x14ac:dyDescent="0.25">
      <c r="A213" s="61">
        <f>'A) Base RI'!A215</f>
        <v>5744</v>
      </c>
      <c r="B213" s="13" t="str">
        <f>'A) Base RI'!B215</f>
        <v>Ballaigues</v>
      </c>
      <c r="C213" s="125">
        <f>'A) Base RI'!AN215</f>
        <v>1069</v>
      </c>
      <c r="D213" s="147">
        <f>'D) Ecrêtage'!N213</f>
        <v>49.777790770190208</v>
      </c>
      <c r="E213" s="44">
        <f t="shared" si="13"/>
        <v>0</v>
      </c>
      <c r="F213" s="369">
        <f t="shared" si="15"/>
        <v>0</v>
      </c>
      <c r="G213" s="43">
        <f>'A) Base RI'!AM215</f>
        <v>66</v>
      </c>
      <c r="H213" s="370">
        <f t="shared" si="14"/>
        <v>0.97202751479209637</v>
      </c>
      <c r="I213" s="74">
        <f t="shared" si="16"/>
        <v>0</v>
      </c>
    </row>
    <row r="214" spans="1:9" x14ac:dyDescent="0.25">
      <c r="A214" s="61">
        <f>'A) Base RI'!A216</f>
        <v>5745</v>
      </c>
      <c r="B214" s="13" t="str">
        <f>'A) Base RI'!B216</f>
        <v>Baulmes</v>
      </c>
      <c r="C214" s="125">
        <f>'A) Base RI'!AN216</f>
        <v>1034</v>
      </c>
      <c r="D214" s="147">
        <f>'D) Ecrêtage'!N214</f>
        <v>26.617167956157321</v>
      </c>
      <c r="E214" s="44">
        <f t="shared" si="13"/>
        <v>17.474845534812278</v>
      </c>
      <c r="F214" s="369">
        <f t="shared" si="15"/>
        <v>380532.9353598936</v>
      </c>
      <c r="G214" s="43">
        <f>'A) Base RI'!AM216</f>
        <v>78</v>
      </c>
      <c r="H214" s="370">
        <f t="shared" si="14"/>
        <v>1.1487597902088411</v>
      </c>
      <c r="I214" s="74">
        <f t="shared" si="16"/>
        <v>437140.93499158585</v>
      </c>
    </row>
    <row r="215" spans="1:9" x14ac:dyDescent="0.25">
      <c r="A215" s="61">
        <f>'A) Base RI'!A217</f>
        <v>5746</v>
      </c>
      <c r="B215" s="13" t="str">
        <f>'A) Base RI'!B217</f>
        <v>Bavois</v>
      </c>
      <c r="C215" s="125">
        <f>'A) Base RI'!AN217</f>
        <v>939</v>
      </c>
      <c r="D215" s="147">
        <f>'D) Ecrêtage'!N215</f>
        <v>25.484647054818833</v>
      </c>
      <c r="E215" s="44">
        <f t="shared" si="13"/>
        <v>18.607366436150766</v>
      </c>
      <c r="F215" s="369">
        <f t="shared" si="15"/>
        <v>344379.36971668317</v>
      </c>
      <c r="G215" s="43">
        <f>'A) Base RI'!AM217</f>
        <v>73</v>
      </c>
      <c r="H215" s="370">
        <f t="shared" si="14"/>
        <v>1.0751213421185308</v>
      </c>
      <c r="I215" s="74">
        <f t="shared" si="16"/>
        <v>370249.61016773415</v>
      </c>
    </row>
    <row r="216" spans="1:9" x14ac:dyDescent="0.25">
      <c r="A216" s="61">
        <f>'A) Base RI'!A218</f>
        <v>5747</v>
      </c>
      <c r="B216" s="13" t="str">
        <f>'A) Base RI'!B218</f>
        <v>Bofflens</v>
      </c>
      <c r="C216" s="125">
        <f>'A) Base RI'!AN218</f>
        <v>187</v>
      </c>
      <c r="D216" s="147">
        <f>'D) Ecrêtage'!N216</f>
        <v>27.718940556459739</v>
      </c>
      <c r="E216" s="44">
        <f t="shared" si="13"/>
        <v>16.37307293450986</v>
      </c>
      <c r="F216" s="369">
        <f t="shared" si="15"/>
        <v>57040.675219974801</v>
      </c>
      <c r="G216" s="43">
        <f>'A) Base RI'!AM218</f>
        <v>69</v>
      </c>
      <c r="H216" s="370">
        <f t="shared" si="14"/>
        <v>1.0162105836462825</v>
      </c>
      <c r="I216" s="74">
        <f t="shared" si="16"/>
        <v>57965.337856868631</v>
      </c>
    </row>
    <row r="217" spans="1:9" x14ac:dyDescent="0.25">
      <c r="A217" s="61">
        <f>'A) Base RI'!A219</f>
        <v>5748</v>
      </c>
      <c r="B217" s="13" t="str">
        <f>'A) Base RI'!B219</f>
        <v>Bretonnières</v>
      </c>
      <c r="C217" s="125">
        <f>'A) Base RI'!AN219</f>
        <v>252</v>
      </c>
      <c r="D217" s="147">
        <f>'D) Ecrêtage'!N217</f>
        <v>24.368468364197533</v>
      </c>
      <c r="E217" s="44">
        <f t="shared" si="13"/>
        <v>19.723545126772066</v>
      </c>
      <c r="F217" s="369">
        <f t="shared" si="15"/>
        <v>96623.280750641148</v>
      </c>
      <c r="G217" s="43">
        <f>'A) Base RI'!AM219</f>
        <v>72</v>
      </c>
      <c r="H217" s="370">
        <f t="shared" si="14"/>
        <v>1.0603936525004687</v>
      </c>
      <c r="I217" s="74">
        <f t="shared" si="16"/>
        <v>102458.71359175059</v>
      </c>
    </row>
    <row r="218" spans="1:9" x14ac:dyDescent="0.25">
      <c r="A218" s="61">
        <f>'A) Base RI'!A220</f>
        <v>5749</v>
      </c>
      <c r="B218" s="13" t="str">
        <f>'A) Base RI'!B220</f>
        <v>Chavornay</v>
      </c>
      <c r="C218" s="125">
        <f>'A) Base RI'!AN220</f>
        <v>4672</v>
      </c>
      <c r="D218" s="147">
        <f>'D) Ecrêtage'!N218</f>
        <v>26.61535245670234</v>
      </c>
      <c r="E218" s="44">
        <f t="shared" si="13"/>
        <v>17.476661034267259</v>
      </c>
      <c r="F218" s="369">
        <f t="shared" si="15"/>
        <v>1596553.8881486866</v>
      </c>
      <c r="G218" s="43">
        <f>'A) Base RI'!AM220</f>
        <v>72.42</v>
      </c>
      <c r="H218" s="370">
        <f t="shared" si="14"/>
        <v>1.0665792821400548</v>
      </c>
      <c r="I218" s="74">
        <f t="shared" si="16"/>
        <v>1702851.2999195396</v>
      </c>
    </row>
    <row r="219" spans="1:9" x14ac:dyDescent="0.25">
      <c r="A219" s="61">
        <f>'A) Base RI'!A221</f>
        <v>5750</v>
      </c>
      <c r="B219" s="13" t="str">
        <f>'A) Base RI'!B221</f>
        <v>Les Clées</v>
      </c>
      <c r="C219" s="125">
        <f>'A) Base RI'!AN221</f>
        <v>186</v>
      </c>
      <c r="D219" s="147">
        <f>'D) Ecrêtage'!N219</f>
        <v>23.473734767025089</v>
      </c>
      <c r="E219" s="44">
        <f t="shared" si="13"/>
        <v>20.61827872394451</v>
      </c>
      <c r="F219" s="369">
        <f t="shared" si="15"/>
        <v>82835.996601319464</v>
      </c>
      <c r="G219" s="43">
        <f>'A) Base RI'!AM221</f>
        <v>80</v>
      </c>
      <c r="H219" s="370">
        <f t="shared" si="14"/>
        <v>1.1782151694449652</v>
      </c>
      <c r="I219" s="74">
        <f t="shared" si="16"/>
        <v>97598.627771766172</v>
      </c>
    </row>
    <row r="220" spans="1:9" x14ac:dyDescent="0.25">
      <c r="A220" s="61">
        <f>'A) Base RI'!A222</f>
        <v>5752</v>
      </c>
      <c r="B220" s="13" t="str">
        <f>'A) Base RI'!B222</f>
        <v>Croy</v>
      </c>
      <c r="C220" s="125">
        <f>'A) Base RI'!AN222</f>
        <v>335</v>
      </c>
      <c r="D220" s="147">
        <f>'D) Ecrêtage'!N220</f>
        <v>38.466645709675561</v>
      </c>
      <c r="E220" s="44">
        <f t="shared" si="13"/>
        <v>5.6253677812940381</v>
      </c>
      <c r="F220" s="369">
        <f t="shared" si="15"/>
        <v>37652.274170535384</v>
      </c>
      <c r="G220" s="43">
        <f>'A) Base RI'!AM222</f>
        <v>74</v>
      </c>
      <c r="H220" s="370">
        <f t="shared" si="14"/>
        <v>1.0898490317365928</v>
      </c>
      <c r="I220" s="74">
        <f t="shared" si="16"/>
        <v>41035.294547438709</v>
      </c>
    </row>
    <row r="221" spans="1:9" x14ac:dyDescent="0.25">
      <c r="A221" s="61">
        <f>'A) Base RI'!A223</f>
        <v>5754</v>
      </c>
      <c r="B221" s="13" t="str">
        <f>'A) Base RI'!B223</f>
        <v>Juriens</v>
      </c>
      <c r="C221" s="125">
        <f>'A) Base RI'!AN223</f>
        <v>302</v>
      </c>
      <c r="D221" s="147">
        <f>'D) Ecrêtage'!N221</f>
        <v>21.443084499958083</v>
      </c>
      <c r="E221" s="44">
        <f t="shared" si="13"/>
        <v>22.648928991011516</v>
      </c>
      <c r="F221" s="369">
        <f t="shared" si="15"/>
        <v>145896.69992423925</v>
      </c>
      <c r="G221" s="43">
        <f>'A) Base RI'!AM223</f>
        <v>79</v>
      </c>
      <c r="H221" s="370">
        <f t="shared" si="14"/>
        <v>1.1634874798269033</v>
      </c>
      <c r="I221" s="74">
        <f t="shared" si="16"/>
        <v>169748.98370991508</v>
      </c>
    </row>
    <row r="222" spans="1:9" x14ac:dyDescent="0.25">
      <c r="A222" s="61">
        <f>'A) Base RI'!A224</f>
        <v>5755</v>
      </c>
      <c r="B222" s="13" t="str">
        <f>'A) Base RI'!B224</f>
        <v>Lignerolle</v>
      </c>
      <c r="C222" s="125">
        <f>'A) Base RI'!AN224</f>
        <v>394</v>
      </c>
      <c r="D222" s="147">
        <f>'D) Ecrêtage'!N222</f>
        <v>22.516473737455119</v>
      </c>
      <c r="E222" s="44">
        <f t="shared" si="13"/>
        <v>21.57553975351448</v>
      </c>
      <c r="F222" s="369">
        <f t="shared" si="15"/>
        <v>185911.67943728849</v>
      </c>
      <c r="G222" s="43">
        <f>'A) Base RI'!AM224</f>
        <v>81</v>
      </c>
      <c r="H222" s="370">
        <f t="shared" si="14"/>
        <v>1.1929428590630273</v>
      </c>
      <c r="I222" s="74">
        <f t="shared" si="16"/>
        <v>221782.01040112795</v>
      </c>
    </row>
    <row r="223" spans="1:9" x14ac:dyDescent="0.25">
      <c r="A223" s="61">
        <f>'A) Base RI'!A225</f>
        <v>5756</v>
      </c>
      <c r="B223" s="13" t="str">
        <f>'A) Base RI'!B225</f>
        <v>Montcherand</v>
      </c>
      <c r="C223" s="125">
        <f>'A) Base RI'!AN225</f>
        <v>474</v>
      </c>
      <c r="D223" s="147">
        <f>'D) Ecrêtage'!N223</f>
        <v>31.241023563464399</v>
      </c>
      <c r="E223" s="44">
        <f t="shared" si="13"/>
        <v>12.8509899275052</v>
      </c>
      <c r="F223" s="369">
        <f t="shared" si="15"/>
        <v>113482.20867362598</v>
      </c>
      <c r="G223" s="43">
        <f>'A) Base RI'!AM225</f>
        <v>69</v>
      </c>
      <c r="H223" s="370">
        <f t="shared" si="14"/>
        <v>1.0162105836462825</v>
      </c>
      <c r="I223" s="74">
        <f t="shared" si="16"/>
        <v>115321.82150969468</v>
      </c>
    </row>
    <row r="224" spans="1:9" x14ac:dyDescent="0.25">
      <c r="A224" s="61">
        <f>'A) Base RI'!A226</f>
        <v>5757</v>
      </c>
      <c r="B224" s="13" t="str">
        <f>'A) Base RI'!B226</f>
        <v>Orbe</v>
      </c>
      <c r="C224" s="125">
        <f>'A) Base RI'!AN226</f>
        <v>6767</v>
      </c>
      <c r="D224" s="147">
        <f>'D) Ecrêtage'!N224</f>
        <v>31.096554110634951</v>
      </c>
      <c r="E224" s="44">
        <f t="shared" si="13"/>
        <v>12.995459380334648</v>
      </c>
      <c r="F224" s="369">
        <f t="shared" si="15"/>
        <v>1709558.9193035257</v>
      </c>
      <c r="G224" s="43">
        <f>'A) Base RI'!AM226</f>
        <v>72</v>
      </c>
      <c r="H224" s="370">
        <f t="shared" si="14"/>
        <v>1.0603936525004687</v>
      </c>
      <c r="I224" s="74">
        <f t="shared" si="16"/>
        <v>1812805.4266050197</v>
      </c>
    </row>
    <row r="225" spans="1:9" x14ac:dyDescent="0.25">
      <c r="A225" s="61">
        <f>'A) Base RI'!A227</f>
        <v>5758</v>
      </c>
      <c r="B225" s="13" t="str">
        <f>'A) Base RI'!B227</f>
        <v>La Praz</v>
      </c>
      <c r="C225" s="125">
        <f>'A) Base RI'!AN227</f>
        <v>160</v>
      </c>
      <c r="D225" s="147">
        <f>'D) Ecrêtage'!N225</f>
        <v>24.151302292503345</v>
      </c>
      <c r="E225" s="44">
        <f t="shared" si="13"/>
        <v>19.940711198466254</v>
      </c>
      <c r="F225" s="369">
        <f t="shared" si="15"/>
        <v>71499.4140732206</v>
      </c>
      <c r="G225" s="43">
        <f>'A) Base RI'!AM227</f>
        <v>83</v>
      </c>
      <c r="H225" s="370">
        <f t="shared" si="14"/>
        <v>1.2223982382991514</v>
      </c>
      <c r="I225" s="74">
        <f t="shared" si="16"/>
        <v>87400.757802526408</v>
      </c>
    </row>
    <row r="226" spans="1:9" x14ac:dyDescent="0.25">
      <c r="A226" s="61">
        <f>'A) Base RI'!A228</f>
        <v>5759</v>
      </c>
      <c r="B226" s="13" t="str">
        <f>'A) Base RI'!B228</f>
        <v>Premier</v>
      </c>
      <c r="C226" s="125">
        <f>'A) Base RI'!AN228</f>
        <v>185</v>
      </c>
      <c r="D226" s="147">
        <f>'D) Ecrêtage'!N226</f>
        <v>24.641757090423752</v>
      </c>
      <c r="E226" s="44">
        <f t="shared" si="13"/>
        <v>19.450256400545847</v>
      </c>
      <c r="F226" s="369">
        <f t="shared" si="15"/>
        <v>78694.764883788477</v>
      </c>
      <c r="G226" s="43">
        <f>'A) Base RI'!AM228</f>
        <v>81</v>
      </c>
      <c r="H226" s="370">
        <f t="shared" si="14"/>
        <v>1.1929428590630273</v>
      </c>
      <c r="I226" s="74">
        <f t="shared" si="16"/>
        <v>93878.357813759343</v>
      </c>
    </row>
    <row r="227" spans="1:9" x14ac:dyDescent="0.25">
      <c r="A227" s="61">
        <f>'A) Base RI'!A229</f>
        <v>5760</v>
      </c>
      <c r="B227" s="13" t="str">
        <f>'A) Base RI'!B229</f>
        <v>Rances</v>
      </c>
      <c r="C227" s="125">
        <f>'A) Base RI'!AN229</f>
        <v>460</v>
      </c>
      <c r="D227" s="147">
        <f>'D) Ecrêtage'!N227</f>
        <v>24.935380156075809</v>
      </c>
      <c r="E227" s="44">
        <f t="shared" si="13"/>
        <v>19.15663333489379</v>
      </c>
      <c r="F227" s="369">
        <f t="shared" si="15"/>
        <v>185581.80109511709</v>
      </c>
      <c r="G227" s="43">
        <f>'A) Base RI'!AM229</f>
        <v>78</v>
      </c>
      <c r="H227" s="370">
        <f t="shared" si="14"/>
        <v>1.1487597902088411</v>
      </c>
      <c r="I227" s="74">
        <f t="shared" si="16"/>
        <v>213188.91089260558</v>
      </c>
    </row>
    <row r="228" spans="1:9" x14ac:dyDescent="0.25">
      <c r="A228" s="61">
        <f>'A) Base RI'!A230</f>
        <v>5761</v>
      </c>
      <c r="B228" s="13" t="str">
        <f>'A) Base RI'!B230</f>
        <v>Romainmôtier-Envy</v>
      </c>
      <c r="C228" s="125">
        <f>'A) Base RI'!AN230</f>
        <v>525</v>
      </c>
      <c r="D228" s="147">
        <f>'D) Ecrêtage'!N228</f>
        <v>21.614010902255639</v>
      </c>
      <c r="E228" s="44">
        <f t="shared" si="13"/>
        <v>22.478002588713959</v>
      </c>
      <c r="F228" s="369">
        <f t="shared" si="15"/>
        <v>242155.52188821547</v>
      </c>
      <c r="G228" s="43">
        <f>'A) Base RI'!AM230</f>
        <v>76</v>
      </c>
      <c r="H228" s="370">
        <f t="shared" si="14"/>
        <v>1.119304410972717</v>
      </c>
      <c r="I228" s="74">
        <f t="shared" si="16"/>
        <v>271045.7437908799</v>
      </c>
    </row>
    <row r="229" spans="1:9" x14ac:dyDescent="0.25">
      <c r="A229" s="61">
        <f>'A) Base RI'!A231</f>
        <v>5762</v>
      </c>
      <c r="B229" s="13" t="str">
        <f>'A) Base RI'!B231</f>
        <v>Sergey</v>
      </c>
      <c r="C229" s="125">
        <f>'A) Base RI'!AN231</f>
        <v>144</v>
      </c>
      <c r="D229" s="147">
        <f>'D) Ecrêtage'!N229</f>
        <v>21.561175411522633</v>
      </c>
      <c r="E229" s="44">
        <f t="shared" si="13"/>
        <v>22.530838079446966</v>
      </c>
      <c r="F229" s="369">
        <f t="shared" si="15"/>
        <v>70955.917746840743</v>
      </c>
      <c r="G229" s="43">
        <f>'A) Base RI'!AM231</f>
        <v>81</v>
      </c>
      <c r="H229" s="370">
        <f t="shared" si="14"/>
        <v>1.1929428590630273</v>
      </c>
      <c r="I229" s="74">
        <f t="shared" si="16"/>
        <v>84646.355384357201</v>
      </c>
    </row>
    <row r="230" spans="1:9" x14ac:dyDescent="0.25">
      <c r="A230" s="61">
        <f>'A) Base RI'!A232</f>
        <v>5763</v>
      </c>
      <c r="B230" s="13" t="str">
        <f>'A) Base RI'!B232</f>
        <v>Valeyres-sous-Rances</v>
      </c>
      <c r="C230" s="125">
        <f>'A) Base RI'!AN232</f>
        <v>600</v>
      </c>
      <c r="D230" s="147">
        <f>'D) Ecrêtage'!N230</f>
        <v>26.881919607843137</v>
      </c>
      <c r="E230" s="44">
        <f t="shared" si="13"/>
        <v>17.210093883126461</v>
      </c>
      <c r="F230" s="369">
        <f t="shared" si="15"/>
        <v>189586.39421652109</v>
      </c>
      <c r="G230" s="43">
        <f>'A) Base RI'!AM232</f>
        <v>68</v>
      </c>
      <c r="H230" s="370">
        <f t="shared" si="14"/>
        <v>1.0014828940282205</v>
      </c>
      <c r="I230" s="74">
        <f t="shared" si="16"/>
        <v>189867.53074833663</v>
      </c>
    </row>
    <row r="231" spans="1:9" x14ac:dyDescent="0.25">
      <c r="A231" s="61">
        <f>'A) Base RI'!A233</f>
        <v>5764</v>
      </c>
      <c r="B231" s="13" t="str">
        <f>'A) Base RI'!B233</f>
        <v>Vallorbe</v>
      </c>
      <c r="C231" s="125">
        <f>'A) Base RI'!AN233</f>
        <v>3650</v>
      </c>
      <c r="D231" s="147">
        <f>'D) Ecrêtage'!N231</f>
        <v>23.12164205849685</v>
      </c>
      <c r="E231" s="44">
        <f t="shared" si="13"/>
        <v>20.970371432472749</v>
      </c>
      <c r="F231" s="369">
        <f t="shared" si="15"/>
        <v>1529306.2774559404</v>
      </c>
      <c r="G231" s="43">
        <f>'A) Base RI'!AM233</f>
        <v>74</v>
      </c>
      <c r="H231" s="370">
        <f t="shared" si="14"/>
        <v>1.0898490317365928</v>
      </c>
      <c r="I231" s="74">
        <f t="shared" si="16"/>
        <v>1666712.9657140498</v>
      </c>
    </row>
    <row r="232" spans="1:9" x14ac:dyDescent="0.25">
      <c r="A232" s="61">
        <f>'A) Base RI'!A234</f>
        <v>5765</v>
      </c>
      <c r="B232" s="13" t="str">
        <f>'A) Base RI'!B234</f>
        <v>Vaulion</v>
      </c>
      <c r="C232" s="125">
        <f>'A) Base RI'!AN234</f>
        <v>491</v>
      </c>
      <c r="D232" s="147">
        <f>'D) Ecrêtage'!N232</f>
        <v>18.952261446782831</v>
      </c>
      <c r="E232" s="44">
        <f t="shared" si="13"/>
        <v>25.139752044186768</v>
      </c>
      <c r="F232" s="369">
        <f t="shared" si="15"/>
        <v>269954.93120832503</v>
      </c>
      <c r="G232" s="43">
        <f>'A) Base RI'!AM234</f>
        <v>81</v>
      </c>
      <c r="H232" s="370">
        <f t="shared" si="14"/>
        <v>1.1929428590630273</v>
      </c>
      <c r="I232" s="74">
        <f t="shared" si="16"/>
        <v>322040.80745382211</v>
      </c>
    </row>
    <row r="233" spans="1:9" x14ac:dyDescent="0.25">
      <c r="A233" s="61">
        <f>'A) Base RI'!A235</f>
        <v>5766</v>
      </c>
      <c r="B233" s="13" t="str">
        <f>'A) Base RI'!B235</f>
        <v>Vuiteboeuf</v>
      </c>
      <c r="C233" s="125">
        <f>'A) Base RI'!AN235</f>
        <v>538</v>
      </c>
      <c r="D233" s="147">
        <f>'D) Ecrêtage'!N233</f>
        <v>21.589155947610543</v>
      </c>
      <c r="E233" s="44">
        <f t="shared" si="13"/>
        <v>22.502857543359056</v>
      </c>
      <c r="F233" s="369">
        <f t="shared" si="15"/>
        <v>251694.9116796219</v>
      </c>
      <c r="G233" s="43">
        <f>'A) Base RI'!AM235</f>
        <v>77</v>
      </c>
      <c r="H233" s="370">
        <f t="shared" si="14"/>
        <v>1.134032100590779</v>
      </c>
      <c r="I233" s="74">
        <f t="shared" si="16"/>
        <v>285430.10940005223</v>
      </c>
    </row>
    <row r="234" spans="1:9" x14ac:dyDescent="0.25">
      <c r="A234" s="61">
        <f>'A) Base RI'!A236</f>
        <v>5785</v>
      </c>
      <c r="B234" s="13" t="str">
        <f>'A) Base RI'!B236</f>
        <v>Corcelles-le-Jorat</v>
      </c>
      <c r="C234" s="125">
        <f>'A) Base RI'!AN236</f>
        <v>421</v>
      </c>
      <c r="D234" s="147">
        <f>'D) Ecrêtage'!N234</f>
        <v>29.199663549715865</v>
      </c>
      <c r="E234" s="44">
        <f t="shared" si="13"/>
        <v>14.892349941253734</v>
      </c>
      <c r="F234" s="369">
        <f t="shared" si="15"/>
        <v>133732.26000796264</v>
      </c>
      <c r="G234" s="43">
        <f>'A) Base RI'!AM236</f>
        <v>79</v>
      </c>
      <c r="H234" s="370">
        <f t="shared" si="14"/>
        <v>1.1634874798269033</v>
      </c>
      <c r="I234" s="74">
        <f t="shared" si="16"/>
        <v>155595.8101682206</v>
      </c>
    </row>
    <row r="235" spans="1:9" x14ac:dyDescent="0.25">
      <c r="A235" s="61">
        <f>'A) Base RI'!A237</f>
        <v>5788</v>
      </c>
      <c r="B235" s="13" t="str">
        <f>'A) Base RI'!B237</f>
        <v>Essertes</v>
      </c>
      <c r="C235" s="125">
        <f>'A) Base RI'!AN237</f>
        <v>330</v>
      </c>
      <c r="D235" s="147">
        <f>'D) Ecrêtage'!N235</f>
        <v>31.552484415584413</v>
      </c>
      <c r="E235" s="44">
        <f t="shared" si="13"/>
        <v>12.539529075385186</v>
      </c>
      <c r="F235" s="369">
        <f t="shared" si="15"/>
        <v>78209.042843177405</v>
      </c>
      <c r="G235" s="43">
        <f>'A) Base RI'!AM237</f>
        <v>70</v>
      </c>
      <c r="H235" s="370">
        <f t="shared" si="14"/>
        <v>1.0309382732643446</v>
      </c>
      <c r="I235" s="74">
        <f t="shared" si="16"/>
        <v>80628.695582402463</v>
      </c>
    </row>
    <row r="236" spans="1:9" x14ac:dyDescent="0.25">
      <c r="A236" s="61">
        <f>'A) Base RI'!A238</f>
        <v>5790</v>
      </c>
      <c r="B236" s="13" t="str">
        <f>'A) Base RI'!B238</f>
        <v>Maracon</v>
      </c>
      <c r="C236" s="125">
        <f>'A) Base RI'!AN238</f>
        <v>444</v>
      </c>
      <c r="D236" s="147">
        <f>'D) Ecrêtage'!N236</f>
        <v>27.269615042674246</v>
      </c>
      <c r="E236" s="44">
        <f t="shared" si="13"/>
        <v>16.822398448295353</v>
      </c>
      <c r="F236" s="369">
        <f t="shared" si="15"/>
        <v>153266.85357460516</v>
      </c>
      <c r="G236" s="43">
        <f>'A) Base RI'!AM238</f>
        <v>76</v>
      </c>
      <c r="H236" s="370">
        <f t="shared" si="14"/>
        <v>1.119304410972717</v>
      </c>
      <c r="I236" s="74">
        <f t="shared" si="16"/>
        <v>171552.26526196511</v>
      </c>
    </row>
    <row r="237" spans="1:9" x14ac:dyDescent="0.25">
      <c r="A237" s="61">
        <f>'A) Base RI'!A239</f>
        <v>5792</v>
      </c>
      <c r="B237" s="13" t="str">
        <f>'A) Base RI'!B239</f>
        <v>Montpreveyres</v>
      </c>
      <c r="C237" s="125">
        <f>'A) Base RI'!AN239</f>
        <v>628</v>
      </c>
      <c r="D237" s="147">
        <f>'D) Ecrêtage'!N237</f>
        <v>30.395691330962038</v>
      </c>
      <c r="E237" s="44">
        <f t="shared" si="13"/>
        <v>13.696322160007561</v>
      </c>
      <c r="F237" s="369">
        <f t="shared" si="15"/>
        <v>178820.82567971793</v>
      </c>
      <c r="G237" s="43">
        <f>'A) Base RI'!AM239</f>
        <v>77</v>
      </c>
      <c r="H237" s="370">
        <f t="shared" si="14"/>
        <v>1.134032100590779</v>
      </c>
      <c r="I237" s="74">
        <f t="shared" si="16"/>
        <v>202788.55657494804</v>
      </c>
    </row>
    <row r="238" spans="1:9" x14ac:dyDescent="0.25">
      <c r="A238" s="61">
        <f>'A) Base RI'!A240</f>
        <v>5798</v>
      </c>
      <c r="B238" s="13" t="str">
        <f>'A) Base RI'!B240</f>
        <v>Ropraz</v>
      </c>
      <c r="C238" s="125">
        <f>'A) Base RI'!AN240</f>
        <v>405</v>
      </c>
      <c r="D238" s="147">
        <f>'D) Ecrêtage'!N238</f>
        <v>23.60075730784548</v>
      </c>
      <c r="E238" s="44">
        <f t="shared" si="13"/>
        <v>20.491256183124118</v>
      </c>
      <c r="F238" s="369">
        <f t="shared" si="15"/>
        <v>173655.71193090823</v>
      </c>
      <c r="G238" s="43">
        <f>'A) Base RI'!AM240</f>
        <v>77.5</v>
      </c>
      <c r="H238" s="370">
        <f t="shared" si="14"/>
        <v>1.1413959453998102</v>
      </c>
      <c r="I238" s="74">
        <f t="shared" si="16"/>
        <v>198209.9254934561</v>
      </c>
    </row>
    <row r="239" spans="1:9" x14ac:dyDescent="0.25">
      <c r="A239" s="61">
        <f>'A) Base RI'!A241</f>
        <v>5799</v>
      </c>
      <c r="B239" s="13" t="str">
        <f>'A) Base RI'!B241</f>
        <v>Servion</v>
      </c>
      <c r="C239" s="125">
        <f>'A) Base RI'!AN241</f>
        <v>1908</v>
      </c>
      <c r="D239" s="147">
        <f>'D) Ecrêtage'!N239</f>
        <v>26.921634004800541</v>
      </c>
      <c r="E239" s="44">
        <f t="shared" si="13"/>
        <v>17.170379486169058</v>
      </c>
      <c r="F239" s="369">
        <f t="shared" si="15"/>
        <v>610338.99603054486</v>
      </c>
      <c r="G239" s="43">
        <f>'A) Base RI'!AM241</f>
        <v>69</v>
      </c>
      <c r="H239" s="370">
        <f t="shared" si="14"/>
        <v>1.0162105836462825</v>
      </c>
      <c r="I239" s="74">
        <f t="shared" si="16"/>
        <v>620232.94737828604</v>
      </c>
    </row>
    <row r="240" spans="1:9" x14ac:dyDescent="0.25">
      <c r="A240" s="61">
        <f>'A) Base RI'!A242</f>
        <v>5803</v>
      </c>
      <c r="B240" s="13" t="str">
        <f>'A) Base RI'!B242</f>
        <v>Vulliens</v>
      </c>
      <c r="C240" s="125">
        <f>'A) Base RI'!AN242</f>
        <v>462</v>
      </c>
      <c r="D240" s="147">
        <f>'D) Ecrêtage'!N240</f>
        <v>27.249241088129974</v>
      </c>
      <c r="E240" s="44">
        <f t="shared" si="13"/>
        <v>16.842772402839625</v>
      </c>
      <c r="F240" s="369">
        <f t="shared" si="15"/>
        <v>170178.36179194742</v>
      </c>
      <c r="G240" s="43">
        <f>'A) Base RI'!AM242</f>
        <v>81</v>
      </c>
      <c r="H240" s="370">
        <f t="shared" si="14"/>
        <v>1.1929428590630273</v>
      </c>
      <c r="I240" s="74">
        <f t="shared" si="16"/>
        <v>203013.06146674801</v>
      </c>
    </row>
    <row r="241" spans="1:9" x14ac:dyDescent="0.25">
      <c r="A241" s="61">
        <f>'A) Base RI'!A243</f>
        <v>5804</v>
      </c>
      <c r="B241" s="13" t="str">
        <f>'A) Base RI'!B243</f>
        <v>Jorat-Menthue</v>
      </c>
      <c r="C241" s="125">
        <f>'A) Base RI'!AN243</f>
        <v>1518</v>
      </c>
      <c r="D241" s="147">
        <f>'D) Ecrêtage'!N241</f>
        <v>27.117040147855363</v>
      </c>
      <c r="E241" s="44">
        <f t="shared" si="13"/>
        <v>16.974973343114236</v>
      </c>
      <c r="F241" s="369">
        <f t="shared" si="15"/>
        <v>500930.10535743367</v>
      </c>
      <c r="G241" s="43">
        <f>'A) Base RI'!AM243</f>
        <v>72</v>
      </c>
      <c r="H241" s="370">
        <f t="shared" si="14"/>
        <v>1.0603936525004687</v>
      </c>
      <c r="I241" s="74">
        <f t="shared" si="16"/>
        <v>531183.10406741372</v>
      </c>
    </row>
    <row r="242" spans="1:9" x14ac:dyDescent="0.25">
      <c r="A242" s="61">
        <f>'A) Base RI'!A244</f>
        <v>5805</v>
      </c>
      <c r="B242" s="13" t="str">
        <f>'A) Base RI'!B244</f>
        <v>Oron</v>
      </c>
      <c r="C242" s="125">
        <f>'A) Base RI'!AN244</f>
        <v>5297</v>
      </c>
      <c r="D242" s="147">
        <f>'D) Ecrêtage'!N242</f>
        <v>27.65801583315984</v>
      </c>
      <c r="E242" s="44">
        <f t="shared" si="13"/>
        <v>16.433997657809758</v>
      </c>
      <c r="F242" s="369">
        <f t="shared" si="15"/>
        <v>1621757.9986053829</v>
      </c>
      <c r="G242" s="43">
        <f>'A) Base RI'!AM244</f>
        <v>69</v>
      </c>
      <c r="H242" s="370">
        <f t="shared" si="14"/>
        <v>1.0162105836462825</v>
      </c>
      <c r="I242" s="74">
        <f t="shared" si="16"/>
        <v>1648047.6422958032</v>
      </c>
    </row>
    <row r="243" spans="1:9" x14ac:dyDescent="0.25">
      <c r="A243" s="61">
        <f>'A) Base RI'!A245</f>
        <v>5806</v>
      </c>
      <c r="B243" s="13" t="str">
        <f>'A) Base RI'!B245</f>
        <v>Jorat-Mézières</v>
      </c>
      <c r="C243" s="125">
        <f>'A) Base RI'!AN245</f>
        <v>2755</v>
      </c>
      <c r="D243" s="147">
        <f>'D) Ecrêtage'!N243</f>
        <v>30.148587338932792</v>
      </c>
      <c r="E243" s="44">
        <f t="shared" si="13"/>
        <v>13.943426152036807</v>
      </c>
      <c r="F243" s="369">
        <f t="shared" si="15"/>
        <v>789502.75138781918</v>
      </c>
      <c r="G243" s="43">
        <f>'A) Base RI'!AM245</f>
        <v>76.12</v>
      </c>
      <c r="H243" s="370">
        <f t="shared" si="14"/>
        <v>1.1210717337268845</v>
      </c>
      <c r="I243" s="74">
        <f t="shared" si="16"/>
        <v>885089.21828048793</v>
      </c>
    </row>
    <row r="244" spans="1:9" x14ac:dyDescent="0.25">
      <c r="A244" s="61">
        <f>'A) Base RI'!A246</f>
        <v>5812</v>
      </c>
      <c r="B244" s="13" t="str">
        <f>'A) Base RI'!B246</f>
        <v>Champtauroz</v>
      </c>
      <c r="C244" s="125">
        <f>'A) Base RI'!AN246</f>
        <v>133</v>
      </c>
      <c r="D244" s="147">
        <f>'D) Ecrêtage'!N244</f>
        <v>18.196902157992383</v>
      </c>
      <c r="E244" s="44">
        <f t="shared" si="13"/>
        <v>25.895111332977216</v>
      </c>
      <c r="F244" s="369">
        <f t="shared" si="15"/>
        <v>71601.795493475307</v>
      </c>
      <c r="G244" s="43">
        <f>'A) Base RI'!AM246</f>
        <v>77</v>
      </c>
      <c r="H244" s="370">
        <f t="shared" si="14"/>
        <v>1.134032100590779</v>
      </c>
      <c r="I244" s="74">
        <f t="shared" si="16"/>
        <v>81198.73454953717</v>
      </c>
    </row>
    <row r="245" spans="1:9" x14ac:dyDescent="0.25">
      <c r="A245" s="61">
        <f>'A) Base RI'!A247</f>
        <v>5813</v>
      </c>
      <c r="B245" s="13" t="str">
        <f>'A) Base RI'!B247</f>
        <v>Chevroux</v>
      </c>
      <c r="C245" s="125">
        <f>'A) Base RI'!AN247</f>
        <v>430</v>
      </c>
      <c r="D245" s="147">
        <f>'D) Ecrêtage'!N245</f>
        <v>26.95418272425249</v>
      </c>
      <c r="E245" s="44">
        <f t="shared" si="13"/>
        <v>17.137830766717109</v>
      </c>
      <c r="F245" s="369">
        <f t="shared" si="15"/>
        <v>139279.15064110994</v>
      </c>
      <c r="G245" s="43">
        <f>'A) Base RI'!AM247</f>
        <v>70</v>
      </c>
      <c r="H245" s="370">
        <f t="shared" si="14"/>
        <v>1.0309382732643446</v>
      </c>
      <c r="I245" s="74">
        <f t="shared" si="16"/>
        <v>143588.20706367042</v>
      </c>
    </row>
    <row r="246" spans="1:9" x14ac:dyDescent="0.25">
      <c r="A246" s="61">
        <f>'A) Base RI'!A248</f>
        <v>5816</v>
      </c>
      <c r="B246" s="13" t="str">
        <f>'A) Base RI'!B248</f>
        <v>Corcelles-près-Payerne</v>
      </c>
      <c r="C246" s="125">
        <f>'A) Base RI'!AN248</f>
        <v>2229</v>
      </c>
      <c r="D246" s="147">
        <f>'D) Ecrêtage'!N246</f>
        <v>23.756665838834412</v>
      </c>
      <c r="E246" s="44">
        <f t="shared" si="13"/>
        <v>20.335347652135187</v>
      </c>
      <c r="F246" s="369">
        <f t="shared" si="15"/>
        <v>881166.40397888538</v>
      </c>
      <c r="G246" s="43">
        <f>'A) Base RI'!AM248</f>
        <v>72</v>
      </c>
      <c r="H246" s="370">
        <f t="shared" si="14"/>
        <v>1.0603936525004687</v>
      </c>
      <c r="I246" s="74">
        <f t="shared" si="16"/>
        <v>934383.26157587382</v>
      </c>
    </row>
    <row r="247" spans="1:9" x14ac:dyDescent="0.25">
      <c r="A247" s="61">
        <f>'A) Base RI'!A249</f>
        <v>5817</v>
      </c>
      <c r="B247" s="13" t="str">
        <f>'A) Base RI'!B249</f>
        <v>Grandcour</v>
      </c>
      <c r="C247" s="125">
        <f>'A) Base RI'!AN249</f>
        <v>856</v>
      </c>
      <c r="D247" s="147">
        <f>'D) Ecrêtage'!N247</f>
        <v>24.410969258802091</v>
      </c>
      <c r="E247" s="44">
        <f t="shared" si="13"/>
        <v>19.681044232167508</v>
      </c>
      <c r="F247" s="369">
        <f t="shared" si="15"/>
        <v>361620.29396361514</v>
      </c>
      <c r="G247" s="43">
        <f>'A) Base RI'!AM249</f>
        <v>79.5</v>
      </c>
      <c r="H247" s="370">
        <f t="shared" si="14"/>
        <v>1.1708513246359342</v>
      </c>
      <c r="I247" s="74">
        <f t="shared" si="16"/>
        <v>423403.6002025347</v>
      </c>
    </row>
    <row r="248" spans="1:9" x14ac:dyDescent="0.25">
      <c r="A248" s="61">
        <f>'A) Base RI'!A250</f>
        <v>5819</v>
      </c>
      <c r="B248" s="13" t="str">
        <f>'A) Base RI'!B250</f>
        <v>Henniez</v>
      </c>
      <c r="C248" s="125">
        <f>'A) Base RI'!AN250</f>
        <v>339</v>
      </c>
      <c r="D248" s="147">
        <f>'D) Ecrêtage'!N248</f>
        <v>38.663656056003177</v>
      </c>
      <c r="E248" s="44">
        <f t="shared" si="13"/>
        <v>5.4283574349664221</v>
      </c>
      <c r="F248" s="369">
        <f t="shared" si="15"/>
        <v>33289.45625350593</v>
      </c>
      <c r="G248" s="43">
        <f>'A) Base RI'!AM250</f>
        <v>67</v>
      </c>
      <c r="H248" s="370">
        <f t="shared" si="14"/>
        <v>0.9867552044101584</v>
      </c>
      <c r="I248" s="74">
        <f t="shared" si="16"/>
        <v>32848.544210131273</v>
      </c>
    </row>
    <row r="249" spans="1:9" x14ac:dyDescent="0.25">
      <c r="A249" s="61">
        <f>'A) Base RI'!A251</f>
        <v>5821</v>
      </c>
      <c r="B249" s="13" t="str">
        <f>'A) Base RI'!B251</f>
        <v>Missy</v>
      </c>
      <c r="C249" s="125">
        <f>'A) Base RI'!AN251</f>
        <v>350</v>
      </c>
      <c r="D249" s="147">
        <f>'D) Ecrêtage'!N249</f>
        <v>20.896591666666666</v>
      </c>
      <c r="E249" s="44">
        <f t="shared" si="13"/>
        <v>23.195421824302933</v>
      </c>
      <c r="F249" s="369">
        <f t="shared" si="15"/>
        <v>157821.65009255716</v>
      </c>
      <c r="G249" s="43">
        <f>'A) Base RI'!AM251</f>
        <v>72</v>
      </c>
      <c r="H249" s="370">
        <f t="shared" si="14"/>
        <v>1.0603936525004687</v>
      </c>
      <c r="I249" s="74">
        <f t="shared" si="16"/>
        <v>167353.07598529762</v>
      </c>
    </row>
    <row r="250" spans="1:9" x14ac:dyDescent="0.25">
      <c r="A250" s="61">
        <f>'A) Base RI'!A252</f>
        <v>5822</v>
      </c>
      <c r="B250" s="13" t="str">
        <f>'A) Base RI'!B252</f>
        <v>Payerne</v>
      </c>
      <c r="C250" s="125">
        <f>'A) Base RI'!AN252</f>
        <v>9302</v>
      </c>
      <c r="D250" s="147">
        <f>'D) Ecrêtage'!N250</f>
        <v>24.128736673116887</v>
      </c>
      <c r="E250" s="44">
        <f t="shared" si="13"/>
        <v>19.963276817852712</v>
      </c>
      <c r="F250" s="369">
        <f t="shared" si="15"/>
        <v>3760392.6194332354</v>
      </c>
      <c r="G250" s="43">
        <f>'A) Base RI'!AM252</f>
        <v>75</v>
      </c>
      <c r="H250" s="370">
        <f t="shared" si="14"/>
        <v>1.1045767213546549</v>
      </c>
      <c r="I250" s="74">
        <f t="shared" si="16"/>
        <v>4153642.1505798055</v>
      </c>
    </row>
    <row r="251" spans="1:9" x14ac:dyDescent="0.25">
      <c r="A251" s="61">
        <f>'A) Base RI'!A253</f>
        <v>5827</v>
      </c>
      <c r="B251" s="13" t="str">
        <f>'A) Base RI'!B253</f>
        <v>Trey</v>
      </c>
      <c r="C251" s="125">
        <f>'A) Base RI'!AN253</f>
        <v>255</v>
      </c>
      <c r="D251" s="147">
        <f>'D) Ecrêtage'!N251</f>
        <v>25.664053431372555</v>
      </c>
      <c r="E251" s="44">
        <f t="shared" si="13"/>
        <v>18.427960059597044</v>
      </c>
      <c r="F251" s="369">
        <f t="shared" si="15"/>
        <v>101501.20400826051</v>
      </c>
      <c r="G251" s="43">
        <f>'A) Base RI'!AM253</f>
        <v>80</v>
      </c>
      <c r="H251" s="370">
        <f t="shared" si="14"/>
        <v>1.1782151694449652</v>
      </c>
      <c r="I251" s="74">
        <f t="shared" si="16"/>
        <v>119590.25827946063</v>
      </c>
    </row>
    <row r="252" spans="1:9" x14ac:dyDescent="0.25">
      <c r="A252" s="61">
        <f>'A) Base RI'!A254</f>
        <v>5828</v>
      </c>
      <c r="B252" s="13" t="str">
        <f>'A) Base RI'!B254</f>
        <v>Treytorrens (Payerne)</v>
      </c>
      <c r="C252" s="125">
        <f>'A) Base RI'!AN254</f>
        <v>124</v>
      </c>
      <c r="D252" s="147">
        <f>'D) Ecrêtage'!N252</f>
        <v>17.229974718381978</v>
      </c>
      <c r="E252" s="44">
        <f t="shared" si="13"/>
        <v>26.862038772587621</v>
      </c>
      <c r="F252" s="369">
        <f t="shared" si="15"/>
        <v>75544.648880923618</v>
      </c>
      <c r="G252" s="43">
        <f>'A) Base RI'!AM254</f>
        <v>84</v>
      </c>
      <c r="H252" s="370">
        <f t="shared" si="14"/>
        <v>1.2371259279172135</v>
      </c>
      <c r="I252" s="74">
        <f t="shared" si="16"/>
        <v>93458.243845992722</v>
      </c>
    </row>
    <row r="253" spans="1:9" x14ac:dyDescent="0.25">
      <c r="A253" s="61">
        <f>'A) Base RI'!A255</f>
        <v>5830</v>
      </c>
      <c r="B253" s="13" t="str">
        <f>'A) Base RI'!B255</f>
        <v>Villarzel</v>
      </c>
      <c r="C253" s="125">
        <f>'A) Base RI'!AN255</f>
        <v>415</v>
      </c>
      <c r="D253" s="147">
        <f>'D) Ecrêtage'!N253</f>
        <v>24.667425346957447</v>
      </c>
      <c r="E253" s="44">
        <f t="shared" si="13"/>
        <v>19.424588144012152</v>
      </c>
      <c r="F253" s="369">
        <f t="shared" si="15"/>
        <v>171945.48302138835</v>
      </c>
      <c r="G253" s="43">
        <f>'A) Base RI'!AM255</f>
        <v>79</v>
      </c>
      <c r="H253" s="370">
        <f t="shared" si="14"/>
        <v>1.1634874798269033</v>
      </c>
      <c r="I253" s="74">
        <f t="shared" si="16"/>
        <v>200056.41670817471</v>
      </c>
    </row>
    <row r="254" spans="1:9" x14ac:dyDescent="0.25">
      <c r="A254" s="61">
        <f>'A) Base RI'!A256</f>
        <v>5831</v>
      </c>
      <c r="B254" s="13" t="str">
        <f>'A) Base RI'!B256</f>
        <v>Valbroye</v>
      </c>
      <c r="C254" s="125">
        <f>'A) Base RI'!AN256</f>
        <v>2960</v>
      </c>
      <c r="D254" s="147">
        <f>'D) Ecrêtage'!N254</f>
        <v>26.364093391336542</v>
      </c>
      <c r="E254" s="44">
        <f t="shared" si="13"/>
        <v>17.727920099633057</v>
      </c>
      <c r="F254" s="369">
        <f t="shared" si="15"/>
        <v>1034275.2232847521</v>
      </c>
      <c r="G254" s="43">
        <f>'A) Base RI'!AM256</f>
        <v>73</v>
      </c>
      <c r="H254" s="370">
        <f t="shared" si="14"/>
        <v>1.0751213421185308</v>
      </c>
      <c r="I254" s="74">
        <f t="shared" si="16"/>
        <v>1111971.3661778457</v>
      </c>
    </row>
    <row r="255" spans="1:9" x14ac:dyDescent="0.25">
      <c r="A255" s="61">
        <f>'A) Base RI'!A257</f>
        <v>5841</v>
      </c>
      <c r="B255" s="13" t="str">
        <f>'A) Base RI'!B257</f>
        <v>Château-d'Oex</v>
      </c>
      <c r="C255" s="125">
        <f>'A) Base RI'!AN257</f>
        <v>3408</v>
      </c>
      <c r="D255" s="147">
        <f>'D) Ecrêtage'!N255</f>
        <v>31.550978797820388</v>
      </c>
      <c r="E255" s="44">
        <f t="shared" si="13"/>
        <v>12.541034693149211</v>
      </c>
      <c r="F255" s="369">
        <f t="shared" si="15"/>
        <v>957799.95410959877</v>
      </c>
      <c r="G255" s="43">
        <f>'A) Base RI'!AM257</f>
        <v>83</v>
      </c>
      <c r="H255" s="370">
        <f t="shared" si="14"/>
        <v>1.2223982382991514</v>
      </c>
      <c r="I255" s="74">
        <f t="shared" si="16"/>
        <v>1170812.9765465816</v>
      </c>
    </row>
    <row r="256" spans="1:9" x14ac:dyDescent="0.25">
      <c r="A256" s="61">
        <f>'A) Base RI'!A258</f>
        <v>5842</v>
      </c>
      <c r="B256" s="13" t="str">
        <f>'A) Base RI'!B258</f>
        <v>Rossinière</v>
      </c>
      <c r="C256" s="125">
        <f>'A) Base RI'!AN258</f>
        <v>565</v>
      </c>
      <c r="D256" s="147">
        <f>'D) Ecrêtage'!N256</f>
        <v>29.299336902290687</v>
      </c>
      <c r="E256" s="44">
        <f t="shared" si="13"/>
        <v>14.792676588678912</v>
      </c>
      <c r="F256" s="369">
        <f t="shared" si="15"/>
        <v>182786.44790184041</v>
      </c>
      <c r="G256" s="43">
        <f>'A) Base RI'!AM258</f>
        <v>81</v>
      </c>
      <c r="H256" s="370">
        <f t="shared" si="14"/>
        <v>1.1929428590630273</v>
      </c>
      <c r="I256" s="74">
        <f t="shared" si="16"/>
        <v>218053.78775799659</v>
      </c>
    </row>
    <row r="257" spans="1:9" x14ac:dyDescent="0.25">
      <c r="A257" s="61">
        <f>'A) Base RI'!A259</f>
        <v>5843</v>
      </c>
      <c r="B257" s="13" t="str">
        <f>'A) Base RI'!B259</f>
        <v>Rougemont</v>
      </c>
      <c r="C257" s="125">
        <f>'A) Base RI'!AN259</f>
        <v>881</v>
      </c>
      <c r="D257" s="147">
        <f>'D) Ecrêtage'!N257</f>
        <v>89.726615682905759</v>
      </c>
      <c r="E257" s="44">
        <f t="shared" si="13"/>
        <v>0</v>
      </c>
      <c r="F257" s="369">
        <f t="shared" si="15"/>
        <v>0</v>
      </c>
      <c r="G257" s="43">
        <f>'A) Base RI'!AM259</f>
        <v>69</v>
      </c>
      <c r="H257" s="370">
        <f t="shared" si="14"/>
        <v>1.0162105836462825</v>
      </c>
      <c r="I257" s="74">
        <f t="shared" si="16"/>
        <v>0</v>
      </c>
    </row>
    <row r="258" spans="1:9" x14ac:dyDescent="0.25">
      <c r="A258" s="61">
        <f>'A) Base RI'!A260</f>
        <v>5851</v>
      </c>
      <c r="B258" s="13" t="str">
        <f>'A) Base RI'!B260</f>
        <v>Allaman</v>
      </c>
      <c r="C258" s="125">
        <f>'A) Base RI'!AN260</f>
        <v>393</v>
      </c>
      <c r="D258" s="147">
        <f>'D) Ecrêtage'!N258</f>
        <v>64.043924108164859</v>
      </c>
      <c r="E258" s="44">
        <f t="shared" si="13"/>
        <v>0</v>
      </c>
      <c r="F258" s="369">
        <f t="shared" si="15"/>
        <v>0</v>
      </c>
      <c r="G258" s="43">
        <f>'A) Base RI'!AM260</f>
        <v>62</v>
      </c>
      <c r="H258" s="370">
        <f t="shared" si="14"/>
        <v>0.91311675631984801</v>
      </c>
      <c r="I258" s="74">
        <f t="shared" si="16"/>
        <v>0</v>
      </c>
    </row>
    <row r="259" spans="1:9" x14ac:dyDescent="0.25">
      <c r="A259" s="61">
        <f>'A) Base RI'!A261</f>
        <v>5852</v>
      </c>
      <c r="B259" s="13" t="str">
        <f>'A) Base RI'!B261</f>
        <v>Bursinel</v>
      </c>
      <c r="C259" s="125">
        <f>'A) Base RI'!AN261</f>
        <v>477</v>
      </c>
      <c r="D259" s="147">
        <f>'D) Ecrêtage'!N259</f>
        <v>63.556918807727193</v>
      </c>
      <c r="E259" s="44">
        <f t="shared" si="13"/>
        <v>0</v>
      </c>
      <c r="F259" s="369">
        <f t="shared" si="15"/>
        <v>0</v>
      </c>
      <c r="G259" s="43">
        <f>'A) Base RI'!AM261</f>
        <v>63.5</v>
      </c>
      <c r="H259" s="370">
        <f t="shared" si="14"/>
        <v>0.93520829074694112</v>
      </c>
      <c r="I259" s="74">
        <f t="shared" si="16"/>
        <v>0</v>
      </c>
    </row>
    <row r="260" spans="1:9" x14ac:dyDescent="0.25">
      <c r="A260" s="61">
        <f>'A) Base RI'!A262</f>
        <v>5853</v>
      </c>
      <c r="B260" s="13" t="str">
        <f>'A) Base RI'!B262</f>
        <v>Bursins</v>
      </c>
      <c r="C260" s="125">
        <f>'A) Base RI'!AN262</f>
        <v>772</v>
      </c>
      <c r="D260" s="147">
        <f>'D) Ecrêtage'!N260</f>
        <v>48.08126213237977</v>
      </c>
      <c r="E260" s="44">
        <f t="shared" si="13"/>
        <v>0</v>
      </c>
      <c r="F260" s="369">
        <f t="shared" si="15"/>
        <v>0</v>
      </c>
      <c r="G260" s="43">
        <f>'A) Base RI'!AM262</f>
        <v>71</v>
      </c>
      <c r="H260" s="370">
        <f t="shared" si="14"/>
        <v>1.0456659628824065</v>
      </c>
      <c r="I260" s="74">
        <f t="shared" si="16"/>
        <v>0</v>
      </c>
    </row>
    <row r="261" spans="1:9" x14ac:dyDescent="0.25">
      <c r="A261" s="61">
        <f>'A) Base RI'!A263</f>
        <v>5854</v>
      </c>
      <c r="B261" s="13" t="str">
        <f>'A) Base RI'!B263</f>
        <v>Burtigny</v>
      </c>
      <c r="C261" s="125">
        <f>'A) Base RI'!AN263</f>
        <v>352</v>
      </c>
      <c r="D261" s="147">
        <f>'D) Ecrêtage'!N261</f>
        <v>29.102738754734855</v>
      </c>
      <c r="E261" s="44">
        <f t="shared" ref="E261:E313" si="17">IF($D$314-D261&lt;0,0,$D$314-D261)</f>
        <v>14.989274736234744</v>
      </c>
      <c r="F261" s="369">
        <f t="shared" si="15"/>
        <v>113966.45367454001</v>
      </c>
      <c r="G261" s="43">
        <f>'A) Base RI'!AM263</f>
        <v>80</v>
      </c>
      <c r="H261" s="370">
        <f t="shared" ref="H261:H313" si="18">G261/$G$314</f>
        <v>1.1782151694449652</v>
      </c>
      <c r="I261" s="74">
        <f t="shared" si="16"/>
        <v>134277.00452718994</v>
      </c>
    </row>
    <row r="262" spans="1:9" x14ac:dyDescent="0.25">
      <c r="A262" s="61">
        <f>'A) Base RI'!A264</f>
        <v>5855</v>
      </c>
      <c r="B262" s="13" t="str">
        <f>'A) Base RI'!B264</f>
        <v>Dully</v>
      </c>
      <c r="C262" s="125">
        <f>'A) Base RI'!AN264</f>
        <v>636</v>
      </c>
      <c r="D262" s="147">
        <f>'D) Ecrêtage'!N262</f>
        <v>88.449621036398483</v>
      </c>
      <c r="E262" s="44">
        <f t="shared" si="17"/>
        <v>0</v>
      </c>
      <c r="F262" s="369">
        <f t="shared" ref="F262:F313" si="19">(C262*E262*G262)*$E$4</f>
        <v>0</v>
      </c>
      <c r="G262" s="43">
        <f>'A) Base RI'!AM264</f>
        <v>49</v>
      </c>
      <c r="H262" s="370">
        <f t="shared" si="18"/>
        <v>0.72165679128504123</v>
      </c>
      <c r="I262" s="74">
        <f t="shared" ref="I262:I313" si="20">F262*H262</f>
        <v>0</v>
      </c>
    </row>
    <row r="263" spans="1:9" x14ac:dyDescent="0.25">
      <c r="A263" s="61">
        <f>'A) Base RI'!A265</f>
        <v>5856</v>
      </c>
      <c r="B263" s="13" t="str">
        <f>'A) Base RI'!B265</f>
        <v>Essertines-sur-Rolle</v>
      </c>
      <c r="C263" s="125">
        <f>'A) Base RI'!AN265</f>
        <v>700</v>
      </c>
      <c r="D263" s="147">
        <f>'D) Ecrêtage'!N263</f>
        <v>41.094652003878487</v>
      </c>
      <c r="E263" s="44">
        <f t="shared" si="17"/>
        <v>2.9973614870911121</v>
      </c>
      <c r="F263" s="369">
        <f t="shared" si="19"/>
        <v>38522.089832094978</v>
      </c>
      <c r="G263" s="43">
        <f>'A) Base RI'!AM265</f>
        <v>68</v>
      </c>
      <c r="H263" s="370">
        <f t="shared" si="18"/>
        <v>1.0014828940282205</v>
      </c>
      <c r="I263" s="74">
        <f t="shared" si="20"/>
        <v>38579.214009061565</v>
      </c>
    </row>
    <row r="264" spans="1:9" x14ac:dyDescent="0.25">
      <c r="A264" s="61">
        <f>'A) Base RI'!A266</f>
        <v>5857</v>
      </c>
      <c r="B264" s="13" t="str">
        <f>'A) Base RI'!B266</f>
        <v>Gilly</v>
      </c>
      <c r="C264" s="125">
        <f>'A) Base RI'!AN266</f>
        <v>1131</v>
      </c>
      <c r="D264" s="147">
        <f>'D) Ecrêtage'!N264</f>
        <v>49.243960024649681</v>
      </c>
      <c r="E264" s="44">
        <f t="shared" si="17"/>
        <v>0</v>
      </c>
      <c r="F264" s="369">
        <f t="shared" si="19"/>
        <v>0</v>
      </c>
      <c r="G264" s="43">
        <f>'A) Base RI'!AM266</f>
        <v>66</v>
      </c>
      <c r="H264" s="370">
        <f t="shared" si="18"/>
        <v>0.97202751479209637</v>
      </c>
      <c r="I264" s="74">
        <f t="shared" si="20"/>
        <v>0</v>
      </c>
    </row>
    <row r="265" spans="1:9" x14ac:dyDescent="0.25">
      <c r="A265" s="61">
        <f>'A) Base RI'!A267</f>
        <v>5858</v>
      </c>
      <c r="B265" s="13" t="str">
        <f>'A) Base RI'!B267</f>
        <v>Luins</v>
      </c>
      <c r="C265" s="125">
        <f>'A) Base RI'!AN267</f>
        <v>633</v>
      </c>
      <c r="D265" s="147">
        <f>'D) Ecrêtage'!N265</f>
        <v>53.07199306652624</v>
      </c>
      <c r="E265" s="44">
        <f t="shared" si="17"/>
        <v>0</v>
      </c>
      <c r="F265" s="369">
        <f t="shared" si="19"/>
        <v>0</v>
      </c>
      <c r="G265" s="43">
        <f>'A) Base RI'!AM267</f>
        <v>60</v>
      </c>
      <c r="H265" s="370">
        <f t="shared" si="18"/>
        <v>0.88366137708372394</v>
      </c>
      <c r="I265" s="74">
        <f t="shared" si="20"/>
        <v>0</v>
      </c>
    </row>
    <row r="266" spans="1:9" x14ac:dyDescent="0.25">
      <c r="A266" s="61">
        <f>'A) Base RI'!A268</f>
        <v>5859</v>
      </c>
      <c r="B266" s="13" t="str">
        <f>'A) Base RI'!B268</f>
        <v>Mont-sur-Rolle</v>
      </c>
      <c r="C266" s="125">
        <f>'A) Base RI'!AN268</f>
        <v>2594</v>
      </c>
      <c r="D266" s="147">
        <f>'D) Ecrêtage'!N266</f>
        <v>56.353121927305985</v>
      </c>
      <c r="E266" s="44">
        <f t="shared" si="17"/>
        <v>0</v>
      </c>
      <c r="F266" s="369">
        <f t="shared" si="19"/>
        <v>0</v>
      </c>
      <c r="G266" s="43">
        <f>'A) Base RI'!AM268</f>
        <v>63</v>
      </c>
      <c r="H266" s="370">
        <f t="shared" si="18"/>
        <v>0.92784444593791016</v>
      </c>
      <c r="I266" s="74">
        <f t="shared" si="20"/>
        <v>0</v>
      </c>
    </row>
    <row r="267" spans="1:9" x14ac:dyDescent="0.25">
      <c r="A267" s="61">
        <f>'A) Base RI'!A269</f>
        <v>5860</v>
      </c>
      <c r="B267" s="13" t="str">
        <f>'A) Base RI'!B269</f>
        <v>Perroy</v>
      </c>
      <c r="C267" s="125">
        <f>'A) Base RI'!AN269</f>
        <v>1464</v>
      </c>
      <c r="D267" s="147">
        <f>'D) Ecrêtage'!N267</f>
        <v>58.929356959193512</v>
      </c>
      <c r="E267" s="44">
        <f t="shared" si="17"/>
        <v>0</v>
      </c>
      <c r="F267" s="369">
        <f t="shared" si="19"/>
        <v>0</v>
      </c>
      <c r="G267" s="43">
        <f>'A) Base RI'!AM269</f>
        <v>60</v>
      </c>
      <c r="H267" s="370">
        <f t="shared" si="18"/>
        <v>0.88366137708372394</v>
      </c>
      <c r="I267" s="74">
        <f t="shared" si="20"/>
        <v>0</v>
      </c>
    </row>
    <row r="268" spans="1:9" x14ac:dyDescent="0.25">
      <c r="A268" s="61">
        <f>'A) Base RI'!A270</f>
        <v>5861</v>
      </c>
      <c r="B268" s="13" t="str">
        <f>'A) Base RI'!B270</f>
        <v>Rolle</v>
      </c>
      <c r="C268" s="125">
        <f>'A) Base RI'!AN270</f>
        <v>6047</v>
      </c>
      <c r="D268" s="147">
        <f>'D) Ecrêtage'!N268</f>
        <v>80.850438324954297</v>
      </c>
      <c r="E268" s="44">
        <f t="shared" si="17"/>
        <v>0</v>
      </c>
      <c r="F268" s="369">
        <f t="shared" si="19"/>
        <v>0</v>
      </c>
      <c r="G268" s="43">
        <f>'A) Base RI'!AM270</f>
        <v>59.5</v>
      </c>
      <c r="H268" s="370">
        <f t="shared" si="18"/>
        <v>0.87629753227469287</v>
      </c>
      <c r="I268" s="74">
        <f t="shared" si="20"/>
        <v>0</v>
      </c>
    </row>
    <row r="269" spans="1:9" x14ac:dyDescent="0.25">
      <c r="A269" s="61">
        <f>'A) Base RI'!A271</f>
        <v>5862</v>
      </c>
      <c r="B269" s="13" t="str">
        <f>'A) Base RI'!B271</f>
        <v>Tartegnin</v>
      </c>
      <c r="C269" s="125">
        <f>'A) Base RI'!AN271</f>
        <v>230</v>
      </c>
      <c r="D269" s="147">
        <f>'D) Ecrêtage'!N269</f>
        <v>43.438549344375431</v>
      </c>
      <c r="E269" s="44">
        <f t="shared" si="17"/>
        <v>0.65346414659416752</v>
      </c>
      <c r="F269" s="369">
        <f t="shared" si="19"/>
        <v>3408.7303742938161</v>
      </c>
      <c r="G269" s="43">
        <f>'A) Base RI'!AM271</f>
        <v>84</v>
      </c>
      <c r="H269" s="370">
        <f t="shared" si="18"/>
        <v>1.2371259279172135</v>
      </c>
      <c r="I269" s="74">
        <f t="shared" si="20"/>
        <v>4217.0287273178283</v>
      </c>
    </row>
    <row r="270" spans="1:9" x14ac:dyDescent="0.25">
      <c r="A270" s="61">
        <f>'A) Base RI'!A272</f>
        <v>5863</v>
      </c>
      <c r="B270" s="13" t="str">
        <f>'A) Base RI'!B272</f>
        <v>Vinzel</v>
      </c>
      <c r="C270" s="125">
        <f>'A) Base RI'!AN272</f>
        <v>349</v>
      </c>
      <c r="D270" s="147">
        <f>'D) Ecrêtage'!N270</f>
        <v>68.73159320665998</v>
      </c>
      <c r="E270" s="44">
        <f t="shared" si="17"/>
        <v>0</v>
      </c>
      <c r="F270" s="369">
        <f t="shared" si="19"/>
        <v>0</v>
      </c>
      <c r="G270" s="43">
        <f>'A) Base RI'!AM272</f>
        <v>70</v>
      </c>
      <c r="H270" s="370">
        <f t="shared" si="18"/>
        <v>1.0309382732643446</v>
      </c>
      <c r="I270" s="74">
        <f t="shared" si="20"/>
        <v>0</v>
      </c>
    </row>
    <row r="271" spans="1:9" x14ac:dyDescent="0.25">
      <c r="A271" s="61">
        <f>'A) Base RI'!A273</f>
        <v>5871</v>
      </c>
      <c r="B271" s="13" t="str">
        <f>'A) Base RI'!B273</f>
        <v>L'Abbaye</v>
      </c>
      <c r="C271" s="125">
        <f>'A) Base RI'!AN273</f>
        <v>1423</v>
      </c>
      <c r="D271" s="147">
        <f>'D) Ecrêtage'!N271</f>
        <v>34.624465710656203</v>
      </c>
      <c r="E271" s="44">
        <f t="shared" si="17"/>
        <v>9.4675477803133958</v>
      </c>
      <c r="F271" s="369">
        <f t="shared" si="19"/>
        <v>280489.67093450838</v>
      </c>
      <c r="G271" s="43">
        <f>'A) Base RI'!AM273</f>
        <v>77.11</v>
      </c>
      <c r="H271" s="370">
        <f t="shared" si="18"/>
        <v>1.1356521464487659</v>
      </c>
      <c r="I271" s="74">
        <f t="shared" si="20"/>
        <v>318538.69685348246</v>
      </c>
    </row>
    <row r="272" spans="1:9" x14ac:dyDescent="0.25">
      <c r="A272" s="61">
        <f>'A) Base RI'!A274</f>
        <v>5872</v>
      </c>
      <c r="B272" s="13" t="str">
        <f>'A) Base RI'!B274</f>
        <v>Le Chenit</v>
      </c>
      <c r="C272" s="125">
        <f>'A) Base RI'!AN274</f>
        <v>4614</v>
      </c>
      <c r="D272" s="147">
        <f>'D) Ecrêtage'!N272</f>
        <v>64.650179545308134</v>
      </c>
      <c r="E272" s="44">
        <f t="shared" si="17"/>
        <v>0</v>
      </c>
      <c r="F272" s="369">
        <f t="shared" si="19"/>
        <v>0</v>
      </c>
      <c r="G272" s="43">
        <f>'A) Base RI'!AM274</f>
        <v>69.739999999999995</v>
      </c>
      <c r="H272" s="370">
        <f t="shared" si="18"/>
        <v>1.0271090739636484</v>
      </c>
      <c r="I272" s="74">
        <f t="shared" si="20"/>
        <v>0</v>
      </c>
    </row>
    <row r="273" spans="1:9" x14ac:dyDescent="0.25">
      <c r="A273" s="61">
        <f>'A) Base RI'!A275</f>
        <v>5873</v>
      </c>
      <c r="B273" s="13" t="str">
        <f>'A) Base RI'!B275</f>
        <v>Le Lieu</v>
      </c>
      <c r="C273" s="125">
        <f>'A) Base RI'!AN275</f>
        <v>859</v>
      </c>
      <c r="D273" s="147">
        <f>'D) Ecrêtage'!N273</f>
        <v>41.800417300976086</v>
      </c>
      <c r="E273" s="44">
        <f t="shared" si="17"/>
        <v>2.2915961899935127</v>
      </c>
      <c r="F273" s="369">
        <f t="shared" si="19"/>
        <v>34546.843782437703</v>
      </c>
      <c r="G273" s="43">
        <f>'A) Base RI'!AM275</f>
        <v>65</v>
      </c>
      <c r="H273" s="370">
        <f t="shared" si="18"/>
        <v>0.95729982517403422</v>
      </c>
      <c r="I273" s="74">
        <f t="shared" si="20"/>
        <v>33071.687513242287</v>
      </c>
    </row>
    <row r="274" spans="1:9" x14ac:dyDescent="0.25">
      <c r="A274" s="61">
        <f>'A) Base RI'!A276</f>
        <v>5881</v>
      </c>
      <c r="B274" s="13" t="str">
        <f>'A) Base RI'!B276</f>
        <v>Blonay</v>
      </c>
      <c r="C274" s="125">
        <f>'A) Base RI'!AN276</f>
        <v>6132</v>
      </c>
      <c r="D274" s="147">
        <f>'D) Ecrêtage'!N274</f>
        <v>56.5184306016465</v>
      </c>
      <c r="E274" s="44">
        <f t="shared" si="17"/>
        <v>0</v>
      </c>
      <c r="F274" s="369">
        <f t="shared" si="19"/>
        <v>0</v>
      </c>
      <c r="G274" s="43">
        <f>'A) Base RI'!AM276</f>
        <v>70</v>
      </c>
      <c r="H274" s="370">
        <f t="shared" si="18"/>
        <v>1.0309382732643446</v>
      </c>
      <c r="I274" s="74">
        <f t="shared" si="20"/>
        <v>0</v>
      </c>
    </row>
    <row r="275" spans="1:9" x14ac:dyDescent="0.25">
      <c r="A275" s="61">
        <f>'A) Base RI'!A277</f>
        <v>5882</v>
      </c>
      <c r="B275" s="13" t="str">
        <f>'A) Base RI'!B277</f>
        <v>Chardonne</v>
      </c>
      <c r="C275" s="125">
        <f>'A) Base RI'!AN277</f>
        <v>2889</v>
      </c>
      <c r="D275" s="147">
        <f>'D) Ecrêtage'!N275</f>
        <v>55.944233612277031</v>
      </c>
      <c r="E275" s="44">
        <f t="shared" si="17"/>
        <v>0</v>
      </c>
      <c r="F275" s="369">
        <f t="shared" si="19"/>
        <v>0</v>
      </c>
      <c r="G275" s="43">
        <f>'A) Base RI'!AM277</f>
        <v>66</v>
      </c>
      <c r="H275" s="370">
        <f t="shared" si="18"/>
        <v>0.97202751479209637</v>
      </c>
      <c r="I275" s="74">
        <f t="shared" si="20"/>
        <v>0</v>
      </c>
    </row>
    <row r="276" spans="1:9" x14ac:dyDescent="0.25">
      <c r="A276" s="61">
        <f>'A) Base RI'!A278</f>
        <v>5883</v>
      </c>
      <c r="B276" s="13" t="str">
        <f>'A) Base RI'!B278</f>
        <v>Corseaux</v>
      </c>
      <c r="C276" s="125">
        <f>'A) Base RI'!AN278</f>
        <v>2172</v>
      </c>
      <c r="D276" s="147">
        <f>'D) Ecrêtage'!N276</f>
        <v>63.691126931190105</v>
      </c>
      <c r="E276" s="44">
        <f t="shared" si="17"/>
        <v>0</v>
      </c>
      <c r="F276" s="369">
        <f t="shared" si="19"/>
        <v>0</v>
      </c>
      <c r="G276" s="43">
        <f>'A) Base RI'!AM278</f>
        <v>64</v>
      </c>
      <c r="H276" s="370">
        <f t="shared" si="18"/>
        <v>0.94257213555597219</v>
      </c>
      <c r="I276" s="74">
        <f t="shared" si="20"/>
        <v>0</v>
      </c>
    </row>
    <row r="277" spans="1:9" x14ac:dyDescent="0.25">
      <c r="A277" s="61">
        <f>'A) Base RI'!A279</f>
        <v>5884</v>
      </c>
      <c r="B277" s="13" t="str">
        <f>'A) Base RI'!B279</f>
        <v>Corsier-sur-Vevey</v>
      </c>
      <c r="C277" s="125">
        <f>'A) Base RI'!AN279</f>
        <v>3427</v>
      </c>
      <c r="D277" s="147">
        <f>'D) Ecrêtage'!N277</f>
        <v>38.628518464481409</v>
      </c>
      <c r="E277" s="44">
        <f t="shared" si="17"/>
        <v>5.4634950264881894</v>
      </c>
      <c r="F277" s="369">
        <f t="shared" si="19"/>
        <v>333650.94266191102</v>
      </c>
      <c r="G277" s="43">
        <f>'A) Base RI'!AM279</f>
        <v>66</v>
      </c>
      <c r="H277" s="370">
        <f t="shared" si="18"/>
        <v>0.97202751479209637</v>
      </c>
      <c r="I277" s="74">
        <f t="shared" si="20"/>
        <v>324317.89660369762</v>
      </c>
    </row>
    <row r="278" spans="1:9" x14ac:dyDescent="0.25">
      <c r="A278" s="61">
        <f>'A) Base RI'!A280</f>
        <v>5885</v>
      </c>
      <c r="B278" s="13" t="str">
        <f>'A) Base RI'!B280</f>
        <v>Jongny</v>
      </c>
      <c r="C278" s="125">
        <f>'A) Base RI'!AN280</f>
        <v>1493</v>
      </c>
      <c r="D278" s="147">
        <f>'D) Ecrêtage'!N278</f>
        <v>81.906546802726353</v>
      </c>
      <c r="E278" s="44">
        <f t="shared" si="17"/>
        <v>0</v>
      </c>
      <c r="F278" s="369">
        <f t="shared" si="19"/>
        <v>0</v>
      </c>
      <c r="G278" s="43">
        <f>'A) Base RI'!AM280</f>
        <v>69</v>
      </c>
      <c r="H278" s="370">
        <f t="shared" si="18"/>
        <v>1.0162105836462825</v>
      </c>
      <c r="I278" s="74">
        <f t="shared" si="20"/>
        <v>0</v>
      </c>
    </row>
    <row r="279" spans="1:9" x14ac:dyDescent="0.25">
      <c r="A279" s="61">
        <f>'A) Base RI'!A281</f>
        <v>5886</v>
      </c>
      <c r="B279" s="13" t="str">
        <f>'A) Base RI'!B281</f>
        <v>Montreux</v>
      </c>
      <c r="C279" s="125">
        <f>'A) Base RI'!AN281</f>
        <v>26283</v>
      </c>
      <c r="D279" s="147">
        <f>'D) Ecrêtage'!N279</f>
        <v>42.352293878172212</v>
      </c>
      <c r="E279" s="44">
        <f t="shared" si="17"/>
        <v>1.7397196127973871</v>
      </c>
      <c r="F279" s="369">
        <f t="shared" si="19"/>
        <v>802474.63773434784</v>
      </c>
      <c r="G279" s="43">
        <f>'A) Base RI'!AM281</f>
        <v>65</v>
      </c>
      <c r="H279" s="370">
        <f t="shared" si="18"/>
        <v>0.95729982517403422</v>
      </c>
      <c r="I279" s="74">
        <f t="shared" si="20"/>
        <v>768208.83040968759</v>
      </c>
    </row>
    <row r="280" spans="1:9" x14ac:dyDescent="0.25">
      <c r="A280" s="61">
        <f>'A) Base RI'!A282</f>
        <v>5888</v>
      </c>
      <c r="B280" s="13" t="str">
        <f>'A) Base RI'!B282</f>
        <v>Saint-Légier-La Chiésaz</v>
      </c>
      <c r="C280" s="125">
        <f>'A) Base RI'!AN282</f>
        <v>5071</v>
      </c>
      <c r="D280" s="147">
        <f>'D) Ecrêtage'!N280</f>
        <v>60.092077427209425</v>
      </c>
      <c r="E280" s="44">
        <f t="shared" si="17"/>
        <v>0</v>
      </c>
      <c r="F280" s="369">
        <f t="shared" si="19"/>
        <v>0</v>
      </c>
      <c r="G280" s="43">
        <f>'A) Base RI'!AM282</f>
        <v>66</v>
      </c>
      <c r="H280" s="370">
        <f t="shared" si="18"/>
        <v>0.97202751479209637</v>
      </c>
      <c r="I280" s="74">
        <f t="shared" si="20"/>
        <v>0</v>
      </c>
    </row>
    <row r="281" spans="1:9" x14ac:dyDescent="0.25">
      <c r="A281" s="61">
        <f>'A) Base RI'!A283</f>
        <v>5889</v>
      </c>
      <c r="B281" s="13" t="str">
        <f>'A) Base RI'!B283</f>
        <v>La Tour-de-Peilz</v>
      </c>
      <c r="C281" s="125">
        <f>'A) Base RI'!AN283</f>
        <v>11421</v>
      </c>
      <c r="D281" s="147">
        <f>'D) Ecrêtage'!N281</f>
        <v>51.671610066343433</v>
      </c>
      <c r="E281" s="44">
        <f t="shared" si="17"/>
        <v>0</v>
      </c>
      <c r="F281" s="369">
        <f t="shared" si="19"/>
        <v>0</v>
      </c>
      <c r="G281" s="43">
        <f>'A) Base RI'!AM283</f>
        <v>64</v>
      </c>
      <c r="H281" s="370">
        <f t="shared" si="18"/>
        <v>0.94257213555597219</v>
      </c>
      <c r="I281" s="74">
        <f t="shared" si="20"/>
        <v>0</v>
      </c>
    </row>
    <row r="282" spans="1:9" x14ac:dyDescent="0.25">
      <c r="A282" s="61">
        <f>'A) Base RI'!A284</f>
        <v>5890</v>
      </c>
      <c r="B282" s="13" t="str">
        <f>'A) Base RI'!B284</f>
        <v>Vevey</v>
      </c>
      <c r="C282" s="125">
        <f>'A) Base RI'!AN284</f>
        <v>19217</v>
      </c>
      <c r="D282" s="147">
        <f>'D) Ecrêtage'!N282</f>
        <v>47.986454355839335</v>
      </c>
      <c r="E282" s="44">
        <f t="shared" si="17"/>
        <v>0</v>
      </c>
      <c r="F282" s="369">
        <f t="shared" si="19"/>
        <v>0</v>
      </c>
      <c r="G282" s="43">
        <f>'A) Base RI'!AM284</f>
        <v>73</v>
      </c>
      <c r="H282" s="370">
        <f t="shared" si="18"/>
        <v>1.0751213421185308</v>
      </c>
      <c r="I282" s="74">
        <f t="shared" si="20"/>
        <v>0</v>
      </c>
    </row>
    <row r="283" spans="1:9" x14ac:dyDescent="0.25">
      <c r="A283" s="61">
        <f>'A) Base RI'!A285</f>
        <v>5891</v>
      </c>
      <c r="B283" s="13" t="str">
        <f>'A) Base RI'!B285</f>
        <v>Veytaux</v>
      </c>
      <c r="C283" s="125">
        <f>'A) Base RI'!AN285</f>
        <v>854</v>
      </c>
      <c r="D283" s="147">
        <f>'D) Ecrêtage'!N283</f>
        <v>43.629326556471959</v>
      </c>
      <c r="E283" s="44">
        <f t="shared" si="17"/>
        <v>0.46268693449763987</v>
      </c>
      <c r="F283" s="369">
        <f t="shared" si="19"/>
        <v>7361.3583815961401</v>
      </c>
      <c r="G283" s="43">
        <f>'A) Base RI'!AM285</f>
        <v>69</v>
      </c>
      <c r="H283" s="370">
        <f t="shared" si="18"/>
        <v>1.0162105836462825</v>
      </c>
      <c r="I283" s="74">
        <f t="shared" si="20"/>
        <v>7480.6902973912665</v>
      </c>
    </row>
    <row r="284" spans="1:9" x14ac:dyDescent="0.25">
      <c r="A284" s="61">
        <f>'A) Base RI'!A286</f>
        <v>5902</v>
      </c>
      <c r="B284" s="13" t="str">
        <f>'A) Base RI'!B286</f>
        <v>Belmont-sur-Yverdon</v>
      </c>
      <c r="C284" s="125">
        <f>'A) Base RI'!AN286</f>
        <v>369</v>
      </c>
      <c r="D284" s="147">
        <f>'D) Ecrêtage'!N284</f>
        <v>23.420663243474543</v>
      </c>
      <c r="E284" s="44">
        <f t="shared" si="17"/>
        <v>20.671350247495056</v>
      </c>
      <c r="F284" s="369">
        <f t="shared" si="19"/>
        <v>156520.98351200286</v>
      </c>
      <c r="G284" s="43">
        <f>'A) Base RI'!AM286</f>
        <v>76</v>
      </c>
      <c r="H284" s="370">
        <f t="shared" si="18"/>
        <v>1.119304410972717</v>
      </c>
      <c r="I284" s="74">
        <f t="shared" si="20"/>
        <v>175194.62725477273</v>
      </c>
    </row>
    <row r="285" spans="1:9" x14ac:dyDescent="0.25">
      <c r="A285" s="61">
        <f>'A) Base RI'!A287</f>
        <v>5903</v>
      </c>
      <c r="B285" s="13" t="str">
        <f>'A) Base RI'!B287</f>
        <v>Bioley-Magnoux</v>
      </c>
      <c r="C285" s="125">
        <f>'A) Base RI'!AN287</f>
        <v>201</v>
      </c>
      <c r="D285" s="147">
        <f>'D) Ecrêtage'!N285</f>
        <v>30.082224687373941</v>
      </c>
      <c r="E285" s="44">
        <f t="shared" si="17"/>
        <v>14.009788803595658</v>
      </c>
      <c r="F285" s="369">
        <f t="shared" si="19"/>
        <v>56263.03163946409</v>
      </c>
      <c r="G285" s="43">
        <f>'A) Base RI'!AM287</f>
        <v>74</v>
      </c>
      <c r="H285" s="370">
        <f t="shared" si="18"/>
        <v>1.0898490317365928</v>
      </c>
      <c r="I285" s="74">
        <f t="shared" si="20"/>
        <v>61318.210554835219</v>
      </c>
    </row>
    <row r="286" spans="1:9" x14ac:dyDescent="0.25">
      <c r="A286" s="61">
        <f>'A) Base RI'!A288</f>
        <v>5904</v>
      </c>
      <c r="B286" s="13" t="str">
        <f>'A) Base RI'!B288</f>
        <v>Chamblon</v>
      </c>
      <c r="C286" s="125">
        <f>'A) Base RI'!AN288</f>
        <v>568</v>
      </c>
      <c r="D286" s="147">
        <f>'D) Ecrêtage'!N286</f>
        <v>35.511328425096025</v>
      </c>
      <c r="E286" s="44">
        <f t="shared" si="17"/>
        <v>8.580685065873574</v>
      </c>
      <c r="F286" s="369">
        <f t="shared" si="19"/>
        <v>86851.634872356532</v>
      </c>
      <c r="G286" s="43">
        <f>'A) Base RI'!AM288</f>
        <v>66</v>
      </c>
      <c r="H286" s="370">
        <f t="shared" si="18"/>
        <v>0.97202751479209637</v>
      </c>
      <c r="I286" s="74">
        <f t="shared" si="20"/>
        <v>84422.178800607289</v>
      </c>
    </row>
    <row r="287" spans="1:9" x14ac:dyDescent="0.25">
      <c r="A287" s="61">
        <f>'A) Base RI'!A289</f>
        <v>5905</v>
      </c>
      <c r="B287" s="13" t="str">
        <f>'A) Base RI'!B289</f>
        <v>Champvent</v>
      </c>
      <c r="C287" s="125">
        <f>'A) Base RI'!AN289</f>
        <v>617</v>
      </c>
      <c r="D287" s="147">
        <f>'D) Ecrêtage'!N287</f>
        <v>29.531224690118012</v>
      </c>
      <c r="E287" s="44">
        <f t="shared" si="17"/>
        <v>14.560788800851586</v>
      </c>
      <c r="F287" s="369">
        <f t="shared" si="19"/>
        <v>172223.40824970449</v>
      </c>
      <c r="G287" s="43">
        <f>'A) Base RI'!AM289</f>
        <v>71</v>
      </c>
      <c r="H287" s="370">
        <f t="shared" si="18"/>
        <v>1.0456659628824065</v>
      </c>
      <c r="I287" s="74">
        <f t="shared" si="20"/>
        <v>180088.15601831704</v>
      </c>
    </row>
    <row r="288" spans="1:9" x14ac:dyDescent="0.25">
      <c r="A288" s="61">
        <f>'A) Base RI'!A290</f>
        <v>5907</v>
      </c>
      <c r="B288" s="13" t="str">
        <f>'A) Base RI'!B290</f>
        <v>Chavannes-le-Chêne</v>
      </c>
      <c r="C288" s="125">
        <f>'A) Base RI'!AN290</f>
        <v>278</v>
      </c>
      <c r="D288" s="147">
        <f>'D) Ecrêtage'!N288</f>
        <v>25.006287124146834</v>
      </c>
      <c r="E288" s="44">
        <f t="shared" si="17"/>
        <v>19.085726366822765</v>
      </c>
      <c r="F288" s="369">
        <f t="shared" si="19"/>
        <v>111740.82044530992</v>
      </c>
      <c r="G288" s="43">
        <f>'A) Base RI'!AM290</f>
        <v>78</v>
      </c>
      <c r="H288" s="370">
        <f t="shared" si="18"/>
        <v>1.1487597902088411</v>
      </c>
      <c r="I288" s="74">
        <f t="shared" si="20"/>
        <v>128363.361452518</v>
      </c>
    </row>
    <row r="289" spans="1:9" x14ac:dyDescent="0.25">
      <c r="A289" s="61">
        <f>'A) Base RI'!A291</f>
        <v>5908</v>
      </c>
      <c r="B289" s="13" t="str">
        <f>'A) Base RI'!B291</f>
        <v>Chêne-Pâquier</v>
      </c>
      <c r="C289" s="125">
        <f>'A) Base RI'!AN291</f>
        <v>125</v>
      </c>
      <c r="D289" s="147">
        <f>'D) Ecrêtage'!N289</f>
        <v>23.192014177215192</v>
      </c>
      <c r="E289" s="44">
        <f t="shared" si="17"/>
        <v>20.899999313754407</v>
      </c>
      <c r="F289" s="369">
        <f t="shared" si="19"/>
        <v>55724.623170297687</v>
      </c>
      <c r="G289" s="43">
        <f>'A) Base RI'!AM291</f>
        <v>79</v>
      </c>
      <c r="H289" s="370">
        <f t="shared" si="18"/>
        <v>1.1634874798269033</v>
      </c>
      <c r="I289" s="74">
        <f t="shared" si="20"/>
        <v>64834.901376713518</v>
      </c>
    </row>
    <row r="290" spans="1:9" x14ac:dyDescent="0.25">
      <c r="A290" s="61">
        <f>'A) Base RI'!A292</f>
        <v>5909</v>
      </c>
      <c r="B290" s="13" t="str">
        <f>'A) Base RI'!B292</f>
        <v>Cheseaux-Noréaz</v>
      </c>
      <c r="C290" s="125">
        <f>'A) Base RI'!AN292</f>
        <v>664</v>
      </c>
      <c r="D290" s="147">
        <f>'D) Ecrêtage'!N290</f>
        <v>34.12928722030982</v>
      </c>
      <c r="E290" s="44">
        <f t="shared" si="17"/>
        <v>9.962726270659779</v>
      </c>
      <c r="F290" s="369">
        <f t="shared" si="19"/>
        <v>125028.22960627197</v>
      </c>
      <c r="G290" s="43">
        <f>'A) Base RI'!AM292</f>
        <v>70</v>
      </c>
      <c r="H290" s="370">
        <f t="shared" si="18"/>
        <v>1.0309382732643446</v>
      </c>
      <c r="I290" s="74">
        <f t="shared" si="20"/>
        <v>128896.38713958803</v>
      </c>
    </row>
    <row r="291" spans="1:9" x14ac:dyDescent="0.25">
      <c r="A291" s="61">
        <f>'A) Base RI'!A293</f>
        <v>5910</v>
      </c>
      <c r="B291" s="13" t="str">
        <f>'A) Base RI'!B293</f>
        <v>Cronay</v>
      </c>
      <c r="C291" s="125">
        <f>'A) Base RI'!AN293</f>
        <v>364</v>
      </c>
      <c r="D291" s="147">
        <f>'D) Ecrêtage'!N291</f>
        <v>28.598223104056441</v>
      </c>
      <c r="E291" s="44">
        <f t="shared" si="17"/>
        <v>15.493790386913158</v>
      </c>
      <c r="F291" s="369">
        <f t="shared" si="19"/>
        <v>123341.10725729185</v>
      </c>
      <c r="G291" s="43">
        <f>'A) Base RI'!AM293</f>
        <v>81</v>
      </c>
      <c r="H291" s="370">
        <f t="shared" si="18"/>
        <v>1.1929428590630273</v>
      </c>
      <c r="I291" s="74">
        <f t="shared" si="20"/>
        <v>147138.89313151324</v>
      </c>
    </row>
    <row r="292" spans="1:9" x14ac:dyDescent="0.25">
      <c r="A292" s="61">
        <f>'A) Base RI'!A294</f>
        <v>5911</v>
      </c>
      <c r="B292" s="13" t="str">
        <f>'A) Base RI'!B294</f>
        <v>Cuarny</v>
      </c>
      <c r="C292" s="125">
        <f>'A) Base RI'!AN294</f>
        <v>216</v>
      </c>
      <c r="D292" s="147">
        <f>'D) Ecrêtage'!N292</f>
        <v>31.40568529949703</v>
      </c>
      <c r="E292" s="44">
        <f t="shared" si="17"/>
        <v>12.686328191472569</v>
      </c>
      <c r="F292" s="369">
        <f t="shared" si="19"/>
        <v>59929.199470261105</v>
      </c>
      <c r="G292" s="43">
        <f>'A) Base RI'!AM294</f>
        <v>81</v>
      </c>
      <c r="H292" s="370">
        <f t="shared" si="18"/>
        <v>1.1929428590630273</v>
      </c>
      <c r="I292" s="74">
        <f t="shared" si="20"/>
        <v>71492.110557411739</v>
      </c>
    </row>
    <row r="293" spans="1:9" x14ac:dyDescent="0.25">
      <c r="A293" s="61">
        <f>'A) Base RI'!A295</f>
        <v>5912</v>
      </c>
      <c r="B293" s="13" t="str">
        <f>'A) Base RI'!B295</f>
        <v>Démoret</v>
      </c>
      <c r="C293" s="125">
        <f>'A) Base RI'!AN295</f>
        <v>123</v>
      </c>
      <c r="D293" s="147">
        <f>'D) Ecrêtage'!N293</f>
        <v>25.582134899126768</v>
      </c>
      <c r="E293" s="44">
        <f t="shared" si="17"/>
        <v>18.509878591842831</v>
      </c>
      <c r="F293" s="369">
        <f t="shared" si="19"/>
        <v>49791.758510843145</v>
      </c>
      <c r="G293" s="43">
        <f>'A) Base RI'!AM295</f>
        <v>81</v>
      </c>
      <c r="H293" s="370">
        <f t="shared" si="18"/>
        <v>1.1929428590630273</v>
      </c>
      <c r="I293" s="74">
        <f t="shared" si="20"/>
        <v>59398.722755701048</v>
      </c>
    </row>
    <row r="294" spans="1:9" x14ac:dyDescent="0.25">
      <c r="A294" s="61">
        <f>'A) Base RI'!A296</f>
        <v>5913</v>
      </c>
      <c r="B294" s="13" t="str">
        <f>'A) Base RI'!B296</f>
        <v>Donneloye</v>
      </c>
      <c r="C294" s="125">
        <f>'A) Base RI'!AN296</f>
        <v>765</v>
      </c>
      <c r="D294" s="147">
        <f>'D) Ecrêtage'!N294</f>
        <v>30.21730557793893</v>
      </c>
      <c r="E294" s="44">
        <f t="shared" si="17"/>
        <v>13.874707913030669</v>
      </c>
      <c r="F294" s="369">
        <f t="shared" si="19"/>
        <v>209204.92711886342</v>
      </c>
      <c r="G294" s="43">
        <f>'A) Base RI'!AM296</f>
        <v>73</v>
      </c>
      <c r="H294" s="370">
        <f t="shared" si="18"/>
        <v>1.0751213421185308</v>
      </c>
      <c r="I294" s="74">
        <f t="shared" si="20"/>
        <v>224920.68202184187</v>
      </c>
    </row>
    <row r="295" spans="1:9" x14ac:dyDescent="0.25">
      <c r="A295" s="61">
        <f>'A) Base RI'!A297</f>
        <v>5914</v>
      </c>
      <c r="B295" s="13" t="str">
        <f>'A) Base RI'!B297</f>
        <v>Ependes</v>
      </c>
      <c r="C295" s="125">
        <f>'A) Base RI'!AN297</f>
        <v>345</v>
      </c>
      <c r="D295" s="147">
        <f>'D) Ecrêtage'!N295</f>
        <v>25.363166376811591</v>
      </c>
      <c r="E295" s="44">
        <f t="shared" si="17"/>
        <v>18.728847114158008</v>
      </c>
      <c r="F295" s="369">
        <f t="shared" si="19"/>
        <v>130844.40815128638</v>
      </c>
      <c r="G295" s="43">
        <f>'A) Base RI'!AM297</f>
        <v>75</v>
      </c>
      <c r="H295" s="370">
        <f t="shared" si="18"/>
        <v>1.1045767213546549</v>
      </c>
      <c r="I295" s="74">
        <f t="shared" si="20"/>
        <v>144527.68736333819</v>
      </c>
    </row>
    <row r="296" spans="1:9" x14ac:dyDescent="0.25">
      <c r="A296" s="61">
        <f>'A) Base RI'!A298</f>
        <v>5919</v>
      </c>
      <c r="B296" s="13" t="str">
        <f>'A) Base RI'!B298</f>
        <v>Mathod</v>
      </c>
      <c r="C296" s="125">
        <f>'A) Base RI'!AN298</f>
        <v>581</v>
      </c>
      <c r="D296" s="147">
        <f>'D) Ecrêtage'!N296</f>
        <v>27.987476508350003</v>
      </c>
      <c r="E296" s="44">
        <f t="shared" si="17"/>
        <v>16.104536982619596</v>
      </c>
      <c r="F296" s="369">
        <f t="shared" si="19"/>
        <v>186947.58501830167</v>
      </c>
      <c r="G296" s="43">
        <f>'A) Base RI'!AM298</f>
        <v>74</v>
      </c>
      <c r="H296" s="370">
        <f t="shared" si="18"/>
        <v>1.0898490317365928</v>
      </c>
      <c r="I296" s="74">
        <f t="shared" si="20"/>
        <v>203744.64451769044</v>
      </c>
    </row>
    <row r="297" spans="1:9" x14ac:dyDescent="0.25">
      <c r="A297" s="61">
        <f>'A) Base RI'!A299</f>
        <v>5921</v>
      </c>
      <c r="B297" s="13" t="str">
        <f>'A) Base RI'!B299</f>
        <v>Molondin</v>
      </c>
      <c r="C297" s="125">
        <f>'A) Base RI'!AN299</f>
        <v>224</v>
      </c>
      <c r="D297" s="147">
        <f>'D) Ecrêtage'!N297</f>
        <v>22.018366402116403</v>
      </c>
      <c r="E297" s="44">
        <f t="shared" si="17"/>
        <v>22.073647088853196</v>
      </c>
      <c r="F297" s="369">
        <f t="shared" si="19"/>
        <v>108136.14825064116</v>
      </c>
      <c r="G297" s="43">
        <f>'A) Base RI'!AM299</f>
        <v>81</v>
      </c>
      <c r="H297" s="370">
        <f t="shared" si="18"/>
        <v>1.1929428590630273</v>
      </c>
      <c r="I297" s="74">
        <f t="shared" si="20"/>
        <v>129000.24586218325</v>
      </c>
    </row>
    <row r="298" spans="1:9" x14ac:dyDescent="0.25">
      <c r="A298" s="61">
        <f>'A) Base RI'!A300</f>
        <v>5922</v>
      </c>
      <c r="B298" s="13" t="str">
        <f>'A) Base RI'!B300</f>
        <v>Montagny-près-Yverdon</v>
      </c>
      <c r="C298" s="125">
        <f>'A) Base RI'!AN300</f>
        <v>713</v>
      </c>
      <c r="D298" s="147">
        <f>'D) Ecrêtage'!N298</f>
        <v>70.550155610934425</v>
      </c>
      <c r="E298" s="44">
        <f t="shared" si="17"/>
        <v>0</v>
      </c>
      <c r="F298" s="369">
        <f t="shared" si="19"/>
        <v>0</v>
      </c>
      <c r="G298" s="43">
        <f>'A) Base RI'!AM300</f>
        <v>61</v>
      </c>
      <c r="H298" s="370">
        <f t="shared" si="18"/>
        <v>0.89838906670178598</v>
      </c>
      <c r="I298" s="74">
        <f t="shared" si="20"/>
        <v>0</v>
      </c>
    </row>
    <row r="299" spans="1:9" x14ac:dyDescent="0.25">
      <c r="A299" s="61">
        <f>'A) Base RI'!A301</f>
        <v>5923</v>
      </c>
      <c r="B299" s="13" t="str">
        <f>'A) Base RI'!B301</f>
        <v>Oppens</v>
      </c>
      <c r="C299" s="125">
        <f>'A) Base RI'!AN301</f>
        <v>182</v>
      </c>
      <c r="D299" s="147">
        <f>'D) Ecrêtage'!N299</f>
        <v>26.934765974765973</v>
      </c>
      <c r="E299" s="44">
        <f t="shared" si="17"/>
        <v>17.157247516203626</v>
      </c>
      <c r="F299" s="369">
        <f t="shared" si="19"/>
        <v>68291.678578645937</v>
      </c>
      <c r="G299" s="43">
        <f>'A) Base RI'!AM301</f>
        <v>81</v>
      </c>
      <c r="H299" s="370">
        <f t="shared" si="18"/>
        <v>1.1929428590630273</v>
      </c>
      <c r="I299" s="74">
        <f t="shared" si="20"/>
        <v>81468.070293823184</v>
      </c>
    </row>
    <row r="300" spans="1:9" x14ac:dyDescent="0.25">
      <c r="A300" s="61">
        <f>'A) Base RI'!A302</f>
        <v>5924</v>
      </c>
      <c r="B300" s="13" t="str">
        <f>'A) Base RI'!B302</f>
        <v>Orges</v>
      </c>
      <c r="C300" s="125">
        <f>'A) Base RI'!AN302</f>
        <v>275</v>
      </c>
      <c r="D300" s="147">
        <f>'D) Ecrêtage'!N300</f>
        <v>32.737656511056514</v>
      </c>
      <c r="E300" s="44">
        <f t="shared" si="17"/>
        <v>11.354356979913085</v>
      </c>
      <c r="F300" s="369">
        <f t="shared" si="19"/>
        <v>62386.514426132453</v>
      </c>
      <c r="G300" s="43">
        <f>'A) Base RI'!AM302</f>
        <v>74</v>
      </c>
      <c r="H300" s="370">
        <f t="shared" si="18"/>
        <v>1.0898490317365928</v>
      </c>
      <c r="I300" s="74">
        <f t="shared" si="20"/>
        <v>67991.882340741431</v>
      </c>
    </row>
    <row r="301" spans="1:9" x14ac:dyDescent="0.25">
      <c r="A301" s="61">
        <f>'A) Base RI'!A303</f>
        <v>5925</v>
      </c>
      <c r="B301" s="13" t="str">
        <f>'A) Base RI'!B303</f>
        <v>Orzens</v>
      </c>
      <c r="C301" s="125">
        <f>'A) Base RI'!AN303</f>
        <v>211</v>
      </c>
      <c r="D301" s="147">
        <f>'D) Ecrêtage'!N301</f>
        <v>23.951434999100126</v>
      </c>
      <c r="E301" s="44">
        <f t="shared" si="17"/>
        <v>20.140578491869473</v>
      </c>
      <c r="F301" s="369">
        <f t="shared" si="19"/>
        <v>90645.291777862527</v>
      </c>
      <c r="G301" s="43">
        <f>'A) Base RI'!AM303</f>
        <v>79</v>
      </c>
      <c r="H301" s="370">
        <f t="shared" si="18"/>
        <v>1.1634874798269033</v>
      </c>
      <c r="I301" s="74">
        <f t="shared" si="20"/>
        <v>105464.66208879958</v>
      </c>
    </row>
    <row r="302" spans="1:9" x14ac:dyDescent="0.25">
      <c r="A302" s="61">
        <f>'A) Base RI'!A304</f>
        <v>5926</v>
      </c>
      <c r="B302" s="13" t="str">
        <f>'A) Base RI'!B304</f>
        <v>Pomy</v>
      </c>
      <c r="C302" s="125">
        <f>'A) Base RI'!AN304</f>
        <v>730</v>
      </c>
      <c r="D302" s="147">
        <f>'D) Ecrêtage'!N302</f>
        <v>28.807022187922055</v>
      </c>
      <c r="E302" s="44">
        <f t="shared" si="17"/>
        <v>15.284991303047544</v>
      </c>
      <c r="F302" s="369">
        <f t="shared" si="19"/>
        <v>213899.69679397767</v>
      </c>
      <c r="G302" s="43">
        <f>'A) Base RI'!AM304</f>
        <v>71</v>
      </c>
      <c r="H302" s="370">
        <f t="shared" si="18"/>
        <v>1.0456659628824065</v>
      </c>
      <c r="I302" s="74">
        <f t="shared" si="20"/>
        <v>223667.63240832946</v>
      </c>
    </row>
    <row r="303" spans="1:9" x14ac:dyDescent="0.25">
      <c r="A303" s="61">
        <f>'A) Base RI'!A305</f>
        <v>5928</v>
      </c>
      <c r="B303" s="13" t="str">
        <f>'A) Base RI'!B305</f>
        <v>Rovray</v>
      </c>
      <c r="C303" s="125">
        <f>'A) Base RI'!AN305</f>
        <v>176</v>
      </c>
      <c r="D303" s="147">
        <f>'D) Ecrêtage'!N303</f>
        <v>27.824691666666663</v>
      </c>
      <c r="E303" s="44">
        <f t="shared" si="17"/>
        <v>16.267321824302936</v>
      </c>
      <c r="F303" s="369">
        <f t="shared" si="19"/>
        <v>57976.734981815673</v>
      </c>
      <c r="G303" s="43">
        <f>'A) Base RI'!AM305</f>
        <v>75</v>
      </c>
      <c r="H303" s="370">
        <f t="shared" si="18"/>
        <v>1.1045767213546549</v>
      </c>
      <c r="I303" s="74">
        <f t="shared" si="20"/>
        <v>64039.751841061683</v>
      </c>
    </row>
    <row r="304" spans="1:9" x14ac:dyDescent="0.25">
      <c r="A304" s="61">
        <f>'A) Base RI'!A306</f>
        <v>5929</v>
      </c>
      <c r="B304" s="13" t="str">
        <f>'A) Base RI'!B306</f>
        <v>Suchy</v>
      </c>
      <c r="C304" s="125">
        <f>'A) Base RI'!AN306</f>
        <v>542</v>
      </c>
      <c r="D304" s="147">
        <f>'D) Ecrêtage'!N304</f>
        <v>29.675116760726436</v>
      </c>
      <c r="E304" s="44">
        <f t="shared" si="17"/>
        <v>14.416896730243163</v>
      </c>
      <c r="F304" s="369">
        <f t="shared" si="19"/>
        <v>143464.26939025737</v>
      </c>
      <c r="G304" s="43">
        <f>'A) Base RI'!AM306</f>
        <v>68</v>
      </c>
      <c r="H304" s="370">
        <f t="shared" si="18"/>
        <v>1.0014828940282205</v>
      </c>
      <c r="I304" s="74">
        <f t="shared" si="20"/>
        <v>143677.01169859921</v>
      </c>
    </row>
    <row r="305" spans="1:9" x14ac:dyDescent="0.25">
      <c r="A305" s="61">
        <f>'A) Base RI'!A307</f>
        <v>5930</v>
      </c>
      <c r="B305" s="13" t="str">
        <f>'A) Base RI'!B307</f>
        <v>Suscévaz</v>
      </c>
      <c r="C305" s="125">
        <f>'A) Base RI'!AN307</f>
        <v>199</v>
      </c>
      <c r="D305" s="147">
        <f>'D) Ecrêtage'!N305</f>
        <v>26.171275315973805</v>
      </c>
      <c r="E305" s="44">
        <f t="shared" si="17"/>
        <v>17.920738174995794</v>
      </c>
      <c r="F305" s="369">
        <f t="shared" si="19"/>
        <v>63550.163301406588</v>
      </c>
      <c r="G305" s="43">
        <f>'A) Base RI'!AM307</f>
        <v>66</v>
      </c>
      <c r="H305" s="370">
        <f t="shared" si="18"/>
        <v>0.97202751479209637</v>
      </c>
      <c r="I305" s="74">
        <f t="shared" si="20"/>
        <v>61772.507298498131</v>
      </c>
    </row>
    <row r="306" spans="1:9" x14ac:dyDescent="0.25">
      <c r="A306" s="61">
        <f>'A) Base RI'!A308</f>
        <v>5931</v>
      </c>
      <c r="B306" s="13" t="str">
        <f>'A) Base RI'!B308</f>
        <v>Treycovagnes</v>
      </c>
      <c r="C306" s="125">
        <f>'A) Base RI'!AN308</f>
        <v>462</v>
      </c>
      <c r="D306" s="147">
        <f>'D) Ecrêtage'!N306</f>
        <v>30.134359644684316</v>
      </c>
      <c r="E306" s="44">
        <f t="shared" si="17"/>
        <v>13.957653846285282</v>
      </c>
      <c r="F306" s="369">
        <f t="shared" si="19"/>
        <v>134062.98604049321</v>
      </c>
      <c r="G306" s="43">
        <f>'A) Base RI'!AM308</f>
        <v>77</v>
      </c>
      <c r="H306" s="370">
        <f t="shared" si="18"/>
        <v>1.134032100590779</v>
      </c>
      <c r="I306" s="74">
        <f t="shared" si="20"/>
        <v>152031.7296709728</v>
      </c>
    </row>
    <row r="307" spans="1:9" x14ac:dyDescent="0.25">
      <c r="A307" s="61">
        <f>'A) Base RI'!A309</f>
        <v>5932</v>
      </c>
      <c r="B307" s="13" t="str">
        <f>'A) Base RI'!B309</f>
        <v>Ursins</v>
      </c>
      <c r="C307" s="125">
        <f>'A) Base RI'!AN309</f>
        <v>207</v>
      </c>
      <c r="D307" s="147">
        <f>'D) Ecrêtage'!N307</f>
        <v>26.228535860274992</v>
      </c>
      <c r="E307" s="44">
        <f t="shared" si="17"/>
        <v>17.863477630694607</v>
      </c>
      <c r="F307" s="369">
        <f t="shared" si="19"/>
        <v>77874.401652802699</v>
      </c>
      <c r="G307" s="43">
        <f>'A) Base RI'!AM309</f>
        <v>78</v>
      </c>
      <c r="H307" s="370">
        <f t="shared" si="18"/>
        <v>1.1487597902088411</v>
      </c>
      <c r="I307" s="74">
        <f t="shared" si="20"/>
        <v>89458.981305312656</v>
      </c>
    </row>
    <row r="308" spans="1:9" x14ac:dyDescent="0.25">
      <c r="A308" s="61">
        <f>'A) Base RI'!A310</f>
        <v>5933</v>
      </c>
      <c r="B308" s="13" t="str">
        <f>'A) Base RI'!B310</f>
        <v>Valeyres-sous-Montagny</v>
      </c>
      <c r="C308" s="125">
        <f>'A) Base RI'!AN310</f>
        <v>661</v>
      </c>
      <c r="D308" s="147">
        <f>'D) Ecrêtage'!N308</f>
        <v>25.96969910909397</v>
      </c>
      <c r="E308" s="44">
        <f t="shared" si="17"/>
        <v>18.122314381875629</v>
      </c>
      <c r="F308" s="369">
        <f t="shared" si="19"/>
        <v>232868.84023680075</v>
      </c>
      <c r="G308" s="43">
        <f>'A) Base RI'!AM310</f>
        <v>72</v>
      </c>
      <c r="H308" s="370">
        <f t="shared" si="18"/>
        <v>1.0603936525004687</v>
      </c>
      <c r="I308" s="74">
        <f t="shared" si="20"/>
        <v>246932.64005224925</v>
      </c>
    </row>
    <row r="309" spans="1:9" x14ac:dyDescent="0.25">
      <c r="A309" s="61">
        <f>'A) Base RI'!A311</f>
        <v>5934</v>
      </c>
      <c r="B309" s="13" t="str">
        <f>'A) Base RI'!B311</f>
        <v>Valeyres-sous-Ursins</v>
      </c>
      <c r="C309" s="125">
        <f>'A) Base RI'!AN311</f>
        <v>245</v>
      </c>
      <c r="D309" s="147">
        <f>'D) Ecrêtage'!N309</f>
        <v>26.948695944200466</v>
      </c>
      <c r="E309" s="44">
        <f t="shared" si="17"/>
        <v>17.143317546769133</v>
      </c>
      <c r="F309" s="369">
        <f t="shared" si="19"/>
        <v>89588.406001783485</v>
      </c>
      <c r="G309" s="43">
        <f>'A) Base RI'!AM311</f>
        <v>79</v>
      </c>
      <c r="H309" s="370">
        <f t="shared" si="18"/>
        <v>1.1634874798269033</v>
      </c>
      <c r="I309" s="74">
        <f t="shared" si="20"/>
        <v>104234.98872072448</v>
      </c>
    </row>
    <row r="310" spans="1:9" x14ac:dyDescent="0.25">
      <c r="A310" s="61">
        <f>'A) Base RI'!A312</f>
        <v>5935</v>
      </c>
      <c r="B310" s="13" t="str">
        <f>'A) Base RI'!B312</f>
        <v>Villars-Epeney</v>
      </c>
      <c r="C310" s="125">
        <f>'A) Base RI'!AN312</f>
        <v>90</v>
      </c>
      <c r="D310" s="147">
        <f>'D) Ecrêtage'!N310</f>
        <v>67.650371871003301</v>
      </c>
      <c r="E310" s="44">
        <f t="shared" si="17"/>
        <v>0</v>
      </c>
      <c r="F310" s="369">
        <f t="shared" si="19"/>
        <v>0</v>
      </c>
      <c r="G310" s="43">
        <f>'A) Base RI'!AM312</f>
        <v>60</v>
      </c>
      <c r="H310" s="370">
        <f t="shared" si="18"/>
        <v>0.88366137708372394</v>
      </c>
      <c r="I310" s="74">
        <f t="shared" si="20"/>
        <v>0</v>
      </c>
    </row>
    <row r="311" spans="1:9" x14ac:dyDescent="0.25">
      <c r="A311" s="61">
        <f>'A) Base RI'!A313</f>
        <v>5937</v>
      </c>
      <c r="B311" s="13" t="str">
        <f>'A) Base RI'!B313</f>
        <v>Vugelles-La Mothe</v>
      </c>
      <c r="C311" s="125">
        <f>'A) Base RI'!AN313</f>
        <v>135</v>
      </c>
      <c r="D311" s="147">
        <f>'D) Ecrêtage'!N311</f>
        <v>15.770207860922147</v>
      </c>
      <c r="E311" s="44">
        <f t="shared" si="17"/>
        <v>28.32180563004745</v>
      </c>
      <c r="F311" s="369">
        <f t="shared" si="19"/>
        <v>72263.087065066065</v>
      </c>
      <c r="G311" s="43">
        <f>'A) Base RI'!AM313</f>
        <v>70</v>
      </c>
      <c r="H311" s="370">
        <f t="shared" si="18"/>
        <v>1.0309382732643446</v>
      </c>
      <c r="I311" s="74">
        <f t="shared" si="20"/>
        <v>74498.782199610199</v>
      </c>
    </row>
    <row r="312" spans="1:9" x14ac:dyDescent="0.25">
      <c r="A312" s="61">
        <f>'A) Base RI'!A314</f>
        <v>5938</v>
      </c>
      <c r="B312" s="13" t="str">
        <f>'A) Base RI'!B314</f>
        <v>Yverdon-les-Bains</v>
      </c>
      <c r="C312" s="125">
        <f>'A) Base RI'!AN314</f>
        <v>29308</v>
      </c>
      <c r="D312" s="147">
        <f>'D) Ecrêtage'!N312</f>
        <v>26.318412296359337</v>
      </c>
      <c r="E312" s="44">
        <f t="shared" si="17"/>
        <v>17.773601194610261</v>
      </c>
      <c r="F312" s="369">
        <f t="shared" si="19"/>
        <v>10759369.277229374</v>
      </c>
      <c r="G312" s="43">
        <f>'A) Base RI'!AM314</f>
        <v>76.5</v>
      </c>
      <c r="H312" s="370">
        <f t="shared" si="18"/>
        <v>1.126668255781748</v>
      </c>
      <c r="I312" s="74">
        <f t="shared" si="20"/>
        <v>12122239.816887746</v>
      </c>
    </row>
    <row r="313" spans="1:9" x14ac:dyDescent="0.25">
      <c r="A313" s="63">
        <f>'A) Base RI'!A315</f>
        <v>5939</v>
      </c>
      <c r="B313" s="120" t="str">
        <f>'A) Base RI'!B315</f>
        <v>Yvonand</v>
      </c>
      <c r="C313" s="125">
        <f>'A) Base RI'!AN315</f>
        <v>3152</v>
      </c>
      <c r="D313" s="147">
        <f>'D) Ecrêtage'!N313</f>
        <v>27.989071039913771</v>
      </c>
      <c r="E313" s="44">
        <f t="shared" si="17"/>
        <v>16.102942451055828</v>
      </c>
      <c r="F313" s="369">
        <f t="shared" si="19"/>
        <v>1000410.1144788984</v>
      </c>
      <c r="G313" s="43">
        <f>'A) Base RI'!AM315</f>
        <v>73</v>
      </c>
      <c r="H313" s="370">
        <f t="shared" si="18"/>
        <v>1.0751213421185308</v>
      </c>
      <c r="I313" s="74">
        <f t="shared" si="20"/>
        <v>1075562.2649475064</v>
      </c>
    </row>
    <row r="314" spans="1:9" x14ac:dyDescent="0.25">
      <c r="A314" s="85"/>
      <c r="B314" s="75">
        <f>COUNTA(B5:B313)</f>
        <v>309</v>
      </c>
      <c r="C314" s="127">
        <f>SUM(C5:C313)</f>
        <v>767496</v>
      </c>
      <c r="D314" s="146">
        <f>'D) Ecrêtage'!N314</f>
        <v>44.092013490969599</v>
      </c>
      <c r="E314" s="367"/>
      <c r="F314" s="15">
        <f>SUM(F5:F313)</f>
        <v>94001534.634611487</v>
      </c>
      <c r="G314" s="371">
        <f>'B) D RI'!S316</f>
        <v>67.899312514951305</v>
      </c>
      <c r="H314" s="368">
        <f>G314/G$314</f>
        <v>1</v>
      </c>
      <c r="I314" s="47">
        <f>SUM(I5:I313)</f>
        <v>101795944.53128798</v>
      </c>
    </row>
  </sheetData>
  <sheetProtection password="CBF3" sheet="1" objects="1" scenarios="1"/>
  <mergeCells count="8">
    <mergeCell ref="A3:A4"/>
    <mergeCell ref="I3:I4"/>
    <mergeCell ref="H3:H4"/>
    <mergeCell ref="G3:G4"/>
    <mergeCell ref="F3:F4"/>
    <mergeCell ref="B3:B4"/>
    <mergeCell ref="C3:C4"/>
    <mergeCell ref="D3:D4"/>
  </mergeCells>
  <phoneticPr fontId="7" type="noConversion"/>
  <pageMargins left="0.78740157499999996" right="0.78740157499999996" top="0.984251969" bottom="0.984251969" header="0.4921259845" footer="0.4921259845"/>
  <pageSetup paperSize="9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13</vt:i4>
      </vt:variant>
    </vt:vector>
  </HeadingPairs>
  <TitlesOfParts>
    <vt:vector size="30" baseType="lpstr">
      <vt:lpstr>Paramètres</vt:lpstr>
      <vt:lpstr>Recherche</vt:lpstr>
      <vt:lpstr>A) Base RI</vt:lpstr>
      <vt:lpstr>B) D RI</vt:lpstr>
      <vt:lpstr>C) Prél. conj.</vt:lpstr>
      <vt:lpstr>D) Ecrêtage</vt:lpstr>
      <vt:lpstr>E) Fact soc</vt:lpstr>
      <vt:lpstr>F) Population</vt:lpstr>
      <vt:lpstr>G) Solidarité</vt:lpstr>
      <vt:lpstr>H) Péréquation directe</vt:lpstr>
      <vt:lpstr>I) Dépenses thématiques</vt:lpstr>
      <vt:lpstr>J) Plafonnement effort</vt:lpstr>
      <vt:lpstr>K) Plafonnement aide</vt:lpstr>
      <vt:lpstr>L) Plafonnement taux</vt:lpstr>
      <vt:lpstr>M) Police</vt:lpstr>
      <vt:lpstr>Synthèse</vt:lpstr>
      <vt:lpstr>Feuil1</vt:lpstr>
      <vt:lpstr>'C) Prél. conj.'!Impression_des_titres</vt:lpstr>
      <vt:lpstr>'E) Fact soc'!Impression_des_titres</vt:lpstr>
      <vt:lpstr>'I) Dépenses thématiques'!Impression_des_titres</vt:lpstr>
      <vt:lpstr>'J) Plafonnement effort'!Impression_des_titres</vt:lpstr>
      <vt:lpstr>'L) Plafonnement taux'!Impression_des_titres</vt:lpstr>
      <vt:lpstr>'M) Police'!Impression_des_titres</vt:lpstr>
      <vt:lpstr>Synthèse!Impression_des_titres</vt:lpstr>
      <vt:lpstr>'A) Base RI'!Zone_d_impression</vt:lpstr>
      <vt:lpstr>'H) Péréquation directe'!Zone_d_impression</vt:lpstr>
      <vt:lpstr>'L) Plafonnement taux'!Zone_d_impression</vt:lpstr>
      <vt:lpstr>'M) Police'!Zone_d_impression</vt:lpstr>
      <vt:lpstr>Recherche!Zone_d_impression</vt:lpstr>
      <vt:lpstr>Synthèse!Zone_d_impression</vt:lpstr>
    </vt:vector>
  </TitlesOfParts>
  <Company>Etat de Vaud / ASFiCo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CLERC,Charles Henri</dc:creator>
  <cp:lastModifiedBy>CLERC,Charles Henri</cp:lastModifiedBy>
  <cp:lastPrinted>2016-09-23T06:01:56Z</cp:lastPrinted>
  <dcterms:created xsi:type="dcterms:W3CDTF">2005-06-06T00:37:42Z</dcterms:created>
  <dcterms:modified xsi:type="dcterms:W3CDTF">2016-10-05T12:24:52Z</dcterms:modified>
</cp:coreProperties>
</file>